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charts/style1.xml" ContentType="application/vnd.ms-office.chartstyle+xml"/>
  <Override PartName="/xl/styles.xml" ContentType="application/vnd.openxmlformats-officedocument.spreadsheetml.styles+xml"/>
  <Override PartName="/xl/sharedStrings.xml" ContentType="application/vnd.openxmlformats-officedocument.spreadsheetml.sharedStrings+xml"/>
  <Override PartName="/xl/charts/chart1.xml" ContentType="application/vnd.openxmlformats-officedocument.drawingml.chart+xml"/>
  <Override PartName="/xl/drawings/drawing1.xml" ContentType="application/vnd.openxmlformats-officedocument.drawing+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externalLinks/externalLink113.xml" ContentType="application/vnd.openxmlformats-officedocument.spreadsheetml.externalLink+xml"/>
  <Override PartName="/xl/externalLinks/externalLink114.xml" ContentType="application/vnd.openxmlformats-officedocument.spreadsheetml.externalLink+xml"/>
  <Override PartName="/xl/externalLinks/externalLink115.xml" ContentType="application/vnd.openxmlformats-officedocument.spreadsheetml.externalLink+xml"/>
  <Override PartName="/xl/externalLinks/externalLink116.xml" ContentType="application/vnd.openxmlformats-officedocument.spreadsheetml.externalLink+xml"/>
  <Override PartName="/xl/externalLinks/externalLink117.xml" ContentType="application/vnd.openxmlformats-officedocument.spreadsheetml.externalLink+xml"/>
  <Override PartName="/xl/externalLinks/externalLink118.xml" ContentType="application/vnd.openxmlformats-officedocument.spreadsheetml.externalLink+xml"/>
  <Override PartName="/xl/externalLinks/externalLink119.xml" ContentType="application/vnd.openxmlformats-officedocument.spreadsheetml.externalLink+xml"/>
  <Override PartName="/xl/externalLinks/externalLink120.xml" ContentType="application/vnd.openxmlformats-officedocument.spreadsheetml.externalLink+xml"/>
  <Override PartName="/xl/externalLinks/externalLink121.xml" ContentType="application/vnd.openxmlformats-officedocument.spreadsheetml.externalLink+xml"/>
  <Override PartName="/xl/externalLinks/externalLink122.xml" ContentType="application/vnd.openxmlformats-officedocument.spreadsheetml.externalLink+xml"/>
  <Override PartName="/xl/externalLinks/externalLink123.xml" ContentType="application/vnd.openxmlformats-officedocument.spreadsheetml.externalLink+xml"/>
  <Override PartName="/xl/externalLinks/externalLink124.xml" ContentType="application/vnd.openxmlformats-officedocument.spreadsheetml.externalLink+xml"/>
  <Override PartName="/xl/externalLinks/externalLink125.xml" ContentType="application/vnd.openxmlformats-officedocument.spreadsheetml.externalLink+xml"/>
  <Override PartName="/xl/externalLinks/externalLink126.xml" ContentType="application/vnd.openxmlformats-officedocument.spreadsheetml.externalLink+xml"/>
  <Override PartName="/xl/externalLinks/externalLink127.xml" ContentType="application/vnd.openxmlformats-officedocument.spreadsheetml.externalLink+xml"/>
  <Override PartName="/xl/externalLinks/externalLink128.xml" ContentType="application/vnd.openxmlformats-officedocument.spreadsheetml.externalLink+xml"/>
  <Override PartName="/xl/externalLinks/externalLink129.xml" ContentType="application/vnd.openxmlformats-officedocument.spreadsheetml.externalLink+xml"/>
  <Override PartName="/xl/externalLinks/externalLink130.xml" ContentType="application/vnd.openxmlformats-officedocument.spreadsheetml.externalLink+xml"/>
  <Override PartName="/xl/externalLinks/externalLink131.xml" ContentType="application/vnd.openxmlformats-officedocument.spreadsheetml.externalLink+xml"/>
  <Override PartName="/xl/externalLinks/externalLink132.xml" ContentType="application/vnd.openxmlformats-officedocument.spreadsheetml.externalLink+xml"/>
  <Override PartName="/xl/externalLinks/externalLink133.xml" ContentType="application/vnd.openxmlformats-officedocument.spreadsheetml.externalLink+xml"/>
  <Override PartName="/xl/externalLinks/externalLink134.xml" ContentType="application/vnd.openxmlformats-officedocument.spreadsheetml.externalLink+xml"/>
  <Override PartName="/xl/externalLinks/externalLink135.xml" ContentType="application/vnd.openxmlformats-officedocument.spreadsheetml.externalLink+xml"/>
  <Override PartName="/xl/externalLinks/externalLink136.xml" ContentType="application/vnd.openxmlformats-officedocument.spreadsheetml.externalLink+xml"/>
  <Override PartName="/xl/externalLinks/externalLink137.xml" ContentType="application/vnd.openxmlformats-officedocument.spreadsheetml.externalLink+xml"/>
  <Override PartName="/xl/externalLinks/externalLink138.xml" ContentType="application/vnd.openxmlformats-officedocument.spreadsheetml.externalLink+xml"/>
  <Override PartName="/xl/externalLinks/externalLink139.xml" ContentType="application/vnd.openxmlformats-officedocument.spreadsheetml.externalLink+xml"/>
  <Override PartName="/xl/externalLinks/externalLink140.xml" ContentType="application/vnd.openxmlformats-officedocument.spreadsheetml.externalLink+xml"/>
  <Override PartName="/xl/externalLinks/externalLink141.xml" ContentType="application/vnd.openxmlformats-officedocument.spreadsheetml.externalLink+xml"/>
  <Override PartName="/xl/externalLinks/externalLink142.xml" ContentType="application/vnd.openxmlformats-officedocument.spreadsheetml.externalLink+xml"/>
  <Override PartName="/xl/externalLinks/externalLink143.xml" ContentType="application/vnd.openxmlformats-officedocument.spreadsheetml.externalLink+xml"/>
  <Override PartName="/xl/externalLinks/externalLink144.xml" ContentType="application/vnd.openxmlformats-officedocument.spreadsheetml.externalLink+xml"/>
  <Override PartName="/xl/externalLinks/externalLink145.xml" ContentType="application/vnd.openxmlformats-officedocument.spreadsheetml.externalLink+xml"/>
  <Override PartName="/xl/externalLinks/externalLink146.xml" ContentType="application/vnd.openxmlformats-officedocument.spreadsheetml.externalLink+xml"/>
  <Override PartName="/xl/externalLinks/externalLink147.xml" ContentType="application/vnd.openxmlformats-officedocument.spreadsheetml.externalLink+xml"/>
  <Override PartName="/xl/externalLinks/externalLink148.xml" ContentType="application/vnd.openxmlformats-officedocument.spreadsheetml.externalLink+xml"/>
  <Override PartName="/xl/externalLinks/externalLink149.xml" ContentType="application/vnd.openxmlformats-officedocument.spreadsheetml.externalLink+xml"/>
  <Override PartName="/xl/externalLinks/externalLink150.xml" ContentType="application/vnd.openxmlformats-officedocument.spreadsheetml.externalLink+xml"/>
  <Override PartName="/xl/externalLinks/externalLink151.xml" ContentType="application/vnd.openxmlformats-officedocument.spreadsheetml.externalLink+xml"/>
  <Override PartName="/xl/externalLinks/externalLink152.xml" ContentType="application/vnd.openxmlformats-officedocument.spreadsheetml.externalLink+xml"/>
  <Override PartName="/xl/externalLinks/externalLink153.xml" ContentType="application/vnd.openxmlformats-officedocument.spreadsheetml.externalLink+xml"/>
  <Override PartName="/xl/externalLinks/externalLink154.xml" ContentType="application/vnd.openxmlformats-officedocument.spreadsheetml.externalLink+xml"/>
  <Override PartName="/xl/externalLinks/externalLink110.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comments1.xml" ContentType="application/vnd.openxmlformats-officedocument.spreadsheetml.comments+xml"/>
  <Override PartName="/xl/externalLinks/externalLink13.xml" ContentType="application/vnd.openxmlformats-officedocument.spreadsheetml.externalLink+xml"/>
  <Override PartName="/xl/comments2.xml" ContentType="application/vnd.openxmlformats-officedocument.spreadsheetml.comments+xml"/>
  <Override PartName="/xl/externalLinks/externalLink14.xml" ContentType="application/vnd.openxmlformats-officedocument.spreadsheetml.externalLink+xml"/>
  <Override PartName="/xl/comments3.xml" ContentType="application/vnd.openxmlformats-officedocument.spreadsheetml.comments+xml"/>
  <Override PartName="/xl/externalLinks/externalLink15.xml" ContentType="application/vnd.openxmlformats-officedocument.spreadsheetml.externalLink+xml"/>
  <Override PartName="/xl/comments4.xml" ContentType="application/vnd.openxmlformats-officedocument.spreadsheetml.comments+xml"/>
  <Override PartName="/xl/externalLinks/externalLink16.xml" ContentType="application/vnd.openxmlformats-officedocument.spreadsheetml.externalLink+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D:\Utility\Current Cases\Exhibit Updates\"/>
    </mc:Choice>
  </mc:AlternateContent>
  <xr:revisionPtr revIDLastSave="0" documentId="8_{9A46C4DE-E270-4326-BD49-D6E9D2540BF5}" xr6:coauthVersionLast="47" xr6:coauthVersionMax="47" xr10:uidLastSave="{00000000-0000-0000-0000-000000000000}"/>
  <bookViews>
    <workbookView xWindow="-108" yWindow="-108" windowWidth="23256" windowHeight="14016" activeTab="1" xr2:uid="{C59D9519-E7F7-465F-9A83-FC8C6F18CA1A}"/>
  </bookViews>
  <sheets>
    <sheet name="Summary Statistics" sheetId="39" r:id="rId1"/>
    <sheet name="Mean Figures Study Graphs" sheetId="41" r:id="rId2"/>
    <sheet name="Median Figures Study Graphs" sheetId="40" r:id="rId3"/>
    <sheet name="Master Summary" sheetId="37" r:id="rId4"/>
    <sheet name="Elec Util Ticker List" sheetId="1" r:id="rId5"/>
    <sheet name="Gas Util Ticker List" sheetId="38" r:id="rId6"/>
    <sheet name="2021" sheetId="43" r:id="rId7"/>
    <sheet name="2020" sheetId="42" r:id="rId8"/>
    <sheet name="2019" sheetId="2" r:id="rId9"/>
    <sheet name="2018" sheetId="3" r:id="rId10"/>
    <sheet name="2017" sheetId="4" r:id="rId11"/>
    <sheet name="2016" sheetId="5" r:id="rId12"/>
    <sheet name="2015" sheetId="6" r:id="rId13"/>
    <sheet name="2014" sheetId="7" r:id="rId14"/>
    <sheet name="2013" sheetId="8" r:id="rId15"/>
    <sheet name="2012" sheetId="9" r:id="rId16"/>
    <sheet name="2011" sheetId="10" r:id="rId17"/>
    <sheet name="2010" sheetId="11" r:id="rId18"/>
    <sheet name="2009" sheetId="12" r:id="rId19"/>
    <sheet name="2008" sheetId="13" r:id="rId20"/>
    <sheet name="2007" sheetId="14" r:id="rId21"/>
    <sheet name="2006" sheetId="15" r:id="rId22"/>
    <sheet name="2005" sheetId="16" r:id="rId23"/>
    <sheet name="2004" sheetId="17" r:id="rId24"/>
    <sheet name="2003" sheetId="18" r:id="rId25"/>
    <sheet name="2002" sheetId="19" r:id="rId26"/>
    <sheet name="2001" sheetId="20" r:id="rId27"/>
    <sheet name="2000" sheetId="21" r:id="rId28"/>
    <sheet name="1999" sheetId="22" r:id="rId29"/>
    <sheet name="1998" sheetId="23" r:id="rId30"/>
    <sheet name="1997" sheetId="24" r:id="rId31"/>
    <sheet name="1996" sheetId="25" r:id="rId32"/>
    <sheet name="1995" sheetId="26" r:id="rId33"/>
    <sheet name="1994" sheetId="27" r:id="rId34"/>
    <sheet name="1993" sheetId="28" r:id="rId35"/>
    <sheet name="1992" sheetId="29" r:id="rId36"/>
    <sheet name="1991" sheetId="30" r:id="rId37"/>
    <sheet name="1990" sheetId="31" r:id="rId38"/>
    <sheet name="1989" sheetId="32" r:id="rId39"/>
    <sheet name="1988" sheetId="33" r:id="rId40"/>
    <sheet name="1987" sheetId="34" r:id="rId41"/>
    <sheet name="1986" sheetId="35" r:id="rId42"/>
    <sheet name="1985" sheetId="36" r:id="rId43"/>
  </sheets>
  <externalReferences>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 r:id="rId123"/>
    <externalReference r:id="rId124"/>
    <externalReference r:id="rId125"/>
    <externalReference r:id="rId126"/>
    <externalReference r:id="rId127"/>
    <externalReference r:id="rId128"/>
    <externalReference r:id="rId129"/>
    <externalReference r:id="rId130"/>
    <externalReference r:id="rId131"/>
    <externalReference r:id="rId132"/>
    <externalReference r:id="rId133"/>
    <externalReference r:id="rId134"/>
    <externalReference r:id="rId135"/>
    <externalReference r:id="rId136"/>
    <externalReference r:id="rId137"/>
    <externalReference r:id="rId138"/>
    <externalReference r:id="rId139"/>
    <externalReference r:id="rId140"/>
    <externalReference r:id="rId141"/>
    <externalReference r:id="rId142"/>
    <externalReference r:id="rId143"/>
    <externalReference r:id="rId144"/>
    <externalReference r:id="rId145"/>
    <externalReference r:id="rId146"/>
    <externalReference r:id="rId147"/>
    <externalReference r:id="rId148"/>
    <externalReference r:id="rId149"/>
    <externalReference r:id="rId150"/>
    <externalReference r:id="rId151"/>
    <externalReference r:id="rId152"/>
    <externalReference r:id="rId153"/>
    <externalReference r:id="rId154"/>
    <externalReference r:id="rId155"/>
    <externalReference r:id="rId156"/>
    <externalReference r:id="rId157"/>
    <externalReference r:id="rId158"/>
    <externalReference r:id="rId159"/>
    <externalReference r:id="rId160"/>
    <externalReference r:id="rId161"/>
    <externalReference r:id="rId162"/>
    <externalReference r:id="rId163"/>
    <externalReference r:id="rId164"/>
    <externalReference r:id="rId165"/>
    <externalReference r:id="rId166"/>
    <externalReference r:id="rId167"/>
    <externalReference r:id="rId168"/>
    <externalReference r:id="rId169"/>
    <externalReference r:id="rId170"/>
    <externalReference r:id="rId171"/>
    <externalReference r:id="rId172"/>
    <externalReference r:id="rId173"/>
    <externalReference r:id="rId174"/>
    <externalReference r:id="rId175"/>
    <externalReference r:id="rId176"/>
    <externalReference r:id="rId177"/>
    <externalReference r:id="rId178"/>
    <externalReference r:id="rId179"/>
    <externalReference r:id="rId180"/>
    <externalReference r:id="rId181"/>
    <externalReference r:id="rId182"/>
    <externalReference r:id="rId183"/>
    <externalReference r:id="rId184"/>
    <externalReference r:id="rId185"/>
    <externalReference r:id="rId186"/>
    <externalReference r:id="rId187"/>
    <externalReference r:id="rId188"/>
    <externalReference r:id="rId189"/>
    <externalReference r:id="rId190"/>
    <externalReference r:id="rId191"/>
    <externalReference r:id="rId192"/>
    <externalReference r:id="rId193"/>
    <externalReference r:id="rId194"/>
    <externalReference r:id="rId195"/>
    <externalReference r:id="rId196"/>
    <externalReference r:id="rId197"/>
  </externalReferences>
  <definedNames>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CorrelationEnabledState" hidden="1">1</definedName>
    <definedName name="_AtRisk_SimSetting_GoalSeekTargetValue" hidden="1">0</definedName>
    <definedName name="_AtRisk_SimSetting_LiveUpdate" hidden="1">TRUE</definedName>
    <definedName name="_AtRisk_SimSetting_MacroMode" hidden="1">0</definedName>
    <definedName name="_AtRisk_SimSetting_MacroRecalculationBehavior" hidden="1">0</definedName>
    <definedName name="_AtRisk_SimSetting_MaxAutoIterations" hidden="1">50000</definedName>
    <definedName name="_AtRisk_SimSetting_MultipleCPUCount" hidden="1">-1</definedName>
    <definedName name="_AtRisk_SimSetting_MultipleCPUMode" hidden="1">2</definedName>
    <definedName name="_AtRisk_SimSetting_MultipleCPUModeV8" hidden="1">2</definedName>
    <definedName name="_AtRisk_SimSetting_RandomNumberGenerator"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8</definedName>
    <definedName name="RiskMinimizeOnStart" hidden="1">FALSE</definedName>
    <definedName name="RiskMonitorConvergence" hidden="1">FALSE</definedName>
    <definedName name="RiskMultipleCPUSupportEnabled" hidden="1">FALSE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FALSE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0" i="37" l="1"/>
  <c r="M40" i="37"/>
  <c r="J40" i="37"/>
  <c r="I40" i="37"/>
  <c r="H40" i="37"/>
  <c r="E40" i="37"/>
  <c r="D40" i="37"/>
  <c r="C40" i="37"/>
  <c r="K40" i="37"/>
  <c r="G40" i="37"/>
  <c r="Q3" i="43"/>
  <c r="Q15" i="43"/>
  <c r="Q14" i="43"/>
  <c r="Q11" i="43"/>
  <c r="Q9" i="43"/>
  <c r="N38" i="42"/>
  <c r="M38" i="42"/>
  <c r="J38" i="42"/>
  <c r="I38" i="42"/>
  <c r="E38" i="42"/>
  <c r="D38" i="42"/>
  <c r="C38" i="42"/>
  <c r="B38" i="42"/>
  <c r="N37" i="42"/>
  <c r="M37" i="42"/>
  <c r="J37" i="42"/>
  <c r="I37" i="42"/>
  <c r="E37" i="42"/>
  <c r="D37" i="42"/>
  <c r="C37" i="42"/>
  <c r="B37" i="42"/>
  <c r="N36" i="42"/>
  <c r="M36" i="42"/>
  <c r="J36" i="42"/>
  <c r="I36" i="42"/>
  <c r="E36" i="42"/>
  <c r="D36" i="42"/>
  <c r="C36" i="42"/>
  <c r="B36" i="42"/>
  <c r="N35" i="42"/>
  <c r="M35" i="42"/>
  <c r="J35" i="42"/>
  <c r="I35" i="42"/>
  <c r="E35" i="42"/>
  <c r="D35" i="42"/>
  <c r="C35" i="42"/>
  <c r="B35" i="42"/>
  <c r="N34" i="42"/>
  <c r="M34" i="42"/>
  <c r="J34" i="42"/>
  <c r="I34" i="42"/>
  <c r="E34" i="42"/>
  <c r="D34" i="42"/>
  <c r="C34" i="42"/>
  <c r="B34" i="42"/>
  <c r="N33" i="42"/>
  <c r="M33" i="42"/>
  <c r="J33" i="42"/>
  <c r="I33" i="42"/>
  <c r="E33" i="42"/>
  <c r="D33" i="42"/>
  <c r="C33" i="42"/>
  <c r="B33" i="42"/>
  <c r="N32" i="42"/>
  <c r="M32" i="42"/>
  <c r="J32" i="42"/>
  <c r="I32" i="42"/>
  <c r="E32" i="42"/>
  <c r="D32" i="42"/>
  <c r="C32" i="42"/>
  <c r="B32" i="42"/>
  <c r="N31" i="42"/>
  <c r="M31" i="42"/>
  <c r="J31" i="42"/>
  <c r="I31" i="42"/>
  <c r="E31" i="42"/>
  <c r="D31" i="42"/>
  <c r="C31" i="42"/>
  <c r="B31" i="42"/>
  <c r="N30" i="42"/>
  <c r="M30" i="42"/>
  <c r="J30" i="42"/>
  <c r="I30" i="42"/>
  <c r="E30" i="42"/>
  <c r="D30" i="42"/>
  <c r="C30" i="42"/>
  <c r="B30" i="42"/>
  <c r="N29" i="42"/>
  <c r="M29" i="42"/>
  <c r="J29" i="42"/>
  <c r="I29" i="42"/>
  <c r="E29" i="42"/>
  <c r="D29" i="42"/>
  <c r="C29" i="42"/>
  <c r="B29" i="42"/>
  <c r="N28" i="42"/>
  <c r="M28" i="42"/>
  <c r="J28" i="42"/>
  <c r="I28" i="42"/>
  <c r="E28" i="42"/>
  <c r="D28" i="42"/>
  <c r="C28" i="42"/>
  <c r="B28" i="42"/>
  <c r="N27" i="42"/>
  <c r="M27" i="42"/>
  <c r="J27" i="42"/>
  <c r="I27" i="42"/>
  <c r="E27" i="42"/>
  <c r="D27" i="42"/>
  <c r="F27" i="42" s="1"/>
  <c r="C27" i="42"/>
  <c r="B27" i="42"/>
  <c r="N26" i="42"/>
  <c r="M26" i="42"/>
  <c r="J26" i="42"/>
  <c r="I26" i="42"/>
  <c r="E26" i="42"/>
  <c r="D26" i="42"/>
  <c r="C26" i="42"/>
  <c r="B26" i="42"/>
  <c r="N25" i="42"/>
  <c r="M25" i="42"/>
  <c r="J25" i="42"/>
  <c r="I25" i="42"/>
  <c r="E25" i="42"/>
  <c r="D25" i="42"/>
  <c r="C25" i="42"/>
  <c r="B25" i="42"/>
  <c r="N24" i="42"/>
  <c r="M24" i="42"/>
  <c r="J24" i="42"/>
  <c r="I24" i="42"/>
  <c r="E24" i="42"/>
  <c r="D24" i="42"/>
  <c r="C24" i="42"/>
  <c r="B24" i="42"/>
  <c r="N23" i="42"/>
  <c r="M23" i="42"/>
  <c r="J23" i="42"/>
  <c r="I23" i="42"/>
  <c r="E23" i="42"/>
  <c r="D23" i="42"/>
  <c r="C23" i="42"/>
  <c r="B23" i="42"/>
  <c r="N22" i="42"/>
  <c r="M22" i="42"/>
  <c r="J22" i="42"/>
  <c r="I22" i="42"/>
  <c r="E22" i="42"/>
  <c r="D22" i="42"/>
  <c r="C22" i="42"/>
  <c r="B22" i="42"/>
  <c r="N21" i="42"/>
  <c r="M21" i="42"/>
  <c r="J21" i="42"/>
  <c r="I21" i="42"/>
  <c r="E21" i="42"/>
  <c r="D21" i="42"/>
  <c r="C21" i="42"/>
  <c r="B21" i="42"/>
  <c r="N20" i="42"/>
  <c r="M20" i="42"/>
  <c r="J20" i="42"/>
  <c r="I20" i="42"/>
  <c r="E20" i="42"/>
  <c r="D20" i="42"/>
  <c r="C20" i="42"/>
  <c r="B20" i="42"/>
  <c r="N19" i="42"/>
  <c r="M19" i="42"/>
  <c r="J19" i="42"/>
  <c r="I19" i="42"/>
  <c r="E19" i="42"/>
  <c r="D19" i="42"/>
  <c r="F19" i="42" s="1"/>
  <c r="C19" i="42"/>
  <c r="B19" i="42"/>
  <c r="N18" i="42"/>
  <c r="M18" i="42"/>
  <c r="J18" i="42"/>
  <c r="I18" i="42"/>
  <c r="E18" i="42"/>
  <c r="D18" i="42"/>
  <c r="C18" i="42"/>
  <c r="B18" i="42"/>
  <c r="N17" i="42"/>
  <c r="M17" i="42"/>
  <c r="J17" i="42"/>
  <c r="I17" i="42"/>
  <c r="E17" i="42"/>
  <c r="D17" i="42"/>
  <c r="C17" i="42"/>
  <c r="B17" i="42"/>
  <c r="N16" i="42"/>
  <c r="M16" i="42"/>
  <c r="J16" i="42"/>
  <c r="I16" i="42"/>
  <c r="E16" i="42"/>
  <c r="D16" i="42"/>
  <c r="C16" i="42"/>
  <c r="B16" i="42"/>
  <c r="N15" i="42"/>
  <c r="M15" i="42"/>
  <c r="J15" i="42"/>
  <c r="I15" i="42"/>
  <c r="E15" i="42"/>
  <c r="D15" i="42"/>
  <c r="C15" i="42"/>
  <c r="B15" i="42"/>
  <c r="N14" i="42"/>
  <c r="M14" i="42"/>
  <c r="J14" i="42"/>
  <c r="I14" i="42"/>
  <c r="E14" i="42"/>
  <c r="D14" i="42"/>
  <c r="C14" i="42"/>
  <c r="B14" i="42"/>
  <c r="N13" i="42"/>
  <c r="M13" i="42"/>
  <c r="J13" i="42"/>
  <c r="I13" i="42"/>
  <c r="E13" i="42"/>
  <c r="D13" i="42"/>
  <c r="C13" i="42"/>
  <c r="B13" i="42"/>
  <c r="N12" i="42"/>
  <c r="M12" i="42"/>
  <c r="J12" i="42"/>
  <c r="I12" i="42"/>
  <c r="E12" i="42"/>
  <c r="D12" i="42"/>
  <c r="C12" i="42"/>
  <c r="B12" i="42"/>
  <c r="N11" i="42"/>
  <c r="M11" i="42"/>
  <c r="J11" i="42"/>
  <c r="I11" i="42"/>
  <c r="E11" i="42"/>
  <c r="D11" i="42"/>
  <c r="C11" i="42"/>
  <c r="B11" i="42"/>
  <c r="N10" i="42"/>
  <c r="M10" i="42"/>
  <c r="J10" i="42"/>
  <c r="I10" i="42"/>
  <c r="E10" i="42"/>
  <c r="D10" i="42"/>
  <c r="C10" i="42"/>
  <c r="B10" i="42"/>
  <c r="N9" i="42"/>
  <c r="M9" i="42"/>
  <c r="J9" i="42"/>
  <c r="I9" i="42"/>
  <c r="E9" i="42"/>
  <c r="D9" i="42"/>
  <c r="G9" i="42" s="1"/>
  <c r="C9" i="42"/>
  <c r="B9" i="42"/>
  <c r="N8" i="42"/>
  <c r="M8" i="42"/>
  <c r="J8" i="42"/>
  <c r="I8" i="42"/>
  <c r="E8" i="42"/>
  <c r="D8" i="42"/>
  <c r="C8" i="42"/>
  <c r="B8" i="42"/>
  <c r="N7" i="42"/>
  <c r="M7" i="42"/>
  <c r="J7" i="42"/>
  <c r="I7" i="42"/>
  <c r="E7" i="42"/>
  <c r="D7" i="42"/>
  <c r="C7" i="42"/>
  <c r="B7" i="42"/>
  <c r="N6" i="42"/>
  <c r="M6" i="42"/>
  <c r="J6" i="42"/>
  <c r="I6" i="42"/>
  <c r="E6" i="42"/>
  <c r="D6" i="42"/>
  <c r="C6" i="42"/>
  <c r="B6" i="42"/>
  <c r="N5" i="42"/>
  <c r="M5" i="42"/>
  <c r="J5" i="42"/>
  <c r="I5" i="42"/>
  <c r="E5" i="42"/>
  <c r="D5" i="42"/>
  <c r="C5" i="42"/>
  <c r="B5" i="42"/>
  <c r="N4" i="42"/>
  <c r="M4" i="42"/>
  <c r="J4" i="42"/>
  <c r="I4" i="42"/>
  <c r="E4" i="42"/>
  <c r="D4" i="42"/>
  <c r="C4" i="42"/>
  <c r="B4" i="42"/>
  <c r="N3" i="42"/>
  <c r="M3" i="42"/>
  <c r="J3" i="42"/>
  <c r="I3" i="42"/>
  <c r="E3" i="42"/>
  <c r="D3" i="42"/>
  <c r="C3" i="42"/>
  <c r="B3" i="42"/>
  <c r="N2" i="42"/>
  <c r="M2" i="42"/>
  <c r="J2" i="42"/>
  <c r="I2" i="42"/>
  <c r="E2" i="42"/>
  <c r="D2" i="42"/>
  <c r="C2" i="42"/>
  <c r="B2" i="42"/>
  <c r="H5" i="42" l="1"/>
  <c r="L5" i="42" s="1"/>
  <c r="G16" i="42"/>
  <c r="G22" i="42"/>
  <c r="G30" i="42"/>
  <c r="G32" i="42"/>
  <c r="G34" i="42"/>
  <c r="G35" i="42"/>
  <c r="G38" i="42"/>
  <c r="H4" i="42"/>
  <c r="L4" i="42" s="1"/>
  <c r="H6" i="42"/>
  <c r="G11" i="42"/>
  <c r="G12" i="42"/>
  <c r="F6" i="42"/>
  <c r="H25" i="42"/>
  <c r="K25" i="42" s="1"/>
  <c r="H26" i="42"/>
  <c r="K26" i="42" s="1"/>
  <c r="H29" i="42"/>
  <c r="L29" i="42" s="1"/>
  <c r="H33" i="42"/>
  <c r="K33" i="42" s="1"/>
  <c r="H13" i="42"/>
  <c r="F2" i="42"/>
  <c r="L40" i="37"/>
  <c r="F40" i="37"/>
  <c r="Q8" i="43"/>
  <c r="Q10" i="43" s="1"/>
  <c r="Q2" i="43"/>
  <c r="Q4" i="43" s="1"/>
  <c r="Q5" i="43"/>
  <c r="H17" i="42"/>
  <c r="K17" i="42" s="1"/>
  <c r="F18" i="42"/>
  <c r="H20" i="42"/>
  <c r="L20" i="42" s="1"/>
  <c r="H21" i="42"/>
  <c r="L21" i="42" s="1"/>
  <c r="F26" i="42"/>
  <c r="F3" i="42"/>
  <c r="G5" i="42"/>
  <c r="G6" i="42"/>
  <c r="G8" i="42"/>
  <c r="H9" i="42"/>
  <c r="H28" i="42"/>
  <c r="L28" i="42" s="1"/>
  <c r="F37" i="42"/>
  <c r="F33" i="42"/>
  <c r="H36" i="42"/>
  <c r="K36" i="42" s="1"/>
  <c r="H10" i="42"/>
  <c r="K10" i="42" s="1"/>
  <c r="G14" i="42"/>
  <c r="F10" i="42"/>
  <c r="H12" i="42"/>
  <c r="L12" i="42" s="1"/>
  <c r="G33" i="42"/>
  <c r="G36" i="42"/>
  <c r="F14" i="42"/>
  <c r="H18" i="42"/>
  <c r="K18" i="42" s="1"/>
  <c r="H19" i="42"/>
  <c r="K19" i="42" s="1"/>
  <c r="G20" i="42"/>
  <c r="K5" i="42"/>
  <c r="L13" i="42"/>
  <c r="K13" i="42"/>
  <c r="H2" i="42"/>
  <c r="K2" i="42" s="1"/>
  <c r="H3" i="42"/>
  <c r="K3" i="42" s="1"/>
  <c r="G3" i="42"/>
  <c r="F11" i="42"/>
  <c r="G13" i="42"/>
  <c r="G19" i="42"/>
  <c r="G25" i="42"/>
  <c r="F31" i="42"/>
  <c r="G21" i="42"/>
  <c r="G27" i="42"/>
  <c r="H34" i="42"/>
  <c r="K34" i="42" s="1"/>
  <c r="H7" i="42"/>
  <c r="K7" i="42" s="1"/>
  <c r="H8" i="42"/>
  <c r="L8" i="42" s="1"/>
  <c r="H14" i="42"/>
  <c r="L14" i="42" s="1"/>
  <c r="H27" i="42"/>
  <c r="K27" i="42" s="1"/>
  <c r="G28" i="42"/>
  <c r="F34" i="42"/>
  <c r="F35" i="42"/>
  <c r="F36" i="42"/>
  <c r="H35" i="42"/>
  <c r="L35" i="42" s="1"/>
  <c r="H15" i="42"/>
  <c r="K15" i="42" s="1"/>
  <c r="H16" i="42"/>
  <c r="L16" i="42" s="1"/>
  <c r="H22" i="42"/>
  <c r="L22" i="42" s="1"/>
  <c r="H30" i="42"/>
  <c r="K30" i="42" s="1"/>
  <c r="H37" i="42"/>
  <c r="L37" i="42" s="1"/>
  <c r="H38" i="42"/>
  <c r="K38" i="42" s="1"/>
  <c r="G17" i="42"/>
  <c r="F22" i="42"/>
  <c r="G24" i="42"/>
  <c r="F30" i="42"/>
  <c r="F32" i="42"/>
  <c r="G4" i="42"/>
  <c r="H11" i="42"/>
  <c r="K11" i="42" s="1"/>
  <c r="H23" i="42"/>
  <c r="L23" i="42" s="1"/>
  <c r="H24" i="42"/>
  <c r="L24" i="42" s="1"/>
  <c r="H31" i="42"/>
  <c r="L31" i="42" s="1"/>
  <c r="H32" i="42"/>
  <c r="K32" i="42" s="1"/>
  <c r="F38" i="42"/>
  <c r="G37" i="42"/>
  <c r="L15" i="42"/>
  <c r="L17" i="42"/>
  <c r="L25" i="42"/>
  <c r="L6" i="42"/>
  <c r="K6" i="42"/>
  <c r="K9" i="42"/>
  <c r="L9" i="42"/>
  <c r="G2" i="42"/>
  <c r="G10" i="42"/>
  <c r="F15" i="42"/>
  <c r="G18" i="42"/>
  <c r="G26" i="42"/>
  <c r="G7" i="42"/>
  <c r="F28" i="42"/>
  <c r="G31" i="42"/>
  <c r="F7" i="42"/>
  <c r="F23" i="42"/>
  <c r="F4" i="42"/>
  <c r="F12" i="42"/>
  <c r="G15" i="42"/>
  <c r="F20" i="42"/>
  <c r="G23" i="42"/>
  <c r="F9" i="42"/>
  <c r="F17" i="42"/>
  <c r="F25" i="42"/>
  <c r="F8" i="42"/>
  <c r="F16" i="42"/>
  <c r="F24" i="42"/>
  <c r="F5" i="42"/>
  <c r="F13" i="42"/>
  <c r="F21" i="42"/>
  <c r="F29" i="42"/>
  <c r="G29" i="42"/>
  <c r="Q5" i="42"/>
  <c r="E39" i="37" s="1"/>
  <c r="Q15" i="42"/>
  <c r="N39" i="37" s="1"/>
  <c r="Q9" i="42"/>
  <c r="I39" i="37" s="1"/>
  <c r="Q3" i="42"/>
  <c r="D39" i="37" s="1"/>
  <c r="C31" i="39"/>
  <c r="C30" i="39"/>
  <c r="C29" i="39"/>
  <c r="C28" i="39"/>
  <c r="C27" i="39"/>
  <c r="C26" i="39"/>
  <c r="C25" i="39"/>
  <c r="C20" i="39"/>
  <c r="C19" i="39"/>
  <c r="C18" i="39"/>
  <c r="C17" i="39"/>
  <c r="C16" i="39"/>
  <c r="C15" i="39"/>
  <c r="C14" i="39"/>
  <c r="K4" i="42" l="1"/>
  <c r="K29" i="42"/>
  <c r="K24" i="42"/>
  <c r="K23" i="42"/>
  <c r="L38" i="42"/>
  <c r="L33" i="42"/>
  <c r="K21" i="42"/>
  <c r="K16" i="42"/>
  <c r="L36" i="42"/>
  <c r="K20" i="42"/>
  <c r="L26" i="42"/>
  <c r="Q6" i="43"/>
  <c r="Q12" i="43"/>
  <c r="K22" i="42"/>
  <c r="L19" i="42"/>
  <c r="K14" i="42"/>
  <c r="L27" i="42"/>
  <c r="K35" i="42"/>
  <c r="L10" i="42"/>
  <c r="L2" i="42"/>
  <c r="K31" i="42"/>
  <c r="K28" i="42"/>
  <c r="L18" i="42"/>
  <c r="K8" i="42"/>
  <c r="L7" i="42"/>
  <c r="K12" i="42"/>
  <c r="K37" i="42"/>
  <c r="L32" i="42"/>
  <c r="L30" i="42"/>
  <c r="L3" i="42"/>
  <c r="L11" i="42"/>
  <c r="L34" i="42"/>
  <c r="Q14" i="42"/>
  <c r="M39" i="37" s="1"/>
  <c r="Q8" i="42"/>
  <c r="Q2" i="42"/>
  <c r="Q11" i="42"/>
  <c r="J39" i="37" s="1"/>
  <c r="N33" i="36"/>
  <c r="M33" i="36"/>
  <c r="J33" i="36"/>
  <c r="I33" i="36"/>
  <c r="E33" i="36"/>
  <c r="D33" i="36"/>
  <c r="C33" i="36"/>
  <c r="B33" i="36"/>
  <c r="N32" i="36"/>
  <c r="M32" i="36"/>
  <c r="J32" i="36"/>
  <c r="I32" i="36"/>
  <c r="E32" i="36"/>
  <c r="D32" i="36"/>
  <c r="C32" i="36"/>
  <c r="B32" i="36"/>
  <c r="N31" i="36"/>
  <c r="M31" i="36"/>
  <c r="J31" i="36"/>
  <c r="I31" i="36"/>
  <c r="E31" i="36"/>
  <c r="D31" i="36"/>
  <c r="C31" i="36"/>
  <c r="B31" i="36"/>
  <c r="N30" i="36"/>
  <c r="M30" i="36"/>
  <c r="J30" i="36"/>
  <c r="I30" i="36"/>
  <c r="E30" i="36"/>
  <c r="D30" i="36"/>
  <c r="C30" i="36"/>
  <c r="B30" i="36"/>
  <c r="N29" i="36"/>
  <c r="M29" i="36"/>
  <c r="J29" i="36"/>
  <c r="I29" i="36"/>
  <c r="E29" i="36"/>
  <c r="D29" i="36"/>
  <c r="C29" i="36"/>
  <c r="B29" i="36"/>
  <c r="N28" i="36"/>
  <c r="M28" i="36"/>
  <c r="J28" i="36"/>
  <c r="I28" i="36"/>
  <c r="E28" i="36"/>
  <c r="D28" i="36"/>
  <c r="C28" i="36"/>
  <c r="B28" i="36"/>
  <c r="N27" i="36"/>
  <c r="M27" i="36"/>
  <c r="J27" i="36"/>
  <c r="I27" i="36"/>
  <c r="E27" i="36"/>
  <c r="D27" i="36"/>
  <c r="C27" i="36"/>
  <c r="B27" i="36"/>
  <c r="N36" i="35"/>
  <c r="M36" i="35"/>
  <c r="J36" i="35"/>
  <c r="I36" i="35"/>
  <c r="E36" i="35"/>
  <c r="D36" i="35"/>
  <c r="C36" i="35"/>
  <c r="B36" i="35"/>
  <c r="N35" i="35"/>
  <c r="M35" i="35"/>
  <c r="J35" i="35"/>
  <c r="I35" i="35"/>
  <c r="E35" i="35"/>
  <c r="D35" i="35"/>
  <c r="C35" i="35"/>
  <c r="B35" i="35"/>
  <c r="N34" i="35"/>
  <c r="M34" i="35"/>
  <c r="J34" i="35"/>
  <c r="I34" i="35"/>
  <c r="E34" i="35"/>
  <c r="D34" i="35"/>
  <c r="C34" i="35"/>
  <c r="B34" i="35"/>
  <c r="N33" i="35"/>
  <c r="M33" i="35"/>
  <c r="J33" i="35"/>
  <c r="I33" i="35"/>
  <c r="E33" i="35"/>
  <c r="D33" i="35"/>
  <c r="C33" i="35"/>
  <c r="B33" i="35"/>
  <c r="N32" i="35"/>
  <c r="M32" i="35"/>
  <c r="J32" i="35"/>
  <c r="I32" i="35"/>
  <c r="E32" i="35"/>
  <c r="D32" i="35"/>
  <c r="C32" i="35"/>
  <c r="B32" i="35"/>
  <c r="N31" i="35"/>
  <c r="M31" i="35"/>
  <c r="J31" i="35"/>
  <c r="I31" i="35"/>
  <c r="E31" i="35"/>
  <c r="D31" i="35"/>
  <c r="C31" i="35"/>
  <c r="B31" i="35"/>
  <c r="N30" i="35"/>
  <c r="M30" i="35"/>
  <c r="J30" i="35"/>
  <c r="I30" i="35"/>
  <c r="E30" i="35"/>
  <c r="D30" i="35"/>
  <c r="C30" i="35"/>
  <c r="B30" i="35"/>
  <c r="N33" i="34"/>
  <c r="M33" i="34"/>
  <c r="J33" i="34"/>
  <c r="I33" i="34"/>
  <c r="E33" i="34"/>
  <c r="D33" i="34"/>
  <c r="C33" i="34"/>
  <c r="B33" i="34"/>
  <c r="N32" i="34"/>
  <c r="M32" i="34"/>
  <c r="J32" i="34"/>
  <c r="I32" i="34"/>
  <c r="E32" i="34"/>
  <c r="D32" i="34"/>
  <c r="C32" i="34"/>
  <c r="B32" i="34"/>
  <c r="N31" i="34"/>
  <c r="M31" i="34"/>
  <c r="J31" i="34"/>
  <c r="I31" i="34"/>
  <c r="E31" i="34"/>
  <c r="D31" i="34"/>
  <c r="C31" i="34"/>
  <c r="B31" i="34"/>
  <c r="N30" i="34"/>
  <c r="M30" i="34"/>
  <c r="J30" i="34"/>
  <c r="I30" i="34"/>
  <c r="E30" i="34"/>
  <c r="D30" i="34"/>
  <c r="C30" i="34"/>
  <c r="B30" i="34"/>
  <c r="N29" i="34"/>
  <c r="M29" i="34"/>
  <c r="J29" i="34"/>
  <c r="I29" i="34"/>
  <c r="E29" i="34"/>
  <c r="D29" i="34"/>
  <c r="C29" i="34"/>
  <c r="B29" i="34"/>
  <c r="N28" i="34"/>
  <c r="M28" i="34"/>
  <c r="J28" i="34"/>
  <c r="I28" i="34"/>
  <c r="E28" i="34"/>
  <c r="D28" i="34"/>
  <c r="C28" i="34"/>
  <c r="B28" i="34"/>
  <c r="N27" i="34"/>
  <c r="M27" i="34"/>
  <c r="J27" i="34"/>
  <c r="I27" i="34"/>
  <c r="E27" i="34"/>
  <c r="D27" i="34"/>
  <c r="C27" i="34"/>
  <c r="B27" i="34"/>
  <c r="N32" i="33"/>
  <c r="M32" i="33"/>
  <c r="J32" i="33"/>
  <c r="I32" i="33"/>
  <c r="E32" i="33"/>
  <c r="D32" i="33"/>
  <c r="C32" i="33"/>
  <c r="B32" i="33"/>
  <c r="N31" i="33"/>
  <c r="M31" i="33"/>
  <c r="J31" i="33"/>
  <c r="I31" i="33"/>
  <c r="E31" i="33"/>
  <c r="D31" i="33"/>
  <c r="C31" i="33"/>
  <c r="B31" i="33"/>
  <c r="N30" i="33"/>
  <c r="M30" i="33"/>
  <c r="J30" i="33"/>
  <c r="I30" i="33"/>
  <c r="E30" i="33"/>
  <c r="D30" i="33"/>
  <c r="C30" i="33"/>
  <c r="B30" i="33"/>
  <c r="N29" i="33"/>
  <c r="M29" i="33"/>
  <c r="J29" i="33"/>
  <c r="I29" i="33"/>
  <c r="E29" i="33"/>
  <c r="D29" i="33"/>
  <c r="C29" i="33"/>
  <c r="B29" i="33"/>
  <c r="N28" i="33"/>
  <c r="M28" i="33"/>
  <c r="J28" i="33"/>
  <c r="I28" i="33"/>
  <c r="E28" i="33"/>
  <c r="D28" i="33"/>
  <c r="C28" i="33"/>
  <c r="B28" i="33"/>
  <c r="N27" i="33"/>
  <c r="M27" i="33"/>
  <c r="J27" i="33"/>
  <c r="I27" i="33"/>
  <c r="E27" i="33"/>
  <c r="D27" i="33"/>
  <c r="C27" i="33"/>
  <c r="B27" i="33"/>
  <c r="N26" i="33"/>
  <c r="M26" i="33"/>
  <c r="J26" i="33"/>
  <c r="I26" i="33"/>
  <c r="E26" i="33"/>
  <c r="D26" i="33"/>
  <c r="C26" i="33"/>
  <c r="B26" i="33"/>
  <c r="N32" i="32"/>
  <c r="M32" i="32"/>
  <c r="J32" i="32"/>
  <c r="I32" i="32"/>
  <c r="E32" i="32"/>
  <c r="D32" i="32"/>
  <c r="C32" i="32"/>
  <c r="B32" i="32"/>
  <c r="N31" i="32"/>
  <c r="M31" i="32"/>
  <c r="J31" i="32"/>
  <c r="I31" i="32"/>
  <c r="E31" i="32"/>
  <c r="D31" i="32"/>
  <c r="C31" i="32"/>
  <c r="B31" i="32"/>
  <c r="N30" i="32"/>
  <c r="M30" i="32"/>
  <c r="J30" i="32"/>
  <c r="I30" i="32"/>
  <c r="E30" i="32"/>
  <c r="D30" i="32"/>
  <c r="C30" i="32"/>
  <c r="B30" i="32"/>
  <c r="N29" i="32"/>
  <c r="M29" i="32"/>
  <c r="J29" i="32"/>
  <c r="I29" i="32"/>
  <c r="E29" i="32"/>
  <c r="D29" i="32"/>
  <c r="C29" i="32"/>
  <c r="B29" i="32"/>
  <c r="N28" i="32"/>
  <c r="M28" i="32"/>
  <c r="J28" i="32"/>
  <c r="I28" i="32"/>
  <c r="E28" i="32"/>
  <c r="D28" i="32"/>
  <c r="C28" i="32"/>
  <c r="B28" i="32"/>
  <c r="N27" i="32"/>
  <c r="M27" i="32"/>
  <c r="J27" i="32"/>
  <c r="I27" i="32"/>
  <c r="E27" i="32"/>
  <c r="D27" i="32"/>
  <c r="C27" i="32"/>
  <c r="B27" i="32"/>
  <c r="N26" i="32"/>
  <c r="M26" i="32"/>
  <c r="J26" i="32"/>
  <c r="I26" i="32"/>
  <c r="E26" i="32"/>
  <c r="D26" i="32"/>
  <c r="C26" i="32"/>
  <c r="B26" i="32"/>
  <c r="N31" i="31"/>
  <c r="M31" i="31"/>
  <c r="J31" i="31"/>
  <c r="I31" i="31"/>
  <c r="E31" i="31"/>
  <c r="D31" i="31"/>
  <c r="C31" i="31"/>
  <c r="B31" i="31"/>
  <c r="N30" i="31"/>
  <c r="M30" i="31"/>
  <c r="J30" i="31"/>
  <c r="I30" i="31"/>
  <c r="E30" i="31"/>
  <c r="D30" i="31"/>
  <c r="C30" i="31"/>
  <c r="B30" i="31"/>
  <c r="N29" i="31"/>
  <c r="M29" i="31"/>
  <c r="J29" i="31"/>
  <c r="I29" i="31"/>
  <c r="E29" i="31"/>
  <c r="D29" i="31"/>
  <c r="C29" i="31"/>
  <c r="B29" i="31"/>
  <c r="N28" i="31"/>
  <c r="M28" i="31"/>
  <c r="J28" i="31"/>
  <c r="I28" i="31"/>
  <c r="E28" i="31"/>
  <c r="D28" i="31"/>
  <c r="C28" i="31"/>
  <c r="B28" i="31"/>
  <c r="N27" i="31"/>
  <c r="M27" i="31"/>
  <c r="J27" i="31"/>
  <c r="I27" i="31"/>
  <c r="E27" i="31"/>
  <c r="D27" i="31"/>
  <c r="C27" i="31"/>
  <c r="B27" i="31"/>
  <c r="N26" i="31"/>
  <c r="M26" i="31"/>
  <c r="J26" i="31"/>
  <c r="I26" i="31"/>
  <c r="E26" i="31"/>
  <c r="D26" i="31"/>
  <c r="C26" i="31"/>
  <c r="B26" i="31"/>
  <c r="N25" i="31"/>
  <c r="M25" i="31"/>
  <c r="J25" i="31"/>
  <c r="I25" i="31"/>
  <c r="E25" i="31"/>
  <c r="D25" i="31"/>
  <c r="C25" i="31"/>
  <c r="B25" i="31"/>
  <c r="N34" i="30"/>
  <c r="M34" i="30"/>
  <c r="J34" i="30"/>
  <c r="I34" i="30"/>
  <c r="E34" i="30"/>
  <c r="D34" i="30"/>
  <c r="C34" i="30"/>
  <c r="B34" i="30"/>
  <c r="N33" i="30"/>
  <c r="M33" i="30"/>
  <c r="J33" i="30"/>
  <c r="I33" i="30"/>
  <c r="E33" i="30"/>
  <c r="D33" i="30"/>
  <c r="C33" i="30"/>
  <c r="B33" i="30"/>
  <c r="N32" i="30"/>
  <c r="M32" i="30"/>
  <c r="J32" i="30"/>
  <c r="I32" i="30"/>
  <c r="E32" i="30"/>
  <c r="D32" i="30"/>
  <c r="C32" i="30"/>
  <c r="B32" i="30"/>
  <c r="N31" i="30"/>
  <c r="M31" i="30"/>
  <c r="J31" i="30"/>
  <c r="I31" i="30"/>
  <c r="E31" i="30"/>
  <c r="D31" i="30"/>
  <c r="C31" i="30"/>
  <c r="B31" i="30"/>
  <c r="N30" i="30"/>
  <c r="M30" i="30"/>
  <c r="J30" i="30"/>
  <c r="I30" i="30"/>
  <c r="E30" i="30"/>
  <c r="D30" i="30"/>
  <c r="C30" i="30"/>
  <c r="B30" i="30"/>
  <c r="N29" i="30"/>
  <c r="M29" i="30"/>
  <c r="J29" i="30"/>
  <c r="I29" i="30"/>
  <c r="E29" i="30"/>
  <c r="D29" i="30"/>
  <c r="C29" i="30"/>
  <c r="B29" i="30"/>
  <c r="N39" i="29"/>
  <c r="M39" i="29"/>
  <c r="J39" i="29"/>
  <c r="I39" i="29"/>
  <c r="E39" i="29"/>
  <c r="D39" i="29"/>
  <c r="C39" i="29"/>
  <c r="B39" i="29"/>
  <c r="N38" i="29"/>
  <c r="M38" i="29"/>
  <c r="J38" i="29"/>
  <c r="I38" i="29"/>
  <c r="E38" i="29"/>
  <c r="D38" i="29"/>
  <c r="C38" i="29"/>
  <c r="B38" i="29"/>
  <c r="N37" i="29"/>
  <c r="M37" i="29"/>
  <c r="J37" i="29"/>
  <c r="I37" i="29"/>
  <c r="E37" i="29"/>
  <c r="D37" i="29"/>
  <c r="C37" i="29"/>
  <c r="B37" i="29"/>
  <c r="N36" i="29"/>
  <c r="M36" i="29"/>
  <c r="J36" i="29"/>
  <c r="I36" i="29"/>
  <c r="E36" i="29"/>
  <c r="D36" i="29"/>
  <c r="C36" i="29"/>
  <c r="B36" i="29"/>
  <c r="N35" i="29"/>
  <c r="M35" i="29"/>
  <c r="J35" i="29"/>
  <c r="I35" i="29"/>
  <c r="E35" i="29"/>
  <c r="D35" i="29"/>
  <c r="C35" i="29"/>
  <c r="B35" i="29"/>
  <c r="N34" i="29"/>
  <c r="M34" i="29"/>
  <c r="J34" i="29"/>
  <c r="I34" i="29"/>
  <c r="E34" i="29"/>
  <c r="D34" i="29"/>
  <c r="C34" i="29"/>
  <c r="B34" i="29"/>
  <c r="N33" i="29"/>
  <c r="M33" i="29"/>
  <c r="J33" i="29"/>
  <c r="I33" i="29"/>
  <c r="E33" i="29"/>
  <c r="D33" i="29"/>
  <c r="C33" i="29"/>
  <c r="B33" i="29"/>
  <c r="N32" i="29"/>
  <c r="M32" i="29"/>
  <c r="J32" i="29"/>
  <c r="I32" i="29"/>
  <c r="E32" i="29"/>
  <c r="D32" i="29"/>
  <c r="C32" i="29"/>
  <c r="B32" i="29"/>
  <c r="N31" i="29"/>
  <c r="M31" i="29"/>
  <c r="J31" i="29"/>
  <c r="I31" i="29"/>
  <c r="E31" i="29"/>
  <c r="D31" i="29"/>
  <c r="C31" i="29"/>
  <c r="B31" i="29"/>
  <c r="N30" i="29"/>
  <c r="M30" i="29"/>
  <c r="J30" i="29"/>
  <c r="I30" i="29"/>
  <c r="E30" i="29"/>
  <c r="D30" i="29"/>
  <c r="C30" i="29"/>
  <c r="B30" i="29"/>
  <c r="N38" i="28"/>
  <c r="M38" i="28"/>
  <c r="J38" i="28"/>
  <c r="I38" i="28"/>
  <c r="E38" i="28"/>
  <c r="D38" i="28"/>
  <c r="C38" i="28"/>
  <c r="B38" i="28"/>
  <c r="N37" i="28"/>
  <c r="M37" i="28"/>
  <c r="J37" i="28"/>
  <c r="I37" i="28"/>
  <c r="E37" i="28"/>
  <c r="D37" i="28"/>
  <c r="C37" i="28"/>
  <c r="B37" i="28"/>
  <c r="N36" i="28"/>
  <c r="M36" i="28"/>
  <c r="J36" i="28"/>
  <c r="I36" i="28"/>
  <c r="E36" i="28"/>
  <c r="D36" i="28"/>
  <c r="C36" i="28"/>
  <c r="B36" i="28"/>
  <c r="N35" i="28"/>
  <c r="M35" i="28"/>
  <c r="J35" i="28"/>
  <c r="I35" i="28"/>
  <c r="E35" i="28"/>
  <c r="D35" i="28"/>
  <c r="C35" i="28"/>
  <c r="B35" i="28"/>
  <c r="N34" i="28"/>
  <c r="M34" i="28"/>
  <c r="J34" i="28"/>
  <c r="I34" i="28"/>
  <c r="E34" i="28"/>
  <c r="D34" i="28"/>
  <c r="C34" i="28"/>
  <c r="B34" i="28"/>
  <c r="N33" i="28"/>
  <c r="M33" i="28"/>
  <c r="J33" i="28"/>
  <c r="I33" i="28"/>
  <c r="E33" i="28"/>
  <c r="D33" i="28"/>
  <c r="C33" i="28"/>
  <c r="B33" i="28"/>
  <c r="N32" i="28"/>
  <c r="M32" i="28"/>
  <c r="J32" i="28"/>
  <c r="I32" i="28"/>
  <c r="E32" i="28"/>
  <c r="D32" i="28"/>
  <c r="C32" i="28"/>
  <c r="B32" i="28"/>
  <c r="N31" i="28"/>
  <c r="M31" i="28"/>
  <c r="J31" i="28"/>
  <c r="I31" i="28"/>
  <c r="E31" i="28"/>
  <c r="D31" i="28"/>
  <c r="C31" i="28"/>
  <c r="B31" i="28"/>
  <c r="N30" i="28"/>
  <c r="M30" i="28"/>
  <c r="J30" i="28"/>
  <c r="I30" i="28"/>
  <c r="E30" i="28"/>
  <c r="D30" i="28"/>
  <c r="C30" i="28"/>
  <c r="B30" i="28"/>
  <c r="N37" i="27"/>
  <c r="M37" i="27"/>
  <c r="J37" i="27"/>
  <c r="I37" i="27"/>
  <c r="E37" i="27"/>
  <c r="D37" i="27"/>
  <c r="C37" i="27"/>
  <c r="B37" i="27"/>
  <c r="N36" i="27"/>
  <c r="M36" i="27"/>
  <c r="J36" i="27"/>
  <c r="I36" i="27"/>
  <c r="E36" i="27"/>
  <c r="D36" i="27"/>
  <c r="C36" i="27"/>
  <c r="B36" i="27"/>
  <c r="N35" i="27"/>
  <c r="M35" i="27"/>
  <c r="J35" i="27"/>
  <c r="I35" i="27"/>
  <c r="E35" i="27"/>
  <c r="D35" i="27"/>
  <c r="C35" i="27"/>
  <c r="B35" i="27"/>
  <c r="N34" i="27"/>
  <c r="M34" i="27"/>
  <c r="J34" i="27"/>
  <c r="I34" i="27"/>
  <c r="E34" i="27"/>
  <c r="D34" i="27"/>
  <c r="C34" i="27"/>
  <c r="B34" i="27"/>
  <c r="N33" i="27"/>
  <c r="M33" i="27"/>
  <c r="J33" i="27"/>
  <c r="I33" i="27"/>
  <c r="E33" i="27"/>
  <c r="D33" i="27"/>
  <c r="C33" i="27"/>
  <c r="B33" i="27"/>
  <c r="N32" i="27"/>
  <c r="M32" i="27"/>
  <c r="J32" i="27"/>
  <c r="I32" i="27"/>
  <c r="E32" i="27"/>
  <c r="D32" i="27"/>
  <c r="C32" i="27"/>
  <c r="B32" i="27"/>
  <c r="N31" i="27"/>
  <c r="M31" i="27"/>
  <c r="J31" i="27"/>
  <c r="I31" i="27"/>
  <c r="E31" i="27"/>
  <c r="D31" i="27"/>
  <c r="C31" i="27"/>
  <c r="B31" i="27"/>
  <c r="N30" i="27"/>
  <c r="M30" i="27"/>
  <c r="J30" i="27"/>
  <c r="I30" i="27"/>
  <c r="E30" i="27"/>
  <c r="D30" i="27"/>
  <c r="C30" i="27"/>
  <c r="B30" i="27"/>
  <c r="N29" i="27"/>
  <c r="M29" i="27"/>
  <c r="J29" i="27"/>
  <c r="I29" i="27"/>
  <c r="E29" i="27"/>
  <c r="D29" i="27"/>
  <c r="C29" i="27"/>
  <c r="B29" i="27"/>
  <c r="N28" i="27"/>
  <c r="M28" i="27"/>
  <c r="J28" i="27"/>
  <c r="I28" i="27"/>
  <c r="E28" i="27"/>
  <c r="D28" i="27"/>
  <c r="C28" i="27"/>
  <c r="B28" i="27"/>
  <c r="N42" i="26"/>
  <c r="M42" i="26"/>
  <c r="J42" i="26"/>
  <c r="I42" i="26"/>
  <c r="E42" i="26"/>
  <c r="D42" i="26"/>
  <c r="C42" i="26"/>
  <c r="B42" i="26"/>
  <c r="N41" i="26"/>
  <c r="M41" i="26"/>
  <c r="J41" i="26"/>
  <c r="I41" i="26"/>
  <c r="E41" i="26"/>
  <c r="D41" i="26"/>
  <c r="C41" i="26"/>
  <c r="B41" i="26"/>
  <c r="N40" i="26"/>
  <c r="M40" i="26"/>
  <c r="J40" i="26"/>
  <c r="I40" i="26"/>
  <c r="E40" i="26"/>
  <c r="D40" i="26"/>
  <c r="C40" i="26"/>
  <c r="B40" i="26"/>
  <c r="N39" i="26"/>
  <c r="M39" i="26"/>
  <c r="J39" i="26"/>
  <c r="I39" i="26"/>
  <c r="E39" i="26"/>
  <c r="D39" i="26"/>
  <c r="C39" i="26"/>
  <c r="B39" i="26"/>
  <c r="N38" i="26"/>
  <c r="M38" i="26"/>
  <c r="J38" i="26"/>
  <c r="I38" i="26"/>
  <c r="E38" i="26"/>
  <c r="D38" i="26"/>
  <c r="C38" i="26"/>
  <c r="B38" i="26"/>
  <c r="N37" i="26"/>
  <c r="M37" i="26"/>
  <c r="J37" i="26"/>
  <c r="I37" i="26"/>
  <c r="E37" i="26"/>
  <c r="D37" i="26"/>
  <c r="C37" i="26"/>
  <c r="B37" i="26"/>
  <c r="N36" i="26"/>
  <c r="M36" i="26"/>
  <c r="J36" i="26"/>
  <c r="I36" i="26"/>
  <c r="E36" i="26"/>
  <c r="D36" i="26"/>
  <c r="C36" i="26"/>
  <c r="B36" i="26"/>
  <c r="N35" i="26"/>
  <c r="M35" i="26"/>
  <c r="J35" i="26"/>
  <c r="I35" i="26"/>
  <c r="E35" i="26"/>
  <c r="D35" i="26"/>
  <c r="C35" i="26"/>
  <c r="B35" i="26"/>
  <c r="N34" i="26"/>
  <c r="M34" i="26"/>
  <c r="J34" i="26"/>
  <c r="I34" i="26"/>
  <c r="E34" i="26"/>
  <c r="D34" i="26"/>
  <c r="C34" i="26"/>
  <c r="B34" i="26"/>
  <c r="N43" i="25"/>
  <c r="M43" i="25"/>
  <c r="J43" i="25"/>
  <c r="I43" i="25"/>
  <c r="E43" i="25"/>
  <c r="D43" i="25"/>
  <c r="C43" i="25"/>
  <c r="B43" i="25"/>
  <c r="N42" i="25"/>
  <c r="M42" i="25"/>
  <c r="J42" i="25"/>
  <c r="I42" i="25"/>
  <c r="E42" i="25"/>
  <c r="D42" i="25"/>
  <c r="C42" i="25"/>
  <c r="B42" i="25"/>
  <c r="N41" i="25"/>
  <c r="M41" i="25"/>
  <c r="J41" i="25"/>
  <c r="I41" i="25"/>
  <c r="E41" i="25"/>
  <c r="D41" i="25"/>
  <c r="C41" i="25"/>
  <c r="B41" i="25"/>
  <c r="N40" i="25"/>
  <c r="M40" i="25"/>
  <c r="J40" i="25"/>
  <c r="I40" i="25"/>
  <c r="E40" i="25"/>
  <c r="D40" i="25"/>
  <c r="C40" i="25"/>
  <c r="B40" i="25"/>
  <c r="N39" i="25"/>
  <c r="M39" i="25"/>
  <c r="J39" i="25"/>
  <c r="I39" i="25"/>
  <c r="E39" i="25"/>
  <c r="D39" i="25"/>
  <c r="C39" i="25"/>
  <c r="B39" i="25"/>
  <c r="N38" i="25"/>
  <c r="M38" i="25"/>
  <c r="J38" i="25"/>
  <c r="I38" i="25"/>
  <c r="E38" i="25"/>
  <c r="D38" i="25"/>
  <c r="C38" i="25"/>
  <c r="B38" i="25"/>
  <c r="N37" i="25"/>
  <c r="M37" i="25"/>
  <c r="J37" i="25"/>
  <c r="I37" i="25"/>
  <c r="E37" i="25"/>
  <c r="D37" i="25"/>
  <c r="C37" i="25"/>
  <c r="B37" i="25"/>
  <c r="N36" i="25"/>
  <c r="M36" i="25"/>
  <c r="J36" i="25"/>
  <c r="I36" i="25"/>
  <c r="E36" i="25"/>
  <c r="D36" i="25"/>
  <c r="C36" i="25"/>
  <c r="B36" i="25"/>
  <c r="N35" i="25"/>
  <c r="M35" i="25"/>
  <c r="J35" i="25"/>
  <c r="I35" i="25"/>
  <c r="E35" i="25"/>
  <c r="D35" i="25"/>
  <c r="C35" i="25"/>
  <c r="B35" i="25"/>
  <c r="N34" i="25"/>
  <c r="M34" i="25"/>
  <c r="J34" i="25"/>
  <c r="I34" i="25"/>
  <c r="E34" i="25"/>
  <c r="D34" i="25"/>
  <c r="C34" i="25"/>
  <c r="B34" i="25"/>
  <c r="N43" i="24"/>
  <c r="M43" i="24"/>
  <c r="J43" i="24"/>
  <c r="I43" i="24"/>
  <c r="E43" i="24"/>
  <c r="D43" i="24"/>
  <c r="C43" i="24"/>
  <c r="B43" i="24"/>
  <c r="N42" i="24"/>
  <c r="M42" i="24"/>
  <c r="J42" i="24"/>
  <c r="I42" i="24"/>
  <c r="E42" i="24"/>
  <c r="D42" i="24"/>
  <c r="C42" i="24"/>
  <c r="B42" i="24"/>
  <c r="N41" i="24"/>
  <c r="M41" i="24"/>
  <c r="J41" i="24"/>
  <c r="I41" i="24"/>
  <c r="E41" i="24"/>
  <c r="D41" i="24"/>
  <c r="C41" i="24"/>
  <c r="B41" i="24"/>
  <c r="N40" i="24"/>
  <c r="M40" i="24"/>
  <c r="J40" i="24"/>
  <c r="I40" i="24"/>
  <c r="E40" i="24"/>
  <c r="D40" i="24"/>
  <c r="C40" i="24"/>
  <c r="B40" i="24"/>
  <c r="N39" i="24"/>
  <c r="M39" i="24"/>
  <c r="J39" i="24"/>
  <c r="I39" i="24"/>
  <c r="E39" i="24"/>
  <c r="D39" i="24"/>
  <c r="C39" i="24"/>
  <c r="B39" i="24"/>
  <c r="N38" i="24"/>
  <c r="M38" i="24"/>
  <c r="J38" i="24"/>
  <c r="I38" i="24"/>
  <c r="E38" i="24"/>
  <c r="D38" i="24"/>
  <c r="C38" i="24"/>
  <c r="B38" i="24"/>
  <c r="N37" i="24"/>
  <c r="M37" i="24"/>
  <c r="J37" i="24"/>
  <c r="I37" i="24"/>
  <c r="E37" i="24"/>
  <c r="D37" i="24"/>
  <c r="C37" i="24"/>
  <c r="B37" i="24"/>
  <c r="N36" i="24"/>
  <c r="M36" i="24"/>
  <c r="J36" i="24"/>
  <c r="I36" i="24"/>
  <c r="E36" i="24"/>
  <c r="D36" i="24"/>
  <c r="C36" i="24"/>
  <c r="B36" i="24"/>
  <c r="N35" i="24"/>
  <c r="M35" i="24"/>
  <c r="J35" i="24"/>
  <c r="I35" i="24"/>
  <c r="E35" i="24"/>
  <c r="D35" i="24"/>
  <c r="C35" i="24"/>
  <c r="B35" i="24"/>
  <c r="N34" i="24"/>
  <c r="M34" i="24"/>
  <c r="J34" i="24"/>
  <c r="I34" i="24"/>
  <c r="E34" i="24"/>
  <c r="D34" i="24"/>
  <c r="C34" i="24"/>
  <c r="B34" i="24"/>
  <c r="N40" i="23"/>
  <c r="M40" i="23"/>
  <c r="J40" i="23"/>
  <c r="I40" i="23"/>
  <c r="E40" i="23"/>
  <c r="D40" i="23"/>
  <c r="C40" i="23"/>
  <c r="B40" i="23"/>
  <c r="N39" i="23"/>
  <c r="M39" i="23"/>
  <c r="J39" i="23"/>
  <c r="I39" i="23"/>
  <c r="E39" i="23"/>
  <c r="D39" i="23"/>
  <c r="C39" i="23"/>
  <c r="B39" i="23"/>
  <c r="N38" i="23"/>
  <c r="M38" i="23"/>
  <c r="J38" i="23"/>
  <c r="I38" i="23"/>
  <c r="E38" i="23"/>
  <c r="D38" i="23"/>
  <c r="C38" i="23"/>
  <c r="B38" i="23"/>
  <c r="N37" i="23"/>
  <c r="M37" i="23"/>
  <c r="J37" i="23"/>
  <c r="I37" i="23"/>
  <c r="E37" i="23"/>
  <c r="D37" i="23"/>
  <c r="C37" i="23"/>
  <c r="B37" i="23"/>
  <c r="N36" i="23"/>
  <c r="M36" i="23"/>
  <c r="J36" i="23"/>
  <c r="I36" i="23"/>
  <c r="E36" i="23"/>
  <c r="D36" i="23"/>
  <c r="C36" i="23"/>
  <c r="B36" i="23"/>
  <c r="N35" i="23"/>
  <c r="M35" i="23"/>
  <c r="J35" i="23"/>
  <c r="I35" i="23"/>
  <c r="E35" i="23"/>
  <c r="D35" i="23"/>
  <c r="C35" i="23"/>
  <c r="B35" i="23"/>
  <c r="N34" i="23"/>
  <c r="M34" i="23"/>
  <c r="J34" i="23"/>
  <c r="I34" i="23"/>
  <c r="E34" i="23"/>
  <c r="D34" i="23"/>
  <c r="C34" i="23"/>
  <c r="B34" i="23"/>
  <c r="N33" i="23"/>
  <c r="M33" i="23"/>
  <c r="J33" i="23"/>
  <c r="I33" i="23"/>
  <c r="E33" i="23"/>
  <c r="D33" i="23"/>
  <c r="C33" i="23"/>
  <c r="B33" i="23"/>
  <c r="N32" i="23"/>
  <c r="M32" i="23"/>
  <c r="J32" i="23"/>
  <c r="I32" i="23"/>
  <c r="E32" i="23"/>
  <c r="D32" i="23"/>
  <c r="C32" i="23"/>
  <c r="B32" i="23"/>
  <c r="N31" i="23"/>
  <c r="M31" i="23"/>
  <c r="J31" i="23"/>
  <c r="I31" i="23"/>
  <c r="E31" i="23"/>
  <c r="D31" i="23"/>
  <c r="C31" i="23"/>
  <c r="B31" i="23"/>
  <c r="N44" i="22"/>
  <c r="M44" i="22"/>
  <c r="J44" i="22"/>
  <c r="I44" i="22"/>
  <c r="E44" i="22"/>
  <c r="D44" i="22"/>
  <c r="C44" i="22"/>
  <c r="B44" i="22"/>
  <c r="N43" i="22"/>
  <c r="M43" i="22"/>
  <c r="J43" i="22"/>
  <c r="I43" i="22"/>
  <c r="E43" i="22"/>
  <c r="D43" i="22"/>
  <c r="C43" i="22"/>
  <c r="B43" i="22"/>
  <c r="N42" i="22"/>
  <c r="M42" i="22"/>
  <c r="J42" i="22"/>
  <c r="I42" i="22"/>
  <c r="E42" i="22"/>
  <c r="D42" i="22"/>
  <c r="C42" i="22"/>
  <c r="B42" i="22"/>
  <c r="N41" i="22"/>
  <c r="M41" i="22"/>
  <c r="J41" i="22"/>
  <c r="I41" i="22"/>
  <c r="E41" i="22"/>
  <c r="D41" i="22"/>
  <c r="C41" i="22"/>
  <c r="B41" i="22"/>
  <c r="N40" i="22"/>
  <c r="M40" i="22"/>
  <c r="J40" i="22"/>
  <c r="I40" i="22"/>
  <c r="E40" i="22"/>
  <c r="D40" i="22"/>
  <c r="C40" i="22"/>
  <c r="B40" i="22"/>
  <c r="N39" i="22"/>
  <c r="M39" i="22"/>
  <c r="J39" i="22"/>
  <c r="I39" i="22"/>
  <c r="E39" i="22"/>
  <c r="D39" i="22"/>
  <c r="C39" i="22"/>
  <c r="B39" i="22"/>
  <c r="N38" i="22"/>
  <c r="M38" i="22"/>
  <c r="J38" i="22"/>
  <c r="I38" i="22"/>
  <c r="E38" i="22"/>
  <c r="D38" i="22"/>
  <c r="C38" i="22"/>
  <c r="B38" i="22"/>
  <c r="N37" i="22"/>
  <c r="M37" i="22"/>
  <c r="J37" i="22"/>
  <c r="I37" i="22"/>
  <c r="E37" i="22"/>
  <c r="D37" i="22"/>
  <c r="C37" i="22"/>
  <c r="B37" i="22"/>
  <c r="N36" i="22"/>
  <c r="M36" i="22"/>
  <c r="J36" i="22"/>
  <c r="I36" i="22"/>
  <c r="E36" i="22"/>
  <c r="D36" i="22"/>
  <c r="C36" i="22"/>
  <c r="B36" i="22"/>
  <c r="N35" i="22"/>
  <c r="M35" i="22"/>
  <c r="J35" i="22"/>
  <c r="I35" i="22"/>
  <c r="E35" i="22"/>
  <c r="D35" i="22"/>
  <c r="C35" i="22"/>
  <c r="B35" i="22"/>
  <c r="N34" i="22"/>
  <c r="M34" i="22"/>
  <c r="J34" i="22"/>
  <c r="I34" i="22"/>
  <c r="E34" i="22"/>
  <c r="D34" i="22"/>
  <c r="C34" i="22"/>
  <c r="B34" i="22"/>
  <c r="N33" i="22"/>
  <c r="M33" i="22"/>
  <c r="J33" i="22"/>
  <c r="I33" i="22"/>
  <c r="E33" i="22"/>
  <c r="D33" i="22"/>
  <c r="C33" i="22"/>
  <c r="B33" i="22"/>
  <c r="N44" i="21"/>
  <c r="M44" i="21"/>
  <c r="J44" i="21"/>
  <c r="I44" i="21"/>
  <c r="E44" i="21"/>
  <c r="D44" i="21"/>
  <c r="C44" i="21"/>
  <c r="B44" i="21"/>
  <c r="N43" i="21"/>
  <c r="M43" i="21"/>
  <c r="J43" i="21"/>
  <c r="I43" i="21"/>
  <c r="E43" i="21"/>
  <c r="D43" i="21"/>
  <c r="C43" i="21"/>
  <c r="B43" i="21"/>
  <c r="N42" i="21"/>
  <c r="M42" i="21"/>
  <c r="J42" i="21"/>
  <c r="I42" i="21"/>
  <c r="E42" i="21"/>
  <c r="D42" i="21"/>
  <c r="C42" i="21"/>
  <c r="B42" i="21"/>
  <c r="N41" i="21"/>
  <c r="M41" i="21"/>
  <c r="J41" i="21"/>
  <c r="I41" i="21"/>
  <c r="E41" i="21"/>
  <c r="D41" i="21"/>
  <c r="C41" i="21"/>
  <c r="B41" i="21"/>
  <c r="N40" i="21"/>
  <c r="M40" i="21"/>
  <c r="J40" i="21"/>
  <c r="I40" i="21"/>
  <c r="E40" i="21"/>
  <c r="D40" i="21"/>
  <c r="C40" i="21"/>
  <c r="B40" i="21"/>
  <c r="N39" i="21"/>
  <c r="M39" i="21"/>
  <c r="J39" i="21"/>
  <c r="I39" i="21"/>
  <c r="E39" i="21"/>
  <c r="D39" i="21"/>
  <c r="C39" i="21"/>
  <c r="B39" i="21"/>
  <c r="N38" i="21"/>
  <c r="M38" i="21"/>
  <c r="J38" i="21"/>
  <c r="I38" i="21"/>
  <c r="E38" i="21"/>
  <c r="D38" i="21"/>
  <c r="C38" i="21"/>
  <c r="B38" i="21"/>
  <c r="N37" i="21"/>
  <c r="M37" i="21"/>
  <c r="J37" i="21"/>
  <c r="I37" i="21"/>
  <c r="E37" i="21"/>
  <c r="D37" i="21"/>
  <c r="C37" i="21"/>
  <c r="B37" i="21"/>
  <c r="N36" i="21"/>
  <c r="M36" i="21"/>
  <c r="J36" i="21"/>
  <c r="I36" i="21"/>
  <c r="E36" i="21"/>
  <c r="D36" i="21"/>
  <c r="C36" i="21"/>
  <c r="B36" i="21"/>
  <c r="N35" i="21"/>
  <c r="M35" i="21"/>
  <c r="J35" i="21"/>
  <c r="I35" i="21"/>
  <c r="E35" i="21"/>
  <c r="D35" i="21"/>
  <c r="C35" i="21"/>
  <c r="B35" i="21"/>
  <c r="N34" i="21"/>
  <c r="M34" i="21"/>
  <c r="J34" i="21"/>
  <c r="I34" i="21"/>
  <c r="E34" i="21"/>
  <c r="D34" i="21"/>
  <c r="C34" i="21"/>
  <c r="B34" i="21"/>
  <c r="N42" i="20"/>
  <c r="M42" i="20"/>
  <c r="J42" i="20"/>
  <c r="I42" i="20"/>
  <c r="E42" i="20"/>
  <c r="D42" i="20"/>
  <c r="C42" i="20"/>
  <c r="B42" i="20"/>
  <c r="N41" i="20"/>
  <c r="M41" i="20"/>
  <c r="J41" i="20"/>
  <c r="I41" i="20"/>
  <c r="E41" i="20"/>
  <c r="D41" i="20"/>
  <c r="C41" i="20"/>
  <c r="B41" i="20"/>
  <c r="N40" i="20"/>
  <c r="M40" i="20"/>
  <c r="J40" i="20"/>
  <c r="I40" i="20"/>
  <c r="E40" i="20"/>
  <c r="D40" i="20"/>
  <c r="C40" i="20"/>
  <c r="B40" i="20"/>
  <c r="N39" i="20"/>
  <c r="M39" i="20"/>
  <c r="J39" i="20"/>
  <c r="I39" i="20"/>
  <c r="E39" i="20"/>
  <c r="D39" i="20"/>
  <c r="C39" i="20"/>
  <c r="B39" i="20"/>
  <c r="N38" i="20"/>
  <c r="M38" i="20"/>
  <c r="J38" i="20"/>
  <c r="I38" i="20"/>
  <c r="E38" i="20"/>
  <c r="D38" i="20"/>
  <c r="C38" i="20"/>
  <c r="B38" i="20"/>
  <c r="N37" i="20"/>
  <c r="M37" i="20"/>
  <c r="J37" i="20"/>
  <c r="I37" i="20"/>
  <c r="E37" i="20"/>
  <c r="D37" i="20"/>
  <c r="C37" i="20"/>
  <c r="B37" i="20"/>
  <c r="N36" i="20"/>
  <c r="M36" i="20"/>
  <c r="J36" i="20"/>
  <c r="I36" i="20"/>
  <c r="E36" i="20"/>
  <c r="D36" i="20"/>
  <c r="C36" i="20"/>
  <c r="B36" i="20"/>
  <c r="N35" i="20"/>
  <c r="M35" i="20"/>
  <c r="J35" i="20"/>
  <c r="I35" i="20"/>
  <c r="E35" i="20"/>
  <c r="D35" i="20"/>
  <c r="C35" i="20"/>
  <c r="B35" i="20"/>
  <c r="N34" i="20"/>
  <c r="M34" i="20"/>
  <c r="J34" i="20"/>
  <c r="I34" i="20"/>
  <c r="E34" i="20"/>
  <c r="D34" i="20"/>
  <c r="C34" i="20"/>
  <c r="B34" i="20"/>
  <c r="N33" i="20"/>
  <c r="M33" i="20"/>
  <c r="J33" i="20"/>
  <c r="I33" i="20"/>
  <c r="E33" i="20"/>
  <c r="D33" i="20"/>
  <c r="C33" i="20"/>
  <c r="B33" i="20"/>
  <c r="N32" i="20"/>
  <c r="M32" i="20"/>
  <c r="J32" i="20"/>
  <c r="I32" i="20"/>
  <c r="E32" i="20"/>
  <c r="D32" i="20"/>
  <c r="C32" i="20"/>
  <c r="B32" i="20"/>
  <c r="N46" i="19"/>
  <c r="M46" i="19"/>
  <c r="J46" i="19"/>
  <c r="I46" i="19"/>
  <c r="E46" i="19"/>
  <c r="D46" i="19"/>
  <c r="C46" i="19"/>
  <c r="B46" i="19"/>
  <c r="N45" i="19"/>
  <c r="M45" i="19"/>
  <c r="J45" i="19"/>
  <c r="I45" i="19"/>
  <c r="E45" i="19"/>
  <c r="D45" i="19"/>
  <c r="C45" i="19"/>
  <c r="B45" i="19"/>
  <c r="N44" i="19"/>
  <c r="M44" i="19"/>
  <c r="J44" i="19"/>
  <c r="I44" i="19"/>
  <c r="E44" i="19"/>
  <c r="D44" i="19"/>
  <c r="C44" i="19"/>
  <c r="B44" i="19"/>
  <c r="N43" i="19"/>
  <c r="M43" i="19"/>
  <c r="J43" i="19"/>
  <c r="I43" i="19"/>
  <c r="E43" i="19"/>
  <c r="D43" i="19"/>
  <c r="C43" i="19"/>
  <c r="B43" i="19"/>
  <c r="N42" i="19"/>
  <c r="M42" i="19"/>
  <c r="J42" i="19"/>
  <c r="I42" i="19"/>
  <c r="E42" i="19"/>
  <c r="D42" i="19"/>
  <c r="C42" i="19"/>
  <c r="B42" i="19"/>
  <c r="N41" i="19"/>
  <c r="M41" i="19"/>
  <c r="J41" i="19"/>
  <c r="I41" i="19"/>
  <c r="E41" i="19"/>
  <c r="D41" i="19"/>
  <c r="C41" i="19"/>
  <c r="B41" i="19"/>
  <c r="N40" i="19"/>
  <c r="M40" i="19"/>
  <c r="J40" i="19"/>
  <c r="I40" i="19"/>
  <c r="E40" i="19"/>
  <c r="D40" i="19"/>
  <c r="C40" i="19"/>
  <c r="B40" i="19"/>
  <c r="N39" i="19"/>
  <c r="M39" i="19"/>
  <c r="J39" i="19"/>
  <c r="I39" i="19"/>
  <c r="E39" i="19"/>
  <c r="D39" i="19"/>
  <c r="C39" i="19"/>
  <c r="B39" i="19"/>
  <c r="N38" i="19"/>
  <c r="M38" i="19"/>
  <c r="J38" i="19"/>
  <c r="I38" i="19"/>
  <c r="E38" i="19"/>
  <c r="D38" i="19"/>
  <c r="C38" i="19"/>
  <c r="B38" i="19"/>
  <c r="N37" i="19"/>
  <c r="M37" i="19"/>
  <c r="J37" i="19"/>
  <c r="I37" i="19"/>
  <c r="E37" i="19"/>
  <c r="D37" i="19"/>
  <c r="C37" i="19"/>
  <c r="B37" i="19"/>
  <c r="N36" i="19"/>
  <c r="M36" i="19"/>
  <c r="J36" i="19"/>
  <c r="I36" i="19"/>
  <c r="E36" i="19"/>
  <c r="D36" i="19"/>
  <c r="C36" i="19"/>
  <c r="B36" i="19"/>
  <c r="N35" i="19"/>
  <c r="M35" i="19"/>
  <c r="J35" i="19"/>
  <c r="I35" i="19"/>
  <c r="E35" i="19"/>
  <c r="D35" i="19"/>
  <c r="C35" i="19"/>
  <c r="B35" i="19"/>
  <c r="N53" i="18"/>
  <c r="M53" i="18"/>
  <c r="J53" i="18"/>
  <c r="I53" i="18"/>
  <c r="E53" i="18"/>
  <c r="D53" i="18"/>
  <c r="C53" i="18"/>
  <c r="B53" i="18"/>
  <c r="N52" i="18"/>
  <c r="M52" i="18"/>
  <c r="J52" i="18"/>
  <c r="I52" i="18"/>
  <c r="E52" i="18"/>
  <c r="D52" i="18"/>
  <c r="C52" i="18"/>
  <c r="B52" i="18"/>
  <c r="N51" i="18"/>
  <c r="M51" i="18"/>
  <c r="J51" i="18"/>
  <c r="I51" i="18"/>
  <c r="E51" i="18"/>
  <c r="D51" i="18"/>
  <c r="C51" i="18"/>
  <c r="B51" i="18"/>
  <c r="N50" i="18"/>
  <c r="M50" i="18"/>
  <c r="J50" i="18"/>
  <c r="I50" i="18"/>
  <c r="E50" i="18"/>
  <c r="D50" i="18"/>
  <c r="C50" i="18"/>
  <c r="B50" i="18"/>
  <c r="N49" i="18"/>
  <c r="M49" i="18"/>
  <c r="J49" i="18"/>
  <c r="I49" i="18"/>
  <c r="E49" i="18"/>
  <c r="D49" i="18"/>
  <c r="C49" i="18"/>
  <c r="B49" i="18"/>
  <c r="N48" i="18"/>
  <c r="M48" i="18"/>
  <c r="J48" i="18"/>
  <c r="I48" i="18"/>
  <c r="E48" i="18"/>
  <c r="D48" i="18"/>
  <c r="C48" i="18"/>
  <c r="B48" i="18"/>
  <c r="N47" i="18"/>
  <c r="M47" i="18"/>
  <c r="J47" i="18"/>
  <c r="I47" i="18"/>
  <c r="E47" i="18"/>
  <c r="D47" i="18"/>
  <c r="C47" i="18"/>
  <c r="B47" i="18"/>
  <c r="N46" i="18"/>
  <c r="M46" i="18"/>
  <c r="J46" i="18"/>
  <c r="I46" i="18"/>
  <c r="E46" i="18"/>
  <c r="D46" i="18"/>
  <c r="C46" i="18"/>
  <c r="B46" i="18"/>
  <c r="N45" i="18"/>
  <c r="M45" i="18"/>
  <c r="J45" i="18"/>
  <c r="I45" i="18"/>
  <c r="E45" i="18"/>
  <c r="D45" i="18"/>
  <c r="C45" i="18"/>
  <c r="B45" i="18"/>
  <c r="N44" i="18"/>
  <c r="M44" i="18"/>
  <c r="J44" i="18"/>
  <c r="I44" i="18"/>
  <c r="E44" i="18"/>
  <c r="D44" i="18"/>
  <c r="C44" i="18"/>
  <c r="B44" i="18"/>
  <c r="N43" i="18"/>
  <c r="M43" i="18"/>
  <c r="J43" i="18"/>
  <c r="I43" i="18"/>
  <c r="E43" i="18"/>
  <c r="D43" i="18"/>
  <c r="C43" i="18"/>
  <c r="B43" i="18"/>
  <c r="N42" i="18"/>
  <c r="M42" i="18"/>
  <c r="J42" i="18"/>
  <c r="I42" i="18"/>
  <c r="E42" i="18"/>
  <c r="D42" i="18"/>
  <c r="C42" i="18"/>
  <c r="B42" i="18"/>
  <c r="N41" i="18"/>
  <c r="M41" i="18"/>
  <c r="J41" i="18"/>
  <c r="I41" i="18"/>
  <c r="E41" i="18"/>
  <c r="D41" i="18"/>
  <c r="C41" i="18"/>
  <c r="B41" i="18"/>
  <c r="N57" i="17"/>
  <c r="M57" i="17"/>
  <c r="J57" i="17"/>
  <c r="I57" i="17"/>
  <c r="E57" i="17"/>
  <c r="D57" i="17"/>
  <c r="C57" i="17"/>
  <c r="B57" i="17"/>
  <c r="N56" i="17"/>
  <c r="M56" i="17"/>
  <c r="J56" i="17"/>
  <c r="I56" i="17"/>
  <c r="E56" i="17"/>
  <c r="D56" i="17"/>
  <c r="C56" i="17"/>
  <c r="B56" i="17"/>
  <c r="N55" i="17"/>
  <c r="M55" i="17"/>
  <c r="J55" i="17"/>
  <c r="I55" i="17"/>
  <c r="E55" i="17"/>
  <c r="D55" i="17"/>
  <c r="C55" i="17"/>
  <c r="B55" i="17"/>
  <c r="N54" i="17"/>
  <c r="M54" i="17"/>
  <c r="J54" i="17"/>
  <c r="I54" i="17"/>
  <c r="E54" i="17"/>
  <c r="D54" i="17"/>
  <c r="C54" i="17"/>
  <c r="B54" i="17"/>
  <c r="N53" i="17"/>
  <c r="M53" i="17"/>
  <c r="J53" i="17"/>
  <c r="I53" i="17"/>
  <c r="E53" i="17"/>
  <c r="D53" i="17"/>
  <c r="C53" i="17"/>
  <c r="B53" i="17"/>
  <c r="N52" i="17"/>
  <c r="M52" i="17"/>
  <c r="J52" i="17"/>
  <c r="I52" i="17"/>
  <c r="E52" i="17"/>
  <c r="D52" i="17"/>
  <c r="C52" i="17"/>
  <c r="B52" i="17"/>
  <c r="N51" i="17"/>
  <c r="M51" i="17"/>
  <c r="J51" i="17"/>
  <c r="I51" i="17"/>
  <c r="E51" i="17"/>
  <c r="D51" i="17"/>
  <c r="C51" i="17"/>
  <c r="B51" i="17"/>
  <c r="N50" i="17"/>
  <c r="M50" i="17"/>
  <c r="J50" i="17"/>
  <c r="I50" i="17"/>
  <c r="E50" i="17"/>
  <c r="D50" i="17"/>
  <c r="C50" i="17"/>
  <c r="B50" i="17"/>
  <c r="N49" i="17"/>
  <c r="M49" i="17"/>
  <c r="J49" i="17"/>
  <c r="I49" i="17"/>
  <c r="E49" i="17"/>
  <c r="D49" i="17"/>
  <c r="C49" i="17"/>
  <c r="B49" i="17"/>
  <c r="N48" i="17"/>
  <c r="M48" i="17"/>
  <c r="J48" i="17"/>
  <c r="I48" i="17"/>
  <c r="E48" i="17"/>
  <c r="D48" i="17"/>
  <c r="C48" i="17"/>
  <c r="B48" i="17"/>
  <c r="N47" i="17"/>
  <c r="M47" i="17"/>
  <c r="J47" i="17"/>
  <c r="I47" i="17"/>
  <c r="E47" i="17"/>
  <c r="D47" i="17"/>
  <c r="C47" i="17"/>
  <c r="B47" i="17"/>
  <c r="N46" i="17"/>
  <c r="M46" i="17"/>
  <c r="J46" i="17"/>
  <c r="I46" i="17"/>
  <c r="E46" i="17"/>
  <c r="D46" i="17"/>
  <c r="C46" i="17"/>
  <c r="B46" i="17"/>
  <c r="N45" i="17"/>
  <c r="M45" i="17"/>
  <c r="J45" i="17"/>
  <c r="I45" i="17"/>
  <c r="E45" i="17"/>
  <c r="D45" i="17"/>
  <c r="C45" i="17"/>
  <c r="B45" i="17"/>
  <c r="N60" i="16"/>
  <c r="M60" i="16"/>
  <c r="J60" i="16"/>
  <c r="I60" i="16"/>
  <c r="E60" i="16"/>
  <c r="D60" i="16"/>
  <c r="C60" i="16"/>
  <c r="B60" i="16"/>
  <c r="N59" i="16"/>
  <c r="M59" i="16"/>
  <c r="J59" i="16"/>
  <c r="I59" i="16"/>
  <c r="E59" i="16"/>
  <c r="D59" i="16"/>
  <c r="C59" i="16"/>
  <c r="B59" i="16"/>
  <c r="N58" i="16"/>
  <c r="M58" i="16"/>
  <c r="J58" i="16"/>
  <c r="I58" i="16"/>
  <c r="E58" i="16"/>
  <c r="D58" i="16"/>
  <c r="C58" i="16"/>
  <c r="B58" i="16"/>
  <c r="N57" i="16"/>
  <c r="M57" i="16"/>
  <c r="J57" i="16"/>
  <c r="I57" i="16"/>
  <c r="E57" i="16"/>
  <c r="D57" i="16"/>
  <c r="C57" i="16"/>
  <c r="B57" i="16"/>
  <c r="N56" i="16"/>
  <c r="M56" i="16"/>
  <c r="J56" i="16"/>
  <c r="I56" i="16"/>
  <c r="E56" i="16"/>
  <c r="D56" i="16"/>
  <c r="C56" i="16"/>
  <c r="B56" i="16"/>
  <c r="N55" i="16"/>
  <c r="M55" i="16"/>
  <c r="J55" i="16"/>
  <c r="I55" i="16"/>
  <c r="E55" i="16"/>
  <c r="D55" i="16"/>
  <c r="C55" i="16"/>
  <c r="B55" i="16"/>
  <c r="N54" i="16"/>
  <c r="M54" i="16"/>
  <c r="J54" i="16"/>
  <c r="I54" i="16"/>
  <c r="E54" i="16"/>
  <c r="D54" i="16"/>
  <c r="C54" i="16"/>
  <c r="B54" i="16"/>
  <c r="N53" i="16"/>
  <c r="M53" i="16"/>
  <c r="J53" i="16"/>
  <c r="I53" i="16"/>
  <c r="E53" i="16"/>
  <c r="D53" i="16"/>
  <c r="C53" i="16"/>
  <c r="B53" i="16"/>
  <c r="N52" i="16"/>
  <c r="M52" i="16"/>
  <c r="J52" i="16"/>
  <c r="I52" i="16"/>
  <c r="E52" i="16"/>
  <c r="D52" i="16"/>
  <c r="C52" i="16"/>
  <c r="B52" i="16"/>
  <c r="N51" i="16"/>
  <c r="M51" i="16"/>
  <c r="J51" i="16"/>
  <c r="I51" i="16"/>
  <c r="E51" i="16"/>
  <c r="D51" i="16"/>
  <c r="C51" i="16"/>
  <c r="B51" i="16"/>
  <c r="N50" i="16"/>
  <c r="M50" i="16"/>
  <c r="J50" i="16"/>
  <c r="I50" i="16"/>
  <c r="E50" i="16"/>
  <c r="D50" i="16"/>
  <c r="C50" i="16"/>
  <c r="B50" i="16"/>
  <c r="N49" i="16"/>
  <c r="M49" i="16"/>
  <c r="J49" i="16"/>
  <c r="I49" i="16"/>
  <c r="E49" i="16"/>
  <c r="D49" i="16"/>
  <c r="C49" i="16"/>
  <c r="B49" i="16"/>
  <c r="N48" i="16"/>
  <c r="M48" i="16"/>
  <c r="J48" i="16"/>
  <c r="I48" i="16"/>
  <c r="E48" i="16"/>
  <c r="D48" i="16"/>
  <c r="C48" i="16"/>
  <c r="B48" i="16"/>
  <c r="N47" i="16"/>
  <c r="M47" i="16"/>
  <c r="J47" i="16"/>
  <c r="I47" i="16"/>
  <c r="E47" i="16"/>
  <c r="D47" i="16"/>
  <c r="C47" i="16"/>
  <c r="B47" i="16"/>
  <c r="N61" i="15"/>
  <c r="M61" i="15"/>
  <c r="J61" i="15"/>
  <c r="I61" i="15"/>
  <c r="E61" i="15"/>
  <c r="D61" i="15"/>
  <c r="C61" i="15"/>
  <c r="B61" i="15"/>
  <c r="N60" i="15"/>
  <c r="M60" i="15"/>
  <c r="J60" i="15"/>
  <c r="I60" i="15"/>
  <c r="E60" i="15"/>
  <c r="D60" i="15"/>
  <c r="C60" i="15"/>
  <c r="B60" i="15"/>
  <c r="N59" i="15"/>
  <c r="M59" i="15"/>
  <c r="J59" i="15"/>
  <c r="I59" i="15"/>
  <c r="E59" i="15"/>
  <c r="D59" i="15"/>
  <c r="C59" i="15"/>
  <c r="B59" i="15"/>
  <c r="N58" i="15"/>
  <c r="M58" i="15"/>
  <c r="J58" i="15"/>
  <c r="I58" i="15"/>
  <c r="E58" i="15"/>
  <c r="D58" i="15"/>
  <c r="C58" i="15"/>
  <c r="B58" i="15"/>
  <c r="N57" i="15"/>
  <c r="M57" i="15"/>
  <c r="J57" i="15"/>
  <c r="I57" i="15"/>
  <c r="E57" i="15"/>
  <c r="D57" i="15"/>
  <c r="C57" i="15"/>
  <c r="B57" i="15"/>
  <c r="N56" i="15"/>
  <c r="M56" i="15"/>
  <c r="J56" i="15"/>
  <c r="I56" i="15"/>
  <c r="E56" i="15"/>
  <c r="D56" i="15"/>
  <c r="C56" i="15"/>
  <c r="B56" i="15"/>
  <c r="N55" i="15"/>
  <c r="M55" i="15"/>
  <c r="J55" i="15"/>
  <c r="I55" i="15"/>
  <c r="E55" i="15"/>
  <c r="D55" i="15"/>
  <c r="C55" i="15"/>
  <c r="B55" i="15"/>
  <c r="N54" i="15"/>
  <c r="M54" i="15"/>
  <c r="J54" i="15"/>
  <c r="I54" i="15"/>
  <c r="E54" i="15"/>
  <c r="D54" i="15"/>
  <c r="C54" i="15"/>
  <c r="B54" i="15"/>
  <c r="N53" i="15"/>
  <c r="M53" i="15"/>
  <c r="J53" i="15"/>
  <c r="I53" i="15"/>
  <c r="E53" i="15"/>
  <c r="D53" i="15"/>
  <c r="C53" i="15"/>
  <c r="B53" i="15"/>
  <c r="N52" i="15"/>
  <c r="M52" i="15"/>
  <c r="J52" i="15"/>
  <c r="I52" i="15"/>
  <c r="E52" i="15"/>
  <c r="D52" i="15"/>
  <c r="C52" i="15"/>
  <c r="B52" i="15"/>
  <c r="N51" i="15"/>
  <c r="M51" i="15"/>
  <c r="J51" i="15"/>
  <c r="I51" i="15"/>
  <c r="E51" i="15"/>
  <c r="D51" i="15"/>
  <c r="C51" i="15"/>
  <c r="B51" i="15"/>
  <c r="N50" i="15"/>
  <c r="M50" i="15"/>
  <c r="J50" i="15"/>
  <c r="I50" i="15"/>
  <c r="E50" i="15"/>
  <c r="D50" i="15"/>
  <c r="C50" i="15"/>
  <c r="B50" i="15"/>
  <c r="N49" i="15"/>
  <c r="M49" i="15"/>
  <c r="J49" i="15"/>
  <c r="I49" i="15"/>
  <c r="E49" i="15"/>
  <c r="D49" i="15"/>
  <c r="C49" i="15"/>
  <c r="B49" i="15"/>
  <c r="N48" i="15"/>
  <c r="M48" i="15"/>
  <c r="J48" i="15"/>
  <c r="I48" i="15"/>
  <c r="E48" i="15"/>
  <c r="D48" i="15"/>
  <c r="C48" i="15"/>
  <c r="B48" i="15"/>
  <c r="N56" i="14"/>
  <c r="M56" i="14"/>
  <c r="J56" i="14"/>
  <c r="I56" i="14"/>
  <c r="E56" i="14"/>
  <c r="D56" i="14"/>
  <c r="C56" i="14"/>
  <c r="B56" i="14"/>
  <c r="N55" i="14"/>
  <c r="M55" i="14"/>
  <c r="J55" i="14"/>
  <c r="I55" i="14"/>
  <c r="E55" i="14"/>
  <c r="D55" i="14"/>
  <c r="C55" i="14"/>
  <c r="B55" i="14"/>
  <c r="N54" i="14"/>
  <c r="M54" i="14"/>
  <c r="J54" i="14"/>
  <c r="I54" i="14"/>
  <c r="E54" i="14"/>
  <c r="D54" i="14"/>
  <c r="C54" i="14"/>
  <c r="B54" i="14"/>
  <c r="N53" i="14"/>
  <c r="M53" i="14"/>
  <c r="J53" i="14"/>
  <c r="I53" i="14"/>
  <c r="E53" i="14"/>
  <c r="D53" i="14"/>
  <c r="C53" i="14"/>
  <c r="B53" i="14"/>
  <c r="N52" i="14"/>
  <c r="M52" i="14"/>
  <c r="J52" i="14"/>
  <c r="I52" i="14"/>
  <c r="E52" i="14"/>
  <c r="D52" i="14"/>
  <c r="C52" i="14"/>
  <c r="B52" i="14"/>
  <c r="N51" i="14"/>
  <c r="M51" i="14"/>
  <c r="J51" i="14"/>
  <c r="I51" i="14"/>
  <c r="E51" i="14"/>
  <c r="D51" i="14"/>
  <c r="C51" i="14"/>
  <c r="B51" i="14"/>
  <c r="N50" i="14"/>
  <c r="M50" i="14"/>
  <c r="J50" i="14"/>
  <c r="I50" i="14"/>
  <c r="E50" i="14"/>
  <c r="D50" i="14"/>
  <c r="C50" i="14"/>
  <c r="B50" i="14"/>
  <c r="N49" i="14"/>
  <c r="M49" i="14"/>
  <c r="J49" i="14"/>
  <c r="I49" i="14"/>
  <c r="E49" i="14"/>
  <c r="D49" i="14"/>
  <c r="C49" i="14"/>
  <c r="B49" i="14"/>
  <c r="N48" i="14"/>
  <c r="M48" i="14"/>
  <c r="J48" i="14"/>
  <c r="I48" i="14"/>
  <c r="E48" i="14"/>
  <c r="D48" i="14"/>
  <c r="C48" i="14"/>
  <c r="B48" i="14"/>
  <c r="N47" i="14"/>
  <c r="M47" i="14"/>
  <c r="J47" i="14"/>
  <c r="I47" i="14"/>
  <c r="E47" i="14"/>
  <c r="D47" i="14"/>
  <c r="C47" i="14"/>
  <c r="B47" i="14"/>
  <c r="N46" i="14"/>
  <c r="M46" i="14"/>
  <c r="J46" i="14"/>
  <c r="I46" i="14"/>
  <c r="E46" i="14"/>
  <c r="D46" i="14"/>
  <c r="C46" i="14"/>
  <c r="B46" i="14"/>
  <c r="N45" i="14"/>
  <c r="M45" i="14"/>
  <c r="J45" i="14"/>
  <c r="I45" i="14"/>
  <c r="E45" i="14"/>
  <c r="D45" i="14"/>
  <c r="C45" i="14"/>
  <c r="B45" i="14"/>
  <c r="N55" i="13"/>
  <c r="M55" i="13"/>
  <c r="J55" i="13"/>
  <c r="I55" i="13"/>
  <c r="E55" i="13"/>
  <c r="D55" i="13"/>
  <c r="C55" i="13"/>
  <c r="B55" i="13"/>
  <c r="N54" i="13"/>
  <c r="M54" i="13"/>
  <c r="J54" i="13"/>
  <c r="I54" i="13"/>
  <c r="E54" i="13"/>
  <c r="D54" i="13"/>
  <c r="C54" i="13"/>
  <c r="B54" i="13"/>
  <c r="N53" i="13"/>
  <c r="M53" i="13"/>
  <c r="J53" i="13"/>
  <c r="I53" i="13"/>
  <c r="E53" i="13"/>
  <c r="D53" i="13"/>
  <c r="C53" i="13"/>
  <c r="B53" i="13"/>
  <c r="N52" i="13"/>
  <c r="M52" i="13"/>
  <c r="J52" i="13"/>
  <c r="I52" i="13"/>
  <c r="E52" i="13"/>
  <c r="D52" i="13"/>
  <c r="C52" i="13"/>
  <c r="B52" i="13"/>
  <c r="N51" i="13"/>
  <c r="M51" i="13"/>
  <c r="J51" i="13"/>
  <c r="I51" i="13"/>
  <c r="E51" i="13"/>
  <c r="D51" i="13"/>
  <c r="C51" i="13"/>
  <c r="B51" i="13"/>
  <c r="N50" i="13"/>
  <c r="M50" i="13"/>
  <c r="J50" i="13"/>
  <c r="I50" i="13"/>
  <c r="E50" i="13"/>
  <c r="D50" i="13"/>
  <c r="C50" i="13"/>
  <c r="B50" i="13"/>
  <c r="N49" i="13"/>
  <c r="M49" i="13"/>
  <c r="J49" i="13"/>
  <c r="I49" i="13"/>
  <c r="E49" i="13"/>
  <c r="D49" i="13"/>
  <c r="C49" i="13"/>
  <c r="B49" i="13"/>
  <c r="N48" i="13"/>
  <c r="M48" i="13"/>
  <c r="J48" i="13"/>
  <c r="I48" i="13"/>
  <c r="E48" i="13"/>
  <c r="D48" i="13"/>
  <c r="C48" i="13"/>
  <c r="B48" i="13"/>
  <c r="N47" i="13"/>
  <c r="M47" i="13"/>
  <c r="J47" i="13"/>
  <c r="I47" i="13"/>
  <c r="E47" i="13"/>
  <c r="D47" i="13"/>
  <c r="C47" i="13"/>
  <c r="B47" i="13"/>
  <c r="N46" i="13"/>
  <c r="M46" i="13"/>
  <c r="J46" i="13"/>
  <c r="I46" i="13"/>
  <c r="E46" i="13"/>
  <c r="D46" i="13"/>
  <c r="C46" i="13"/>
  <c r="B46" i="13"/>
  <c r="N45" i="13"/>
  <c r="M45" i="13"/>
  <c r="J45" i="13"/>
  <c r="I45" i="13"/>
  <c r="E45" i="13"/>
  <c r="D45" i="13"/>
  <c r="C45" i="13"/>
  <c r="B45" i="13"/>
  <c r="N44" i="13"/>
  <c r="M44" i="13"/>
  <c r="J44" i="13"/>
  <c r="I44" i="13"/>
  <c r="E44" i="13"/>
  <c r="D44" i="13"/>
  <c r="C44" i="13"/>
  <c r="B44" i="13"/>
  <c r="N56" i="12"/>
  <c r="M56" i="12"/>
  <c r="J56" i="12"/>
  <c r="I56" i="12"/>
  <c r="E56" i="12"/>
  <c r="D56" i="12"/>
  <c r="C56" i="12"/>
  <c r="B56" i="12"/>
  <c r="N55" i="12"/>
  <c r="M55" i="12"/>
  <c r="J55" i="12"/>
  <c r="I55" i="12"/>
  <c r="E55" i="12"/>
  <c r="D55" i="12"/>
  <c r="C55" i="12"/>
  <c r="B55" i="12"/>
  <c r="N54" i="12"/>
  <c r="M54" i="12"/>
  <c r="J54" i="12"/>
  <c r="I54" i="12"/>
  <c r="E54" i="12"/>
  <c r="D54" i="12"/>
  <c r="C54" i="12"/>
  <c r="B54" i="12"/>
  <c r="N53" i="12"/>
  <c r="M53" i="12"/>
  <c r="J53" i="12"/>
  <c r="I53" i="12"/>
  <c r="E53" i="12"/>
  <c r="D53" i="12"/>
  <c r="C53" i="12"/>
  <c r="B53" i="12"/>
  <c r="N52" i="12"/>
  <c r="M52" i="12"/>
  <c r="J52" i="12"/>
  <c r="I52" i="12"/>
  <c r="D52" i="12"/>
  <c r="C52" i="12"/>
  <c r="B52" i="12"/>
  <c r="N51" i="12"/>
  <c r="M51" i="12"/>
  <c r="J51" i="12"/>
  <c r="I51" i="12"/>
  <c r="E51" i="12"/>
  <c r="D51" i="12"/>
  <c r="C51" i="12"/>
  <c r="B51" i="12"/>
  <c r="N50" i="12"/>
  <c r="M50" i="12"/>
  <c r="J50" i="12"/>
  <c r="I50" i="12"/>
  <c r="E50" i="12"/>
  <c r="D50" i="12"/>
  <c r="C50" i="12"/>
  <c r="B50" i="12"/>
  <c r="N49" i="12"/>
  <c r="M49" i="12"/>
  <c r="J49" i="12"/>
  <c r="I49" i="12"/>
  <c r="E49" i="12"/>
  <c r="D49" i="12"/>
  <c r="C49" i="12"/>
  <c r="B49" i="12"/>
  <c r="N48" i="12"/>
  <c r="M48" i="12"/>
  <c r="J48" i="12"/>
  <c r="I48" i="12"/>
  <c r="E48" i="12"/>
  <c r="D48" i="12"/>
  <c r="C48" i="12"/>
  <c r="B48" i="12"/>
  <c r="N47" i="12"/>
  <c r="M47" i="12"/>
  <c r="J47" i="12"/>
  <c r="I47" i="12"/>
  <c r="E47" i="12"/>
  <c r="D47" i="12"/>
  <c r="C47" i="12"/>
  <c r="B47" i="12"/>
  <c r="N46" i="12"/>
  <c r="M46" i="12"/>
  <c r="J46" i="12"/>
  <c r="I46" i="12"/>
  <c r="E46" i="12"/>
  <c r="D46" i="12"/>
  <c r="C46" i="12"/>
  <c r="B46" i="12"/>
  <c r="N45" i="12"/>
  <c r="M45" i="12"/>
  <c r="J45" i="12"/>
  <c r="I45" i="12"/>
  <c r="E45" i="12"/>
  <c r="D45" i="12"/>
  <c r="C45" i="12"/>
  <c r="B45" i="12"/>
  <c r="N54" i="11"/>
  <c r="M54" i="11"/>
  <c r="J54" i="11"/>
  <c r="I54" i="11"/>
  <c r="E54" i="11"/>
  <c r="D54" i="11"/>
  <c r="C54" i="11"/>
  <c r="B54" i="11"/>
  <c r="N53" i="11"/>
  <c r="M53" i="11"/>
  <c r="J53" i="11"/>
  <c r="I53" i="11"/>
  <c r="E53" i="11"/>
  <c r="D53" i="11"/>
  <c r="C53" i="11"/>
  <c r="B53" i="11"/>
  <c r="N52" i="11"/>
  <c r="M52" i="11"/>
  <c r="J52" i="11"/>
  <c r="I52" i="11"/>
  <c r="E52" i="11"/>
  <c r="D52" i="11"/>
  <c r="C52" i="11"/>
  <c r="B52" i="11"/>
  <c r="N51" i="11"/>
  <c r="M51" i="11"/>
  <c r="J51" i="11"/>
  <c r="I51" i="11"/>
  <c r="E51" i="11"/>
  <c r="D51" i="11"/>
  <c r="C51" i="11"/>
  <c r="B51" i="11"/>
  <c r="N50" i="11"/>
  <c r="M50" i="11"/>
  <c r="J50" i="11"/>
  <c r="I50" i="11"/>
  <c r="D50" i="11"/>
  <c r="H50" i="11" s="1"/>
  <c r="C50" i="11"/>
  <c r="B50" i="11"/>
  <c r="N49" i="11"/>
  <c r="M49" i="11"/>
  <c r="J49" i="11"/>
  <c r="I49" i="11"/>
  <c r="E49" i="11"/>
  <c r="D49" i="11"/>
  <c r="C49" i="11"/>
  <c r="B49" i="11"/>
  <c r="N48" i="11"/>
  <c r="M48" i="11"/>
  <c r="J48" i="11"/>
  <c r="I48" i="11"/>
  <c r="E48" i="11"/>
  <c r="D48" i="11"/>
  <c r="C48" i="11"/>
  <c r="B48" i="11"/>
  <c r="N47" i="11"/>
  <c r="M47" i="11"/>
  <c r="J47" i="11"/>
  <c r="I47" i="11"/>
  <c r="E47" i="11"/>
  <c r="D47" i="11"/>
  <c r="C47" i="11"/>
  <c r="B47" i="11"/>
  <c r="N46" i="11"/>
  <c r="M46" i="11"/>
  <c r="J46" i="11"/>
  <c r="I46" i="11"/>
  <c r="E46" i="11"/>
  <c r="D46" i="11"/>
  <c r="C46" i="11"/>
  <c r="B46" i="11"/>
  <c r="N45" i="11"/>
  <c r="M45" i="11"/>
  <c r="J45" i="11"/>
  <c r="I45" i="11"/>
  <c r="E45" i="11"/>
  <c r="D45" i="11"/>
  <c r="C45" i="11"/>
  <c r="B45" i="11"/>
  <c r="N44" i="11"/>
  <c r="M44" i="11"/>
  <c r="J44" i="11"/>
  <c r="I44" i="11"/>
  <c r="E44" i="11"/>
  <c r="D44" i="11"/>
  <c r="C44" i="11"/>
  <c r="B44" i="11"/>
  <c r="N43" i="11"/>
  <c r="M43" i="11"/>
  <c r="J43" i="11"/>
  <c r="I43" i="11"/>
  <c r="E43" i="11"/>
  <c r="D43" i="11"/>
  <c r="C43" i="11"/>
  <c r="B43" i="11"/>
  <c r="N53" i="10"/>
  <c r="M53" i="10"/>
  <c r="J53" i="10"/>
  <c r="I53" i="10"/>
  <c r="E53" i="10"/>
  <c r="D53" i="10"/>
  <c r="C53" i="10"/>
  <c r="B53" i="10"/>
  <c r="N52" i="10"/>
  <c r="M52" i="10"/>
  <c r="J52" i="10"/>
  <c r="I52" i="10"/>
  <c r="E52" i="10"/>
  <c r="D52" i="10"/>
  <c r="C52" i="10"/>
  <c r="B52" i="10"/>
  <c r="N51" i="10"/>
  <c r="M51" i="10"/>
  <c r="J51" i="10"/>
  <c r="I51" i="10"/>
  <c r="E51" i="10"/>
  <c r="D51" i="10"/>
  <c r="C51" i="10"/>
  <c r="B51" i="10"/>
  <c r="N50" i="10"/>
  <c r="M50" i="10"/>
  <c r="J50" i="10"/>
  <c r="G50" i="10" s="1"/>
  <c r="I50" i="10"/>
  <c r="E50" i="10"/>
  <c r="H50" i="10" s="1"/>
  <c r="B50" i="10"/>
  <c r="N49" i="10"/>
  <c r="M49" i="10"/>
  <c r="J49" i="10"/>
  <c r="I49" i="10"/>
  <c r="E49" i="10"/>
  <c r="D49" i="10"/>
  <c r="C49" i="10"/>
  <c r="B49" i="10"/>
  <c r="N48" i="10"/>
  <c r="M48" i="10"/>
  <c r="J48" i="10"/>
  <c r="I48" i="10"/>
  <c r="E48" i="10"/>
  <c r="D48" i="10"/>
  <c r="C48" i="10"/>
  <c r="B48" i="10"/>
  <c r="N47" i="10"/>
  <c r="M47" i="10"/>
  <c r="J47" i="10"/>
  <c r="I47" i="10"/>
  <c r="E47" i="10"/>
  <c r="D47" i="10"/>
  <c r="C47" i="10"/>
  <c r="B47" i="10"/>
  <c r="N46" i="10"/>
  <c r="M46" i="10"/>
  <c r="J46" i="10"/>
  <c r="I46" i="10"/>
  <c r="E46" i="10"/>
  <c r="D46" i="10"/>
  <c r="C46" i="10"/>
  <c r="B46" i="10"/>
  <c r="N45" i="10"/>
  <c r="M45" i="10"/>
  <c r="J45" i="10"/>
  <c r="I45" i="10"/>
  <c r="E45" i="10"/>
  <c r="D45" i="10"/>
  <c r="C45" i="10"/>
  <c r="B45" i="10"/>
  <c r="N44" i="10"/>
  <c r="M44" i="10"/>
  <c r="J44" i="10"/>
  <c r="I44" i="10"/>
  <c r="E44" i="10"/>
  <c r="D44" i="10"/>
  <c r="C44" i="10"/>
  <c r="B44" i="10"/>
  <c r="N43" i="10"/>
  <c r="M43" i="10"/>
  <c r="J43" i="10"/>
  <c r="I43" i="10"/>
  <c r="E43" i="10"/>
  <c r="D43" i="10"/>
  <c r="C43" i="10"/>
  <c r="B43" i="10"/>
  <c r="N49" i="9"/>
  <c r="M49" i="9"/>
  <c r="J49" i="9"/>
  <c r="I49" i="9"/>
  <c r="E49" i="9"/>
  <c r="D49" i="9"/>
  <c r="C49" i="9"/>
  <c r="B49" i="9"/>
  <c r="N48" i="9"/>
  <c r="M48" i="9"/>
  <c r="J48" i="9"/>
  <c r="I48" i="9"/>
  <c r="E48" i="9"/>
  <c r="D48" i="9"/>
  <c r="C48" i="9"/>
  <c r="B48" i="9"/>
  <c r="N47" i="9"/>
  <c r="M47" i="9"/>
  <c r="J47" i="9"/>
  <c r="I47" i="9"/>
  <c r="E47" i="9"/>
  <c r="D47" i="9"/>
  <c r="C47" i="9"/>
  <c r="B47" i="9"/>
  <c r="N46" i="9"/>
  <c r="M46" i="9"/>
  <c r="J46" i="9"/>
  <c r="G46" i="9" s="1"/>
  <c r="I46" i="9"/>
  <c r="F46" i="9" s="1"/>
  <c r="H46" i="9"/>
  <c r="B46" i="9"/>
  <c r="N45" i="9"/>
  <c r="M45" i="9"/>
  <c r="J45" i="9"/>
  <c r="I45" i="9"/>
  <c r="E45" i="9"/>
  <c r="D45" i="9"/>
  <c r="C45" i="9"/>
  <c r="B45" i="9"/>
  <c r="N44" i="9"/>
  <c r="M44" i="9"/>
  <c r="J44" i="9"/>
  <c r="I44" i="9"/>
  <c r="E44" i="9"/>
  <c r="D44" i="9"/>
  <c r="C44" i="9"/>
  <c r="B44" i="9"/>
  <c r="N43" i="9"/>
  <c r="M43" i="9"/>
  <c r="J43" i="9"/>
  <c r="I43" i="9"/>
  <c r="E43" i="9"/>
  <c r="D43" i="9"/>
  <c r="C43" i="9"/>
  <c r="B43" i="9"/>
  <c r="N42" i="9"/>
  <c r="M42" i="9"/>
  <c r="J42" i="9"/>
  <c r="I42" i="9"/>
  <c r="E42" i="9"/>
  <c r="D42" i="9"/>
  <c r="C42" i="9"/>
  <c r="B42" i="9"/>
  <c r="N41" i="9"/>
  <c r="M41" i="9"/>
  <c r="J41" i="9"/>
  <c r="I41" i="9"/>
  <c r="E41" i="9"/>
  <c r="D41" i="9"/>
  <c r="C41" i="9"/>
  <c r="B41" i="9"/>
  <c r="N40" i="9"/>
  <c r="M40" i="9"/>
  <c r="J40" i="9"/>
  <c r="I40" i="9"/>
  <c r="E40" i="9"/>
  <c r="D40" i="9"/>
  <c r="C40" i="9"/>
  <c r="B40" i="9"/>
  <c r="N39" i="9"/>
  <c r="M39" i="9"/>
  <c r="J39" i="9"/>
  <c r="I39" i="9"/>
  <c r="E39" i="9"/>
  <c r="D39" i="9"/>
  <c r="C39" i="9"/>
  <c r="B39" i="9"/>
  <c r="N53" i="8"/>
  <c r="M53" i="8"/>
  <c r="J53" i="8"/>
  <c r="I53" i="8"/>
  <c r="E53" i="8"/>
  <c r="D53" i="8"/>
  <c r="C53" i="8"/>
  <c r="B53" i="8"/>
  <c r="N52" i="8"/>
  <c r="M52" i="8"/>
  <c r="J52" i="8"/>
  <c r="I52" i="8"/>
  <c r="E52" i="8"/>
  <c r="D52" i="8"/>
  <c r="C52" i="8"/>
  <c r="B52" i="8"/>
  <c r="N51" i="8"/>
  <c r="M51" i="8"/>
  <c r="J51" i="8"/>
  <c r="I51" i="8"/>
  <c r="E51" i="8"/>
  <c r="D51" i="8"/>
  <c r="B51" i="8"/>
  <c r="N50" i="8"/>
  <c r="M50" i="8"/>
  <c r="J50" i="8"/>
  <c r="I50" i="8"/>
  <c r="E50" i="8"/>
  <c r="D50" i="8"/>
  <c r="C50" i="8"/>
  <c r="B50" i="8"/>
  <c r="N49" i="8"/>
  <c r="M49" i="8"/>
  <c r="J49" i="8"/>
  <c r="I49" i="8"/>
  <c r="E49" i="8"/>
  <c r="D49" i="8"/>
  <c r="C49" i="8"/>
  <c r="B49" i="8"/>
  <c r="N48" i="8"/>
  <c r="M48" i="8"/>
  <c r="J48" i="8"/>
  <c r="I48" i="8"/>
  <c r="E48" i="8"/>
  <c r="D48" i="8"/>
  <c r="C48" i="8"/>
  <c r="B48" i="8"/>
  <c r="N47" i="8"/>
  <c r="M47" i="8"/>
  <c r="J47" i="8"/>
  <c r="I47" i="8"/>
  <c r="E47" i="8"/>
  <c r="D47" i="8"/>
  <c r="C47" i="8"/>
  <c r="B47" i="8"/>
  <c r="N46" i="8"/>
  <c r="M46" i="8"/>
  <c r="J46" i="8"/>
  <c r="I46" i="8"/>
  <c r="E46" i="8"/>
  <c r="D46" i="8"/>
  <c r="C46" i="8"/>
  <c r="B46" i="8"/>
  <c r="N45" i="8"/>
  <c r="M45" i="8"/>
  <c r="J45" i="8"/>
  <c r="I45" i="8"/>
  <c r="E45" i="8"/>
  <c r="D45" i="8"/>
  <c r="C45" i="8"/>
  <c r="B45" i="8"/>
  <c r="N44" i="8"/>
  <c r="M44" i="8"/>
  <c r="J44" i="8"/>
  <c r="I44" i="8"/>
  <c r="E44" i="8"/>
  <c r="D44" i="8"/>
  <c r="C44" i="8"/>
  <c r="B44" i="8"/>
  <c r="N43" i="8"/>
  <c r="M43" i="8"/>
  <c r="J43" i="8"/>
  <c r="I43" i="8"/>
  <c r="E43" i="8"/>
  <c r="D43" i="8"/>
  <c r="C43" i="8"/>
  <c r="B43" i="8"/>
  <c r="N53" i="7"/>
  <c r="M53" i="7"/>
  <c r="J53" i="7"/>
  <c r="I53" i="7"/>
  <c r="E53" i="7"/>
  <c r="D53" i="7"/>
  <c r="C53" i="7"/>
  <c r="B53" i="7"/>
  <c r="N52" i="7"/>
  <c r="M52" i="7"/>
  <c r="J52" i="7"/>
  <c r="I52" i="7"/>
  <c r="E52" i="7"/>
  <c r="D52" i="7"/>
  <c r="C52" i="7"/>
  <c r="B52" i="7"/>
  <c r="N51" i="7"/>
  <c r="M51" i="7"/>
  <c r="J51" i="7"/>
  <c r="I51" i="7"/>
  <c r="E51" i="7"/>
  <c r="D51" i="7"/>
  <c r="B51" i="7"/>
  <c r="N50" i="7"/>
  <c r="M50" i="7"/>
  <c r="J50" i="7"/>
  <c r="I50" i="7"/>
  <c r="E50" i="7"/>
  <c r="D50" i="7"/>
  <c r="C50" i="7"/>
  <c r="B50" i="7"/>
  <c r="N49" i="7"/>
  <c r="M49" i="7"/>
  <c r="J49" i="7"/>
  <c r="I49" i="7"/>
  <c r="E49" i="7"/>
  <c r="D49" i="7"/>
  <c r="C49" i="7"/>
  <c r="B49" i="7"/>
  <c r="N48" i="7"/>
  <c r="M48" i="7"/>
  <c r="J48" i="7"/>
  <c r="I48" i="7"/>
  <c r="E48" i="7"/>
  <c r="D48" i="7"/>
  <c r="C48" i="7"/>
  <c r="B48" i="7"/>
  <c r="N47" i="7"/>
  <c r="M47" i="7"/>
  <c r="J47" i="7"/>
  <c r="I47" i="7"/>
  <c r="E47" i="7"/>
  <c r="D47" i="7"/>
  <c r="C47" i="7"/>
  <c r="B47" i="7"/>
  <c r="N46" i="7"/>
  <c r="M46" i="7"/>
  <c r="J46" i="7"/>
  <c r="I46" i="7"/>
  <c r="E46" i="7"/>
  <c r="D46" i="7"/>
  <c r="C46" i="7"/>
  <c r="B46" i="7"/>
  <c r="N45" i="7"/>
  <c r="M45" i="7"/>
  <c r="J45" i="7"/>
  <c r="I45" i="7"/>
  <c r="E45" i="7"/>
  <c r="D45" i="7"/>
  <c r="C45" i="7"/>
  <c r="B45" i="7"/>
  <c r="N44" i="7"/>
  <c r="M44" i="7"/>
  <c r="J44" i="7"/>
  <c r="I44" i="7"/>
  <c r="E44" i="7"/>
  <c r="D44" i="7"/>
  <c r="C44" i="7"/>
  <c r="B44" i="7"/>
  <c r="N43" i="7"/>
  <c r="M43" i="7"/>
  <c r="J43" i="7"/>
  <c r="I43" i="7"/>
  <c r="E43" i="7"/>
  <c r="D43" i="7"/>
  <c r="C43" i="7"/>
  <c r="B43" i="7"/>
  <c r="N50" i="6"/>
  <c r="M50" i="6"/>
  <c r="J50" i="6"/>
  <c r="I50" i="6"/>
  <c r="E50" i="6"/>
  <c r="D50" i="6"/>
  <c r="C50" i="6"/>
  <c r="B50" i="6"/>
  <c r="N49" i="6"/>
  <c r="M49" i="6"/>
  <c r="J49" i="6"/>
  <c r="I49" i="6"/>
  <c r="E49" i="6"/>
  <c r="D49" i="6"/>
  <c r="C49" i="6"/>
  <c r="B49" i="6"/>
  <c r="N48" i="6"/>
  <c r="M48" i="6"/>
  <c r="J48" i="6"/>
  <c r="I48" i="6"/>
  <c r="E48" i="6"/>
  <c r="D48" i="6"/>
  <c r="C48" i="6"/>
  <c r="B48" i="6"/>
  <c r="N47" i="6"/>
  <c r="M47" i="6"/>
  <c r="J47" i="6"/>
  <c r="I47" i="6"/>
  <c r="E47" i="6"/>
  <c r="D47" i="6"/>
  <c r="C47" i="6"/>
  <c r="B47" i="6"/>
  <c r="N46" i="6"/>
  <c r="M46" i="6"/>
  <c r="J46" i="6"/>
  <c r="I46" i="6"/>
  <c r="E46" i="6"/>
  <c r="D46" i="6"/>
  <c r="C46" i="6"/>
  <c r="B46" i="6"/>
  <c r="N45" i="6"/>
  <c r="M45" i="6"/>
  <c r="J45" i="6"/>
  <c r="I45" i="6"/>
  <c r="E45" i="6"/>
  <c r="D45" i="6"/>
  <c r="C45" i="6"/>
  <c r="B45" i="6"/>
  <c r="N44" i="6"/>
  <c r="M44" i="6"/>
  <c r="J44" i="6"/>
  <c r="I44" i="6"/>
  <c r="E44" i="6"/>
  <c r="D44" i="6"/>
  <c r="C44" i="6"/>
  <c r="B44" i="6"/>
  <c r="N43" i="6"/>
  <c r="M43" i="6"/>
  <c r="J43" i="6"/>
  <c r="I43" i="6"/>
  <c r="E43" i="6"/>
  <c r="D43" i="6"/>
  <c r="C43" i="6"/>
  <c r="B43" i="6"/>
  <c r="N42" i="6"/>
  <c r="M42" i="6"/>
  <c r="J42" i="6"/>
  <c r="I42" i="6"/>
  <c r="E42" i="6"/>
  <c r="D42" i="6"/>
  <c r="C42" i="6"/>
  <c r="B42" i="6"/>
  <c r="N41" i="6"/>
  <c r="M41" i="6"/>
  <c r="J41" i="6"/>
  <c r="I41" i="6"/>
  <c r="E41" i="6"/>
  <c r="D41" i="6"/>
  <c r="C41" i="6"/>
  <c r="B41" i="6"/>
  <c r="N39" i="5"/>
  <c r="M39" i="5"/>
  <c r="J39" i="5"/>
  <c r="I39" i="5"/>
  <c r="E39" i="5"/>
  <c r="D39" i="5"/>
  <c r="C39" i="5"/>
  <c r="B39" i="5"/>
  <c r="N38" i="5"/>
  <c r="M38" i="5"/>
  <c r="J38" i="5"/>
  <c r="I38" i="5"/>
  <c r="D38" i="5"/>
  <c r="H38" i="5" s="1"/>
  <c r="C38" i="5"/>
  <c r="B38" i="5"/>
  <c r="N37" i="5"/>
  <c r="M37" i="5"/>
  <c r="J37" i="5"/>
  <c r="I37" i="5"/>
  <c r="E37" i="5"/>
  <c r="D37" i="5"/>
  <c r="C37" i="5"/>
  <c r="B37" i="5"/>
  <c r="N36" i="5"/>
  <c r="M36" i="5"/>
  <c r="J36" i="5"/>
  <c r="I36" i="5"/>
  <c r="E36" i="5"/>
  <c r="D36" i="5"/>
  <c r="C36" i="5"/>
  <c r="B36" i="5"/>
  <c r="N35" i="5"/>
  <c r="M35" i="5"/>
  <c r="J35" i="5"/>
  <c r="I35" i="5"/>
  <c r="E35" i="5"/>
  <c r="D35" i="5"/>
  <c r="C35" i="5"/>
  <c r="B35" i="5"/>
  <c r="N34" i="5"/>
  <c r="M34" i="5"/>
  <c r="J34" i="5"/>
  <c r="I34" i="5"/>
  <c r="E34" i="5"/>
  <c r="D34" i="5"/>
  <c r="C34" i="5"/>
  <c r="B34" i="5"/>
  <c r="N33" i="5"/>
  <c r="M33" i="5"/>
  <c r="J33" i="5"/>
  <c r="I33" i="5"/>
  <c r="E33" i="5"/>
  <c r="D33" i="5"/>
  <c r="C33" i="5"/>
  <c r="B33" i="5"/>
  <c r="N32" i="5"/>
  <c r="M32" i="5"/>
  <c r="J32" i="5"/>
  <c r="I32" i="5"/>
  <c r="E32" i="5"/>
  <c r="D32" i="5"/>
  <c r="C32" i="5"/>
  <c r="B32" i="5"/>
  <c r="N31" i="5"/>
  <c r="M31" i="5"/>
  <c r="J31" i="5"/>
  <c r="I31" i="5"/>
  <c r="E31" i="5"/>
  <c r="D31" i="5"/>
  <c r="C31" i="5"/>
  <c r="B31" i="5"/>
  <c r="N30" i="5"/>
  <c r="M30" i="5"/>
  <c r="J30" i="5"/>
  <c r="I30" i="5"/>
  <c r="E30" i="5"/>
  <c r="D30" i="5"/>
  <c r="C30" i="5"/>
  <c r="B30" i="5"/>
  <c r="H35" i="4"/>
  <c r="L35" i="4" s="1"/>
  <c r="G35" i="4"/>
  <c r="F35" i="4"/>
  <c r="B35" i="4"/>
  <c r="N34" i="4"/>
  <c r="M34" i="4"/>
  <c r="J34" i="4"/>
  <c r="I34" i="4"/>
  <c r="E34" i="4"/>
  <c r="D34" i="4"/>
  <c r="C34" i="4"/>
  <c r="B34" i="4"/>
  <c r="N33" i="4"/>
  <c r="M33" i="4"/>
  <c r="J33" i="4"/>
  <c r="I33" i="4"/>
  <c r="E33" i="4"/>
  <c r="D33" i="4"/>
  <c r="C33" i="4"/>
  <c r="B33" i="4"/>
  <c r="N32" i="4"/>
  <c r="M32" i="4"/>
  <c r="J32" i="4"/>
  <c r="I32" i="4"/>
  <c r="E32" i="4"/>
  <c r="D32" i="4"/>
  <c r="C32" i="4"/>
  <c r="B32" i="4"/>
  <c r="N31" i="4"/>
  <c r="M31" i="4"/>
  <c r="J31" i="4"/>
  <c r="I31" i="4"/>
  <c r="E31" i="4"/>
  <c r="D31" i="4"/>
  <c r="C31" i="4"/>
  <c r="B31" i="4"/>
  <c r="N30" i="4"/>
  <c r="M30" i="4"/>
  <c r="J30" i="4"/>
  <c r="I30" i="4"/>
  <c r="E30" i="4"/>
  <c r="D30" i="4"/>
  <c r="C30" i="4"/>
  <c r="B30" i="4"/>
  <c r="N29" i="4"/>
  <c r="M29" i="4"/>
  <c r="J29" i="4"/>
  <c r="I29" i="4"/>
  <c r="E29" i="4"/>
  <c r="D29" i="4"/>
  <c r="C29" i="4"/>
  <c r="B29" i="4"/>
  <c r="N28" i="4"/>
  <c r="M28" i="4"/>
  <c r="J28" i="4"/>
  <c r="I28" i="4"/>
  <c r="E28" i="4"/>
  <c r="D28" i="4"/>
  <c r="C28" i="4"/>
  <c r="B28" i="4"/>
  <c r="G36" i="3"/>
  <c r="F36" i="3"/>
  <c r="E36" i="3"/>
  <c r="H36" i="3" s="1"/>
  <c r="C36" i="3"/>
  <c r="B36" i="3"/>
  <c r="N35" i="3"/>
  <c r="M35" i="3"/>
  <c r="J35" i="3"/>
  <c r="I35" i="3"/>
  <c r="E35" i="3"/>
  <c r="D35" i="3"/>
  <c r="C35" i="3"/>
  <c r="B35" i="3"/>
  <c r="N34" i="3"/>
  <c r="M34" i="3"/>
  <c r="J34" i="3"/>
  <c r="I34" i="3"/>
  <c r="E34" i="3"/>
  <c r="D34" i="3"/>
  <c r="C34" i="3"/>
  <c r="B34" i="3"/>
  <c r="N33" i="3"/>
  <c r="M33" i="3"/>
  <c r="J33" i="3"/>
  <c r="I33" i="3"/>
  <c r="E33" i="3"/>
  <c r="D33" i="3"/>
  <c r="C33" i="3"/>
  <c r="B33" i="3"/>
  <c r="N32" i="3"/>
  <c r="M32" i="3"/>
  <c r="J32" i="3"/>
  <c r="I32" i="3"/>
  <c r="E32" i="3"/>
  <c r="D32" i="3"/>
  <c r="C32" i="3"/>
  <c r="B32" i="3"/>
  <c r="N31" i="3"/>
  <c r="M31" i="3"/>
  <c r="J31" i="3"/>
  <c r="I31" i="3"/>
  <c r="E31" i="3"/>
  <c r="D31" i="3"/>
  <c r="C31" i="3"/>
  <c r="B31" i="3"/>
  <c r="N30" i="3"/>
  <c r="M30" i="3"/>
  <c r="J30" i="3"/>
  <c r="I30" i="3"/>
  <c r="E30" i="3"/>
  <c r="D30" i="3"/>
  <c r="C30" i="3"/>
  <c r="B30" i="3"/>
  <c r="N29" i="3"/>
  <c r="M29" i="3"/>
  <c r="J29" i="3"/>
  <c r="I29" i="3"/>
  <c r="E29" i="3"/>
  <c r="D29" i="3"/>
  <c r="C29" i="3"/>
  <c r="B29" i="3"/>
  <c r="N28" i="3"/>
  <c r="M28" i="3"/>
  <c r="J28" i="3"/>
  <c r="I28" i="3"/>
  <c r="E28" i="3"/>
  <c r="D28" i="3"/>
  <c r="C28" i="3"/>
  <c r="B28" i="3"/>
  <c r="G39" i="2"/>
  <c r="F39" i="2"/>
  <c r="E39" i="2"/>
  <c r="H39" i="2" s="1"/>
  <c r="L39" i="2" s="1"/>
  <c r="C39" i="2"/>
  <c r="B39" i="2"/>
  <c r="N38" i="2"/>
  <c r="M38" i="2"/>
  <c r="J38" i="2"/>
  <c r="I38" i="2"/>
  <c r="E38" i="2"/>
  <c r="D38" i="2"/>
  <c r="C38" i="2"/>
  <c r="B38" i="2"/>
  <c r="N37" i="2"/>
  <c r="M37" i="2"/>
  <c r="J37" i="2"/>
  <c r="I37" i="2"/>
  <c r="E37" i="2"/>
  <c r="D37" i="2"/>
  <c r="C37" i="2"/>
  <c r="B37" i="2"/>
  <c r="N36" i="2"/>
  <c r="M36" i="2"/>
  <c r="J36" i="2"/>
  <c r="I36" i="2"/>
  <c r="E36" i="2"/>
  <c r="D36" i="2"/>
  <c r="C36" i="2"/>
  <c r="B36" i="2"/>
  <c r="N35" i="2"/>
  <c r="M35" i="2"/>
  <c r="J35" i="2"/>
  <c r="I35" i="2"/>
  <c r="E35" i="2"/>
  <c r="D35" i="2"/>
  <c r="C35" i="2"/>
  <c r="B35" i="2"/>
  <c r="N34" i="2"/>
  <c r="M34" i="2"/>
  <c r="J34" i="2"/>
  <c r="I34" i="2"/>
  <c r="E34" i="2"/>
  <c r="D34" i="2"/>
  <c r="C34" i="2"/>
  <c r="B34" i="2"/>
  <c r="N33" i="2"/>
  <c r="M33" i="2"/>
  <c r="J33" i="2"/>
  <c r="I33" i="2"/>
  <c r="E33" i="2"/>
  <c r="D33" i="2"/>
  <c r="C33" i="2"/>
  <c r="B33" i="2"/>
  <c r="N32" i="2"/>
  <c r="M32" i="2"/>
  <c r="J32" i="2"/>
  <c r="I32" i="2"/>
  <c r="E32" i="2"/>
  <c r="D32" i="2"/>
  <c r="C32" i="2"/>
  <c r="B32" i="2"/>
  <c r="N31" i="2"/>
  <c r="M31" i="2"/>
  <c r="J31" i="2"/>
  <c r="I31" i="2"/>
  <c r="E31" i="2"/>
  <c r="D31" i="2"/>
  <c r="C31" i="2"/>
  <c r="B31" i="2"/>
  <c r="B5" i="37"/>
  <c r="B6" i="37" s="1"/>
  <c r="B7" i="37" s="1"/>
  <c r="B8" i="37" s="1"/>
  <c r="B9" i="37" s="1"/>
  <c r="B10" i="37" s="1"/>
  <c r="B11" i="37" s="1"/>
  <c r="B12" i="37" s="1"/>
  <c r="B13" i="37" s="1"/>
  <c r="B14" i="37" s="1"/>
  <c r="B15" i="37" s="1"/>
  <c r="B16" i="37" s="1"/>
  <c r="B17" i="37" s="1"/>
  <c r="B18" i="37" s="1"/>
  <c r="B19" i="37" s="1"/>
  <c r="B20" i="37" s="1"/>
  <c r="B21" i="37" s="1"/>
  <c r="B22" i="37" s="1"/>
  <c r="B23" i="37" s="1"/>
  <c r="B24" i="37" s="1"/>
  <c r="B25" i="37" s="1"/>
  <c r="B26" i="37" s="1"/>
  <c r="B27" i="37" s="1"/>
  <c r="B28" i="37" s="1"/>
  <c r="B29" i="37" s="1"/>
  <c r="B30" i="37" s="1"/>
  <c r="B31" i="37" s="1"/>
  <c r="B32" i="37" s="1"/>
  <c r="B33" i="37" s="1"/>
  <c r="B34" i="37" s="1"/>
  <c r="B35" i="37" s="1"/>
  <c r="B36" i="37" s="1"/>
  <c r="B37" i="37" s="1"/>
  <c r="B38" i="37" s="1"/>
  <c r="B39" i="37" s="1"/>
  <c r="M26" i="36"/>
  <c r="J26" i="36"/>
  <c r="I26" i="36"/>
  <c r="E26" i="36"/>
  <c r="D26" i="36"/>
  <c r="C26" i="36"/>
  <c r="B26" i="36"/>
  <c r="M25" i="36"/>
  <c r="J25" i="36"/>
  <c r="I25" i="36"/>
  <c r="E25" i="36"/>
  <c r="D25" i="36"/>
  <c r="C25" i="36"/>
  <c r="B25" i="36"/>
  <c r="M24" i="36"/>
  <c r="J24" i="36"/>
  <c r="I24" i="36"/>
  <c r="E24" i="36"/>
  <c r="D24" i="36"/>
  <c r="C24" i="36"/>
  <c r="B24" i="36"/>
  <c r="M23" i="36"/>
  <c r="J23" i="36"/>
  <c r="I23" i="36"/>
  <c r="E23" i="36"/>
  <c r="D23" i="36"/>
  <c r="C23" i="36"/>
  <c r="B23" i="36"/>
  <c r="M22" i="36"/>
  <c r="J22" i="36"/>
  <c r="I22" i="36"/>
  <c r="E22" i="36"/>
  <c r="D22" i="36"/>
  <c r="C22" i="36"/>
  <c r="B22" i="36"/>
  <c r="M21" i="36"/>
  <c r="J21" i="36"/>
  <c r="I21" i="36"/>
  <c r="E21" i="36"/>
  <c r="D21" i="36"/>
  <c r="C21" i="36"/>
  <c r="B21" i="36"/>
  <c r="M20" i="36"/>
  <c r="J20" i="36"/>
  <c r="I20" i="36"/>
  <c r="E20" i="36"/>
  <c r="D20" i="36"/>
  <c r="C20" i="36"/>
  <c r="B20" i="36"/>
  <c r="M19" i="36"/>
  <c r="J19" i="36"/>
  <c r="I19" i="36"/>
  <c r="E19" i="36"/>
  <c r="D19" i="36"/>
  <c r="C19" i="36"/>
  <c r="B19" i="36"/>
  <c r="M18" i="36"/>
  <c r="J18" i="36"/>
  <c r="I18" i="36"/>
  <c r="E18" i="36"/>
  <c r="D18" i="36"/>
  <c r="C18" i="36"/>
  <c r="B18" i="36"/>
  <c r="M17" i="36"/>
  <c r="J17" i="36"/>
  <c r="I17" i="36"/>
  <c r="E17" i="36"/>
  <c r="D17" i="36"/>
  <c r="C17" i="36"/>
  <c r="B17" i="36"/>
  <c r="M16" i="36"/>
  <c r="J16" i="36"/>
  <c r="I16" i="36"/>
  <c r="E16" i="36"/>
  <c r="D16" i="36"/>
  <c r="C16" i="36"/>
  <c r="B16" i="36"/>
  <c r="M15" i="36"/>
  <c r="J15" i="36"/>
  <c r="I15" i="36"/>
  <c r="E15" i="36"/>
  <c r="D15" i="36"/>
  <c r="C15" i="36"/>
  <c r="B15" i="36"/>
  <c r="M14" i="36"/>
  <c r="J14" i="36"/>
  <c r="I14" i="36"/>
  <c r="E14" i="36"/>
  <c r="D14" i="36"/>
  <c r="C14" i="36"/>
  <c r="B14" i="36"/>
  <c r="M13" i="36"/>
  <c r="J13" i="36"/>
  <c r="I13" i="36"/>
  <c r="E13" i="36"/>
  <c r="D13" i="36"/>
  <c r="C13" i="36"/>
  <c r="B13" i="36"/>
  <c r="M12" i="36"/>
  <c r="J12" i="36"/>
  <c r="I12" i="36"/>
  <c r="E12" i="36"/>
  <c r="D12" i="36"/>
  <c r="C12" i="36"/>
  <c r="B12" i="36"/>
  <c r="M11" i="36"/>
  <c r="J11" i="36"/>
  <c r="I11" i="36"/>
  <c r="E11" i="36"/>
  <c r="D11" i="36"/>
  <c r="C11" i="36"/>
  <c r="B11" i="36"/>
  <c r="M10" i="36"/>
  <c r="J10" i="36"/>
  <c r="I10" i="36"/>
  <c r="E10" i="36"/>
  <c r="D10" i="36"/>
  <c r="C10" i="36"/>
  <c r="B10" i="36"/>
  <c r="M9" i="36"/>
  <c r="J9" i="36"/>
  <c r="I9" i="36"/>
  <c r="E9" i="36"/>
  <c r="D9" i="36"/>
  <c r="C9" i="36"/>
  <c r="B9" i="36"/>
  <c r="M8" i="36"/>
  <c r="J8" i="36"/>
  <c r="I8" i="36"/>
  <c r="E8" i="36"/>
  <c r="D8" i="36"/>
  <c r="C8" i="36"/>
  <c r="B8" i="36"/>
  <c r="M7" i="36"/>
  <c r="J7" i="36"/>
  <c r="I7" i="36"/>
  <c r="E7" i="36"/>
  <c r="D7" i="36"/>
  <c r="C7" i="36"/>
  <c r="B7" i="36"/>
  <c r="M6" i="36"/>
  <c r="J6" i="36"/>
  <c r="I6" i="36"/>
  <c r="E6" i="36"/>
  <c r="D6" i="36"/>
  <c r="C6" i="36"/>
  <c r="B6" i="36"/>
  <c r="M5" i="36"/>
  <c r="J5" i="36"/>
  <c r="I5" i="36"/>
  <c r="E5" i="36"/>
  <c r="D5" i="36"/>
  <c r="C5" i="36"/>
  <c r="B5" i="36"/>
  <c r="M4" i="36"/>
  <c r="J4" i="36"/>
  <c r="I4" i="36"/>
  <c r="E4" i="36"/>
  <c r="D4" i="36"/>
  <c r="C4" i="36"/>
  <c r="B4" i="36"/>
  <c r="M3" i="36"/>
  <c r="J3" i="36"/>
  <c r="I3" i="36"/>
  <c r="E3" i="36"/>
  <c r="D3" i="36"/>
  <c r="C3" i="36"/>
  <c r="B3" i="36"/>
  <c r="M2" i="36"/>
  <c r="J2" i="36"/>
  <c r="I2" i="36"/>
  <c r="E2" i="36"/>
  <c r="D2" i="36"/>
  <c r="C2" i="36"/>
  <c r="B2" i="36"/>
  <c r="N29" i="35"/>
  <c r="M29" i="35"/>
  <c r="J29" i="35"/>
  <c r="I29" i="35"/>
  <c r="E29" i="35"/>
  <c r="D29" i="35"/>
  <c r="C29" i="35"/>
  <c r="B29" i="35"/>
  <c r="N28" i="35"/>
  <c r="M28" i="35"/>
  <c r="J28" i="35"/>
  <c r="I28" i="35"/>
  <c r="E28" i="35"/>
  <c r="D28" i="35"/>
  <c r="C28" i="35"/>
  <c r="B28" i="35"/>
  <c r="N27" i="35"/>
  <c r="M27" i="35"/>
  <c r="J27" i="35"/>
  <c r="I27" i="35"/>
  <c r="E27" i="35"/>
  <c r="D27" i="35"/>
  <c r="C27" i="35"/>
  <c r="B27" i="35"/>
  <c r="N26" i="35"/>
  <c r="M26" i="35"/>
  <c r="J26" i="35"/>
  <c r="I26" i="35"/>
  <c r="E26" i="35"/>
  <c r="D26" i="35"/>
  <c r="C26" i="35"/>
  <c r="B26" i="35"/>
  <c r="N25" i="35"/>
  <c r="M25" i="35"/>
  <c r="J25" i="35"/>
  <c r="I25" i="35"/>
  <c r="E25" i="35"/>
  <c r="D25" i="35"/>
  <c r="C25" i="35"/>
  <c r="B25" i="35"/>
  <c r="N24" i="35"/>
  <c r="M24" i="35"/>
  <c r="J24" i="35"/>
  <c r="I24" i="35"/>
  <c r="E24" i="35"/>
  <c r="D24" i="35"/>
  <c r="C24" i="35"/>
  <c r="B24" i="35"/>
  <c r="N23" i="35"/>
  <c r="M23" i="35"/>
  <c r="J23" i="35"/>
  <c r="I23" i="35"/>
  <c r="E23" i="35"/>
  <c r="D23" i="35"/>
  <c r="C23" i="35"/>
  <c r="B23" i="35"/>
  <c r="N22" i="35"/>
  <c r="M22" i="35"/>
  <c r="J22" i="35"/>
  <c r="I22" i="35"/>
  <c r="E22" i="35"/>
  <c r="D22" i="35"/>
  <c r="C22" i="35"/>
  <c r="B22" i="35"/>
  <c r="N21" i="35"/>
  <c r="M21" i="35"/>
  <c r="J21" i="35"/>
  <c r="I21" i="35"/>
  <c r="E21" i="35"/>
  <c r="D21" i="35"/>
  <c r="C21" i="35"/>
  <c r="B21" i="35"/>
  <c r="N20" i="35"/>
  <c r="M20" i="35"/>
  <c r="J20" i="35"/>
  <c r="I20" i="35"/>
  <c r="E20" i="35"/>
  <c r="D20" i="35"/>
  <c r="C20" i="35"/>
  <c r="B20" i="35"/>
  <c r="N19" i="35"/>
  <c r="M19" i="35"/>
  <c r="J19" i="35"/>
  <c r="I19" i="35"/>
  <c r="E19" i="35"/>
  <c r="D19" i="35"/>
  <c r="C19" i="35"/>
  <c r="B19" i="35"/>
  <c r="N18" i="35"/>
  <c r="M18" i="35"/>
  <c r="J18" i="35"/>
  <c r="I18" i="35"/>
  <c r="E18" i="35"/>
  <c r="D18" i="35"/>
  <c r="C18" i="35"/>
  <c r="B18" i="35"/>
  <c r="N17" i="35"/>
  <c r="M17" i="35"/>
  <c r="J17" i="35"/>
  <c r="I17" i="35"/>
  <c r="E17" i="35"/>
  <c r="D17" i="35"/>
  <c r="C17" i="35"/>
  <c r="B17" i="35"/>
  <c r="N16" i="35"/>
  <c r="M16" i="35"/>
  <c r="J16" i="35"/>
  <c r="I16" i="35"/>
  <c r="E16" i="35"/>
  <c r="D16" i="35"/>
  <c r="C16" i="35"/>
  <c r="B16" i="35"/>
  <c r="N15" i="35"/>
  <c r="M15" i="35"/>
  <c r="J15" i="35"/>
  <c r="I15" i="35"/>
  <c r="E15" i="35"/>
  <c r="D15" i="35"/>
  <c r="C15" i="35"/>
  <c r="B15" i="35"/>
  <c r="N14" i="35"/>
  <c r="M14" i="35"/>
  <c r="J14" i="35"/>
  <c r="I14" i="35"/>
  <c r="E14" i="35"/>
  <c r="D14" i="35"/>
  <c r="C14" i="35"/>
  <c r="B14" i="35"/>
  <c r="N13" i="35"/>
  <c r="M13" i="35"/>
  <c r="J13" i="35"/>
  <c r="I13" i="35"/>
  <c r="E13" i="35"/>
  <c r="D13" i="35"/>
  <c r="C13" i="35"/>
  <c r="B13" i="35"/>
  <c r="N12" i="35"/>
  <c r="M12" i="35"/>
  <c r="J12" i="35"/>
  <c r="I12" i="35"/>
  <c r="E12" i="35"/>
  <c r="D12" i="35"/>
  <c r="C12" i="35"/>
  <c r="B12" i="35"/>
  <c r="N11" i="35"/>
  <c r="M11" i="35"/>
  <c r="J11" i="35"/>
  <c r="I11" i="35"/>
  <c r="E11" i="35"/>
  <c r="D11" i="35"/>
  <c r="C11" i="35"/>
  <c r="B11" i="35"/>
  <c r="N10" i="35"/>
  <c r="M10" i="35"/>
  <c r="J10" i="35"/>
  <c r="I10" i="35"/>
  <c r="E10" i="35"/>
  <c r="D10" i="35"/>
  <c r="C10" i="35"/>
  <c r="B10" i="35"/>
  <c r="N9" i="35"/>
  <c r="M9" i="35"/>
  <c r="J9" i="35"/>
  <c r="I9" i="35"/>
  <c r="E9" i="35"/>
  <c r="D9" i="35"/>
  <c r="C9" i="35"/>
  <c r="B9" i="35"/>
  <c r="N8" i="35"/>
  <c r="M8" i="35"/>
  <c r="J8" i="35"/>
  <c r="I8" i="35"/>
  <c r="E8" i="35"/>
  <c r="D8" i="35"/>
  <c r="C8" i="35"/>
  <c r="B8" i="35"/>
  <c r="N7" i="35"/>
  <c r="M7" i="35"/>
  <c r="J7" i="35"/>
  <c r="I7" i="35"/>
  <c r="E7" i="35"/>
  <c r="D7" i="35"/>
  <c r="C7" i="35"/>
  <c r="B7" i="35"/>
  <c r="N6" i="35"/>
  <c r="M6" i="35"/>
  <c r="J6" i="35"/>
  <c r="I6" i="35"/>
  <c r="E6" i="35"/>
  <c r="D6" i="35"/>
  <c r="C6" i="35"/>
  <c r="B6" i="35"/>
  <c r="N5" i="35"/>
  <c r="M5" i="35"/>
  <c r="J5" i="35"/>
  <c r="I5" i="35"/>
  <c r="E5" i="35"/>
  <c r="D5" i="35"/>
  <c r="C5" i="35"/>
  <c r="B5" i="35"/>
  <c r="N4" i="35"/>
  <c r="M4" i="35"/>
  <c r="J4" i="35"/>
  <c r="I4" i="35"/>
  <c r="E4" i="35"/>
  <c r="D4" i="35"/>
  <c r="C4" i="35"/>
  <c r="B4" i="35"/>
  <c r="N3" i="35"/>
  <c r="M3" i="35"/>
  <c r="J3" i="35"/>
  <c r="I3" i="35"/>
  <c r="E3" i="35"/>
  <c r="D3" i="35"/>
  <c r="C3" i="35"/>
  <c r="B3" i="35"/>
  <c r="N2" i="35"/>
  <c r="M2" i="35"/>
  <c r="J2" i="35"/>
  <c r="I2" i="35"/>
  <c r="E2" i="35"/>
  <c r="D2" i="35"/>
  <c r="C2" i="35"/>
  <c r="B2" i="35"/>
  <c r="N26" i="34"/>
  <c r="M26" i="34"/>
  <c r="J26" i="34"/>
  <c r="I26" i="34"/>
  <c r="E26" i="34"/>
  <c r="D26" i="34"/>
  <c r="C26" i="34"/>
  <c r="B26" i="34"/>
  <c r="N25" i="34"/>
  <c r="M25" i="34"/>
  <c r="J25" i="34"/>
  <c r="I25" i="34"/>
  <c r="E25" i="34"/>
  <c r="D25" i="34"/>
  <c r="C25" i="34"/>
  <c r="B25" i="34"/>
  <c r="N24" i="34"/>
  <c r="M24" i="34"/>
  <c r="J24" i="34"/>
  <c r="I24" i="34"/>
  <c r="E24" i="34"/>
  <c r="D24" i="34"/>
  <c r="C24" i="34"/>
  <c r="B24" i="34"/>
  <c r="N23" i="34"/>
  <c r="M23" i="34"/>
  <c r="J23" i="34"/>
  <c r="I23" i="34"/>
  <c r="E23" i="34"/>
  <c r="D23" i="34"/>
  <c r="C23" i="34"/>
  <c r="B23" i="34"/>
  <c r="N22" i="34"/>
  <c r="M22" i="34"/>
  <c r="J22" i="34"/>
  <c r="I22" i="34"/>
  <c r="E22" i="34"/>
  <c r="D22" i="34"/>
  <c r="C22" i="34"/>
  <c r="B22" i="34"/>
  <c r="N21" i="34"/>
  <c r="M21" i="34"/>
  <c r="J21" i="34"/>
  <c r="I21" i="34"/>
  <c r="E21" i="34"/>
  <c r="D21" i="34"/>
  <c r="C21" i="34"/>
  <c r="B21" i="34"/>
  <c r="N20" i="34"/>
  <c r="M20" i="34"/>
  <c r="J20" i="34"/>
  <c r="I20" i="34"/>
  <c r="E20" i="34"/>
  <c r="D20" i="34"/>
  <c r="C20" i="34"/>
  <c r="B20" i="34"/>
  <c r="N19" i="34"/>
  <c r="M19" i="34"/>
  <c r="J19" i="34"/>
  <c r="I19" i="34"/>
  <c r="E19" i="34"/>
  <c r="D19" i="34"/>
  <c r="C19" i="34"/>
  <c r="B19" i="34"/>
  <c r="N18" i="34"/>
  <c r="M18" i="34"/>
  <c r="J18" i="34"/>
  <c r="I18" i="34"/>
  <c r="E18" i="34"/>
  <c r="D18" i="34"/>
  <c r="C18" i="34"/>
  <c r="B18" i="34"/>
  <c r="N17" i="34"/>
  <c r="M17" i="34"/>
  <c r="J17" i="34"/>
  <c r="I17" i="34"/>
  <c r="E17" i="34"/>
  <c r="D17" i="34"/>
  <c r="C17" i="34"/>
  <c r="B17" i="34"/>
  <c r="N16" i="34"/>
  <c r="M16" i="34"/>
  <c r="J16" i="34"/>
  <c r="I16" i="34"/>
  <c r="E16" i="34"/>
  <c r="D16" i="34"/>
  <c r="C16" i="34"/>
  <c r="B16" i="34"/>
  <c r="N15" i="34"/>
  <c r="M15" i="34"/>
  <c r="J15" i="34"/>
  <c r="I15" i="34"/>
  <c r="E15" i="34"/>
  <c r="D15" i="34"/>
  <c r="C15" i="34"/>
  <c r="B15" i="34"/>
  <c r="N14" i="34"/>
  <c r="M14" i="34"/>
  <c r="J14" i="34"/>
  <c r="I14" i="34"/>
  <c r="E14" i="34"/>
  <c r="D14" i="34"/>
  <c r="C14" i="34"/>
  <c r="B14" i="34"/>
  <c r="N13" i="34"/>
  <c r="M13" i="34"/>
  <c r="J13" i="34"/>
  <c r="I13" i="34"/>
  <c r="E13" i="34"/>
  <c r="D13" i="34"/>
  <c r="C13" i="34"/>
  <c r="B13" i="34"/>
  <c r="N12" i="34"/>
  <c r="M12" i="34"/>
  <c r="J12" i="34"/>
  <c r="I12" i="34"/>
  <c r="E12" i="34"/>
  <c r="D12" i="34"/>
  <c r="C12" i="34"/>
  <c r="B12" i="34"/>
  <c r="N11" i="34"/>
  <c r="M11" i="34"/>
  <c r="J11" i="34"/>
  <c r="I11" i="34"/>
  <c r="E11" i="34"/>
  <c r="D11" i="34"/>
  <c r="C11" i="34"/>
  <c r="B11" i="34"/>
  <c r="N10" i="34"/>
  <c r="M10" i="34"/>
  <c r="J10" i="34"/>
  <c r="I10" i="34"/>
  <c r="E10" i="34"/>
  <c r="D10" i="34"/>
  <c r="C10" i="34"/>
  <c r="B10" i="34"/>
  <c r="N9" i="34"/>
  <c r="M9" i="34"/>
  <c r="J9" i="34"/>
  <c r="I9" i="34"/>
  <c r="E9" i="34"/>
  <c r="D9" i="34"/>
  <c r="C9" i="34"/>
  <c r="B9" i="34"/>
  <c r="N8" i="34"/>
  <c r="M8" i="34"/>
  <c r="J8" i="34"/>
  <c r="I8" i="34"/>
  <c r="E8" i="34"/>
  <c r="D8" i="34"/>
  <c r="C8" i="34"/>
  <c r="B8" i="34"/>
  <c r="N7" i="34"/>
  <c r="M7" i="34"/>
  <c r="J7" i="34"/>
  <c r="I7" i="34"/>
  <c r="E7" i="34"/>
  <c r="D7" i="34"/>
  <c r="C7" i="34"/>
  <c r="B7" i="34"/>
  <c r="N6" i="34"/>
  <c r="M6" i="34"/>
  <c r="J6" i="34"/>
  <c r="I6" i="34"/>
  <c r="E6" i="34"/>
  <c r="D6" i="34"/>
  <c r="C6" i="34"/>
  <c r="B6" i="34"/>
  <c r="N5" i="34"/>
  <c r="M5" i="34"/>
  <c r="J5" i="34"/>
  <c r="I5" i="34"/>
  <c r="E5" i="34"/>
  <c r="D5" i="34"/>
  <c r="C5" i="34"/>
  <c r="B5" i="34"/>
  <c r="N4" i="34"/>
  <c r="M4" i="34"/>
  <c r="J4" i="34"/>
  <c r="I4" i="34"/>
  <c r="E4" i="34"/>
  <c r="D4" i="34"/>
  <c r="C4" i="34"/>
  <c r="B4" i="34"/>
  <c r="N3" i="34"/>
  <c r="M3" i="34"/>
  <c r="J3" i="34"/>
  <c r="I3" i="34"/>
  <c r="E3" i="34"/>
  <c r="D3" i="34"/>
  <c r="C3" i="34"/>
  <c r="B3" i="34"/>
  <c r="N2" i="34"/>
  <c r="M2" i="34"/>
  <c r="J2" i="34"/>
  <c r="I2" i="34"/>
  <c r="E2" i="34"/>
  <c r="D2" i="34"/>
  <c r="C2" i="34"/>
  <c r="B2" i="34"/>
  <c r="N25" i="33"/>
  <c r="M25" i="33"/>
  <c r="J25" i="33"/>
  <c r="I25" i="33"/>
  <c r="E25" i="33"/>
  <c r="D25" i="33"/>
  <c r="C25" i="33"/>
  <c r="B25" i="33"/>
  <c r="N24" i="33"/>
  <c r="M24" i="33"/>
  <c r="J24" i="33"/>
  <c r="I24" i="33"/>
  <c r="E24" i="33"/>
  <c r="D24" i="33"/>
  <c r="C24" i="33"/>
  <c r="B24" i="33"/>
  <c r="N23" i="33"/>
  <c r="M23" i="33"/>
  <c r="J23" i="33"/>
  <c r="I23" i="33"/>
  <c r="E23" i="33"/>
  <c r="D23" i="33"/>
  <c r="C23" i="33"/>
  <c r="B23" i="33"/>
  <c r="N22" i="33"/>
  <c r="M22" i="33"/>
  <c r="J22" i="33"/>
  <c r="I22" i="33"/>
  <c r="E22" i="33"/>
  <c r="D22" i="33"/>
  <c r="C22" i="33"/>
  <c r="B22" i="33"/>
  <c r="N21" i="33"/>
  <c r="M21" i="33"/>
  <c r="J21" i="33"/>
  <c r="I21" i="33"/>
  <c r="E21" i="33"/>
  <c r="D21" i="33"/>
  <c r="C21" i="33"/>
  <c r="B21" i="33"/>
  <c r="N20" i="33"/>
  <c r="M20" i="33"/>
  <c r="J20" i="33"/>
  <c r="I20" i="33"/>
  <c r="E20" i="33"/>
  <c r="D20" i="33"/>
  <c r="C20" i="33"/>
  <c r="B20" i="33"/>
  <c r="N19" i="33"/>
  <c r="M19" i="33"/>
  <c r="J19" i="33"/>
  <c r="I19" i="33"/>
  <c r="E19" i="33"/>
  <c r="D19" i="33"/>
  <c r="C19" i="33"/>
  <c r="B19" i="33"/>
  <c r="N18" i="33"/>
  <c r="M18" i="33"/>
  <c r="J18" i="33"/>
  <c r="I18" i="33"/>
  <c r="E18" i="33"/>
  <c r="D18" i="33"/>
  <c r="C18" i="33"/>
  <c r="B18" i="33"/>
  <c r="N17" i="33"/>
  <c r="M17" i="33"/>
  <c r="J17" i="33"/>
  <c r="I17" i="33"/>
  <c r="E17" i="33"/>
  <c r="D17" i="33"/>
  <c r="C17" i="33"/>
  <c r="B17" i="33"/>
  <c r="N16" i="33"/>
  <c r="M16" i="33"/>
  <c r="J16" i="33"/>
  <c r="I16" i="33"/>
  <c r="E16" i="33"/>
  <c r="D16" i="33"/>
  <c r="C16" i="33"/>
  <c r="B16" i="33"/>
  <c r="N15" i="33"/>
  <c r="M15" i="33"/>
  <c r="J15" i="33"/>
  <c r="I15" i="33"/>
  <c r="E15" i="33"/>
  <c r="D15" i="33"/>
  <c r="C15" i="33"/>
  <c r="B15" i="33"/>
  <c r="N14" i="33"/>
  <c r="M14" i="33"/>
  <c r="J14" i="33"/>
  <c r="I14" i="33"/>
  <c r="E14" i="33"/>
  <c r="D14" i="33"/>
  <c r="C14" i="33"/>
  <c r="B14" i="33"/>
  <c r="N13" i="33"/>
  <c r="M13" i="33"/>
  <c r="J13" i="33"/>
  <c r="I13" i="33"/>
  <c r="E13" i="33"/>
  <c r="D13" i="33"/>
  <c r="C13" i="33"/>
  <c r="B13" i="33"/>
  <c r="N12" i="33"/>
  <c r="M12" i="33"/>
  <c r="J12" i="33"/>
  <c r="I12" i="33"/>
  <c r="E12" i="33"/>
  <c r="D12" i="33"/>
  <c r="C12" i="33"/>
  <c r="B12" i="33"/>
  <c r="N11" i="33"/>
  <c r="M11" i="33"/>
  <c r="J11" i="33"/>
  <c r="I11" i="33"/>
  <c r="E11" i="33"/>
  <c r="D11" i="33"/>
  <c r="C11" i="33"/>
  <c r="B11" i="33"/>
  <c r="N10" i="33"/>
  <c r="M10" i="33"/>
  <c r="J10" i="33"/>
  <c r="I10" i="33"/>
  <c r="E10" i="33"/>
  <c r="D10" i="33"/>
  <c r="C10" i="33"/>
  <c r="B10" i="33"/>
  <c r="N9" i="33"/>
  <c r="M9" i="33"/>
  <c r="J9" i="33"/>
  <c r="I9" i="33"/>
  <c r="E9" i="33"/>
  <c r="D9" i="33"/>
  <c r="C9" i="33"/>
  <c r="B9" i="33"/>
  <c r="N8" i="33"/>
  <c r="M8" i="33"/>
  <c r="J8" i="33"/>
  <c r="I8" i="33"/>
  <c r="E8" i="33"/>
  <c r="D8" i="33"/>
  <c r="C8" i="33"/>
  <c r="B8" i="33"/>
  <c r="N7" i="33"/>
  <c r="M7" i="33"/>
  <c r="J7" i="33"/>
  <c r="I7" i="33"/>
  <c r="E7" i="33"/>
  <c r="D7" i="33"/>
  <c r="C7" i="33"/>
  <c r="B7" i="33"/>
  <c r="N6" i="33"/>
  <c r="M6" i="33"/>
  <c r="J6" i="33"/>
  <c r="I6" i="33"/>
  <c r="E6" i="33"/>
  <c r="D6" i="33"/>
  <c r="C6" i="33"/>
  <c r="B6" i="33"/>
  <c r="N5" i="33"/>
  <c r="M5" i="33"/>
  <c r="J5" i="33"/>
  <c r="I5" i="33"/>
  <c r="E5" i="33"/>
  <c r="D5" i="33"/>
  <c r="C5" i="33"/>
  <c r="B5" i="33"/>
  <c r="N4" i="33"/>
  <c r="M4" i="33"/>
  <c r="J4" i="33"/>
  <c r="I4" i="33"/>
  <c r="E4" i="33"/>
  <c r="D4" i="33"/>
  <c r="C4" i="33"/>
  <c r="B4" i="33"/>
  <c r="N3" i="33"/>
  <c r="M3" i="33"/>
  <c r="J3" i="33"/>
  <c r="I3" i="33"/>
  <c r="E3" i="33"/>
  <c r="D3" i="33"/>
  <c r="C3" i="33"/>
  <c r="B3" i="33"/>
  <c r="N2" i="33"/>
  <c r="M2" i="33"/>
  <c r="J2" i="33"/>
  <c r="I2" i="33"/>
  <c r="E2" i="33"/>
  <c r="D2" i="33"/>
  <c r="C2" i="33"/>
  <c r="B2" i="33"/>
  <c r="N25" i="32"/>
  <c r="M25" i="32"/>
  <c r="J25" i="32"/>
  <c r="I25" i="32"/>
  <c r="E25" i="32"/>
  <c r="D25" i="32"/>
  <c r="C25" i="32"/>
  <c r="B25" i="32"/>
  <c r="N24" i="32"/>
  <c r="M24" i="32"/>
  <c r="J24" i="32"/>
  <c r="I24" i="32"/>
  <c r="E24" i="32"/>
  <c r="D24" i="32"/>
  <c r="C24" i="32"/>
  <c r="B24" i="32"/>
  <c r="N23" i="32"/>
  <c r="M23" i="32"/>
  <c r="J23" i="32"/>
  <c r="I23" i="32"/>
  <c r="E23" i="32"/>
  <c r="D23" i="32"/>
  <c r="C23" i="32"/>
  <c r="B23" i="32"/>
  <c r="N22" i="32"/>
  <c r="M22" i="32"/>
  <c r="J22" i="32"/>
  <c r="I22" i="32"/>
  <c r="E22" i="32"/>
  <c r="D22" i="32"/>
  <c r="C22" i="32"/>
  <c r="B22" i="32"/>
  <c r="N21" i="32"/>
  <c r="M21" i="32"/>
  <c r="J21" i="32"/>
  <c r="I21" i="32"/>
  <c r="E21" i="32"/>
  <c r="D21" i="32"/>
  <c r="C21" i="32"/>
  <c r="B21" i="32"/>
  <c r="N20" i="32"/>
  <c r="M20" i="32"/>
  <c r="J20" i="32"/>
  <c r="I20" i="32"/>
  <c r="E20" i="32"/>
  <c r="D20" i="32"/>
  <c r="C20" i="32"/>
  <c r="B20" i="32"/>
  <c r="N19" i="32"/>
  <c r="M19" i="32"/>
  <c r="J19" i="32"/>
  <c r="I19" i="32"/>
  <c r="E19" i="32"/>
  <c r="D19" i="32"/>
  <c r="C19" i="32"/>
  <c r="B19" i="32"/>
  <c r="N18" i="32"/>
  <c r="M18" i="32"/>
  <c r="J18" i="32"/>
  <c r="I18" i="32"/>
  <c r="E18" i="32"/>
  <c r="D18" i="32"/>
  <c r="C18" i="32"/>
  <c r="B18" i="32"/>
  <c r="N17" i="32"/>
  <c r="M17" i="32"/>
  <c r="J17" i="32"/>
  <c r="I17" i="32"/>
  <c r="E17" i="32"/>
  <c r="D17" i="32"/>
  <c r="C17" i="32"/>
  <c r="B17" i="32"/>
  <c r="N16" i="32"/>
  <c r="M16" i="32"/>
  <c r="J16" i="32"/>
  <c r="I16" i="32"/>
  <c r="E16" i="32"/>
  <c r="D16" i="32"/>
  <c r="C16" i="32"/>
  <c r="B16" i="32"/>
  <c r="N15" i="32"/>
  <c r="M15" i="32"/>
  <c r="J15" i="32"/>
  <c r="I15" i="32"/>
  <c r="E15" i="32"/>
  <c r="D15" i="32"/>
  <c r="C15" i="32"/>
  <c r="B15" i="32"/>
  <c r="N14" i="32"/>
  <c r="M14" i="32"/>
  <c r="J14" i="32"/>
  <c r="I14" i="32"/>
  <c r="E14" i="32"/>
  <c r="D14" i="32"/>
  <c r="C14" i="32"/>
  <c r="B14" i="32"/>
  <c r="N13" i="32"/>
  <c r="M13" i="32"/>
  <c r="J13" i="32"/>
  <c r="I13" i="32"/>
  <c r="E13" i="32"/>
  <c r="D13" i="32"/>
  <c r="C13" i="32"/>
  <c r="B13" i="32"/>
  <c r="N12" i="32"/>
  <c r="M12" i="32"/>
  <c r="J12" i="32"/>
  <c r="I12" i="32"/>
  <c r="E12" i="32"/>
  <c r="D12" i="32"/>
  <c r="C12" i="32"/>
  <c r="B12" i="32"/>
  <c r="N11" i="32"/>
  <c r="M11" i="32"/>
  <c r="J11" i="32"/>
  <c r="I11" i="32"/>
  <c r="E11" i="32"/>
  <c r="D11" i="32"/>
  <c r="C11" i="32"/>
  <c r="B11" i="32"/>
  <c r="N10" i="32"/>
  <c r="M10" i="32"/>
  <c r="J10" i="32"/>
  <c r="I10" i="32"/>
  <c r="E10" i="32"/>
  <c r="D10" i="32"/>
  <c r="C10" i="32"/>
  <c r="B10" i="32"/>
  <c r="N9" i="32"/>
  <c r="M9" i="32"/>
  <c r="J9" i="32"/>
  <c r="I9" i="32"/>
  <c r="E9" i="32"/>
  <c r="D9" i="32"/>
  <c r="C9" i="32"/>
  <c r="B9" i="32"/>
  <c r="N8" i="32"/>
  <c r="M8" i="32"/>
  <c r="J8" i="32"/>
  <c r="I8" i="32"/>
  <c r="E8" i="32"/>
  <c r="D8" i="32"/>
  <c r="C8" i="32"/>
  <c r="B8" i="32"/>
  <c r="N7" i="32"/>
  <c r="M7" i="32"/>
  <c r="J7" i="32"/>
  <c r="I7" i="32"/>
  <c r="E7" i="32"/>
  <c r="D7" i="32"/>
  <c r="C7" i="32"/>
  <c r="B7" i="32"/>
  <c r="N6" i="32"/>
  <c r="M6" i="32"/>
  <c r="J6" i="32"/>
  <c r="I6" i="32"/>
  <c r="E6" i="32"/>
  <c r="D6" i="32"/>
  <c r="C6" i="32"/>
  <c r="B6" i="32"/>
  <c r="N5" i="32"/>
  <c r="M5" i="32"/>
  <c r="J5" i="32"/>
  <c r="I5" i="32"/>
  <c r="E5" i="32"/>
  <c r="D5" i="32"/>
  <c r="C5" i="32"/>
  <c r="B5" i="32"/>
  <c r="N4" i="32"/>
  <c r="M4" i="32"/>
  <c r="J4" i="32"/>
  <c r="I4" i="32"/>
  <c r="E4" i="32"/>
  <c r="D4" i="32"/>
  <c r="C4" i="32"/>
  <c r="B4" i="32"/>
  <c r="N3" i="32"/>
  <c r="M3" i="32"/>
  <c r="J3" i="32"/>
  <c r="I3" i="32"/>
  <c r="E3" i="32"/>
  <c r="D3" i="32"/>
  <c r="C3" i="32"/>
  <c r="B3" i="32"/>
  <c r="N2" i="32"/>
  <c r="M2" i="32"/>
  <c r="J2" i="32"/>
  <c r="I2" i="32"/>
  <c r="E2" i="32"/>
  <c r="D2" i="32"/>
  <c r="C2" i="32"/>
  <c r="B2" i="32"/>
  <c r="N24" i="31"/>
  <c r="M24" i="31"/>
  <c r="J24" i="31"/>
  <c r="I24" i="31"/>
  <c r="E24" i="31"/>
  <c r="D24" i="31"/>
  <c r="C24" i="31"/>
  <c r="B24" i="31"/>
  <c r="N23" i="31"/>
  <c r="M23" i="31"/>
  <c r="J23" i="31"/>
  <c r="I23" i="31"/>
  <c r="E23" i="31"/>
  <c r="D23" i="31"/>
  <c r="C23" i="31"/>
  <c r="B23" i="31"/>
  <c r="N22" i="31"/>
  <c r="M22" i="31"/>
  <c r="J22" i="31"/>
  <c r="I22" i="31"/>
  <c r="E22" i="31"/>
  <c r="D22" i="31"/>
  <c r="C22" i="31"/>
  <c r="B22" i="31"/>
  <c r="N21" i="31"/>
  <c r="M21" i="31"/>
  <c r="J21" i="31"/>
  <c r="I21" i="31"/>
  <c r="E21" i="31"/>
  <c r="D21" i="31"/>
  <c r="C21" i="31"/>
  <c r="B21" i="31"/>
  <c r="N20" i="31"/>
  <c r="M20" i="31"/>
  <c r="J20" i="31"/>
  <c r="I20" i="31"/>
  <c r="E20" i="31"/>
  <c r="D20" i="31"/>
  <c r="C20" i="31"/>
  <c r="B20" i="31"/>
  <c r="N19" i="31"/>
  <c r="M19" i="31"/>
  <c r="J19" i="31"/>
  <c r="I19" i="31"/>
  <c r="E19" i="31"/>
  <c r="D19" i="31"/>
  <c r="C19" i="31"/>
  <c r="B19" i="31"/>
  <c r="N18" i="31"/>
  <c r="M18" i="31"/>
  <c r="J18" i="31"/>
  <c r="I18" i="31"/>
  <c r="E18" i="31"/>
  <c r="D18" i="31"/>
  <c r="C18" i="31"/>
  <c r="B18" i="31"/>
  <c r="N17" i="31"/>
  <c r="M17" i="31"/>
  <c r="J17" i="31"/>
  <c r="I17" i="31"/>
  <c r="E17" i="31"/>
  <c r="D17" i="31"/>
  <c r="C17" i="31"/>
  <c r="B17" i="31"/>
  <c r="N16" i="31"/>
  <c r="M16" i="31"/>
  <c r="J16" i="31"/>
  <c r="I16" i="31"/>
  <c r="E16" i="31"/>
  <c r="D16" i="31"/>
  <c r="C16" i="31"/>
  <c r="B16" i="31"/>
  <c r="N15" i="31"/>
  <c r="M15" i="31"/>
  <c r="J15" i="31"/>
  <c r="I15" i="31"/>
  <c r="E15" i="31"/>
  <c r="D15" i="31"/>
  <c r="C15" i="31"/>
  <c r="B15" i="31"/>
  <c r="N14" i="31"/>
  <c r="M14" i="31"/>
  <c r="J14" i="31"/>
  <c r="I14" i="31"/>
  <c r="E14" i="31"/>
  <c r="D14" i="31"/>
  <c r="C14" i="31"/>
  <c r="B14" i="31"/>
  <c r="N13" i="31"/>
  <c r="M13" i="31"/>
  <c r="J13" i="31"/>
  <c r="I13" i="31"/>
  <c r="E13" i="31"/>
  <c r="D13" i="31"/>
  <c r="C13" i="31"/>
  <c r="B13" i="31"/>
  <c r="N12" i="31"/>
  <c r="M12" i="31"/>
  <c r="J12" i="31"/>
  <c r="I12" i="31"/>
  <c r="E12" i="31"/>
  <c r="D12" i="31"/>
  <c r="C12" i="31"/>
  <c r="B12" i="31"/>
  <c r="N11" i="31"/>
  <c r="M11" i="31"/>
  <c r="J11" i="31"/>
  <c r="I11" i="31"/>
  <c r="E11" i="31"/>
  <c r="D11" i="31"/>
  <c r="C11" i="31"/>
  <c r="B11" i="31"/>
  <c r="N10" i="31"/>
  <c r="M10" i="31"/>
  <c r="J10" i="31"/>
  <c r="I10" i="31"/>
  <c r="E10" i="31"/>
  <c r="D10" i="31"/>
  <c r="C10" i="31"/>
  <c r="B10" i="31"/>
  <c r="N9" i="31"/>
  <c r="M9" i="31"/>
  <c r="J9" i="31"/>
  <c r="I9" i="31"/>
  <c r="E9" i="31"/>
  <c r="D9" i="31"/>
  <c r="C9" i="31"/>
  <c r="B9" i="31"/>
  <c r="N8" i="31"/>
  <c r="M8" i="31"/>
  <c r="J8" i="31"/>
  <c r="I8" i="31"/>
  <c r="E8" i="31"/>
  <c r="D8" i="31"/>
  <c r="C8" i="31"/>
  <c r="B8" i="31"/>
  <c r="N7" i="31"/>
  <c r="M7" i="31"/>
  <c r="J7" i="31"/>
  <c r="I7" i="31"/>
  <c r="E7" i="31"/>
  <c r="D7" i="31"/>
  <c r="C7" i="31"/>
  <c r="B7" i="31"/>
  <c r="N6" i="31"/>
  <c r="M6" i="31"/>
  <c r="J6" i="31"/>
  <c r="I6" i="31"/>
  <c r="E6" i="31"/>
  <c r="D6" i="31"/>
  <c r="C6" i="31"/>
  <c r="B6" i="31"/>
  <c r="N5" i="31"/>
  <c r="M5" i="31"/>
  <c r="J5" i="31"/>
  <c r="I5" i="31"/>
  <c r="E5" i="31"/>
  <c r="D5" i="31"/>
  <c r="C5" i="31"/>
  <c r="B5" i="31"/>
  <c r="N4" i="31"/>
  <c r="M4" i="31"/>
  <c r="J4" i="31"/>
  <c r="I4" i="31"/>
  <c r="E4" i="31"/>
  <c r="D4" i="31"/>
  <c r="C4" i="31"/>
  <c r="B4" i="31"/>
  <c r="N3" i="31"/>
  <c r="M3" i="31"/>
  <c r="J3" i="31"/>
  <c r="I3" i="31"/>
  <c r="E3" i="31"/>
  <c r="D3" i="31"/>
  <c r="C3" i="31"/>
  <c r="B3" i="31"/>
  <c r="N2" i="31"/>
  <c r="M2" i="31"/>
  <c r="J2" i="31"/>
  <c r="I2" i="31"/>
  <c r="E2" i="31"/>
  <c r="D2" i="31"/>
  <c r="C2" i="31"/>
  <c r="B2" i="31"/>
  <c r="N28" i="30"/>
  <c r="M28" i="30"/>
  <c r="J28" i="30"/>
  <c r="I28" i="30"/>
  <c r="E28" i="30"/>
  <c r="D28" i="30"/>
  <c r="C28" i="30"/>
  <c r="B28" i="30"/>
  <c r="N27" i="30"/>
  <c r="M27" i="30"/>
  <c r="J27" i="30"/>
  <c r="I27" i="30"/>
  <c r="E27" i="30"/>
  <c r="D27" i="30"/>
  <c r="C27" i="30"/>
  <c r="B27" i="30"/>
  <c r="N26" i="30"/>
  <c r="M26" i="30"/>
  <c r="J26" i="30"/>
  <c r="I26" i="30"/>
  <c r="E26" i="30"/>
  <c r="D26" i="30"/>
  <c r="C26" i="30"/>
  <c r="B26" i="30"/>
  <c r="N25" i="30"/>
  <c r="M25" i="30"/>
  <c r="J25" i="30"/>
  <c r="I25" i="30"/>
  <c r="E25" i="30"/>
  <c r="D25" i="30"/>
  <c r="C25" i="30"/>
  <c r="B25" i="30"/>
  <c r="N24" i="30"/>
  <c r="M24" i="30"/>
  <c r="J24" i="30"/>
  <c r="I24" i="30"/>
  <c r="E24" i="30"/>
  <c r="D24" i="30"/>
  <c r="C24" i="30"/>
  <c r="B24" i="30"/>
  <c r="N23" i="30"/>
  <c r="M23" i="30"/>
  <c r="J23" i="30"/>
  <c r="I23" i="30"/>
  <c r="E23" i="30"/>
  <c r="D23" i="30"/>
  <c r="C23" i="30"/>
  <c r="B23" i="30"/>
  <c r="N22" i="30"/>
  <c r="M22" i="30"/>
  <c r="J22" i="30"/>
  <c r="I22" i="30"/>
  <c r="E22" i="30"/>
  <c r="D22" i="30"/>
  <c r="C22" i="30"/>
  <c r="B22" i="30"/>
  <c r="N21" i="30"/>
  <c r="M21" i="30"/>
  <c r="J21" i="30"/>
  <c r="I21" i="30"/>
  <c r="E21" i="30"/>
  <c r="D21" i="30"/>
  <c r="C21" i="30"/>
  <c r="B21" i="30"/>
  <c r="N20" i="30"/>
  <c r="M20" i="30"/>
  <c r="J20" i="30"/>
  <c r="I20" i="30"/>
  <c r="E20" i="30"/>
  <c r="D20" i="30"/>
  <c r="C20" i="30"/>
  <c r="B20" i="30"/>
  <c r="N19" i="30"/>
  <c r="M19" i="30"/>
  <c r="J19" i="30"/>
  <c r="I19" i="30"/>
  <c r="E19" i="30"/>
  <c r="D19" i="30"/>
  <c r="C19" i="30"/>
  <c r="B19" i="30"/>
  <c r="N18" i="30"/>
  <c r="M18" i="30"/>
  <c r="J18" i="30"/>
  <c r="I18" i="30"/>
  <c r="E18" i="30"/>
  <c r="D18" i="30"/>
  <c r="C18" i="30"/>
  <c r="B18" i="30"/>
  <c r="N17" i="30"/>
  <c r="M17" i="30"/>
  <c r="J17" i="30"/>
  <c r="I17" i="30"/>
  <c r="E17" i="30"/>
  <c r="D17" i="30"/>
  <c r="C17" i="30"/>
  <c r="B17" i="30"/>
  <c r="N16" i="30"/>
  <c r="M16" i="30"/>
  <c r="J16" i="30"/>
  <c r="I16" i="30"/>
  <c r="E16" i="30"/>
  <c r="D16" i="30"/>
  <c r="C16" i="30"/>
  <c r="B16" i="30"/>
  <c r="N15" i="30"/>
  <c r="M15" i="30"/>
  <c r="J15" i="30"/>
  <c r="I15" i="30"/>
  <c r="E15" i="30"/>
  <c r="D15" i="30"/>
  <c r="C15" i="30"/>
  <c r="B15" i="30"/>
  <c r="N14" i="30"/>
  <c r="M14" i="30"/>
  <c r="J14" i="30"/>
  <c r="I14" i="30"/>
  <c r="E14" i="30"/>
  <c r="D14" i="30"/>
  <c r="C14" i="30"/>
  <c r="B14" i="30"/>
  <c r="N13" i="30"/>
  <c r="M13" i="30"/>
  <c r="J13" i="30"/>
  <c r="I13" i="30"/>
  <c r="E13" i="30"/>
  <c r="D13" i="30"/>
  <c r="C13" i="30"/>
  <c r="B13" i="30"/>
  <c r="N12" i="30"/>
  <c r="M12" i="30"/>
  <c r="J12" i="30"/>
  <c r="I12" i="30"/>
  <c r="E12" i="30"/>
  <c r="D12" i="30"/>
  <c r="C12" i="30"/>
  <c r="B12" i="30"/>
  <c r="N11" i="30"/>
  <c r="M11" i="30"/>
  <c r="J11" i="30"/>
  <c r="I11" i="30"/>
  <c r="E11" i="30"/>
  <c r="D11" i="30"/>
  <c r="C11" i="30"/>
  <c r="B11" i="30"/>
  <c r="N10" i="30"/>
  <c r="M10" i="30"/>
  <c r="J10" i="30"/>
  <c r="I10" i="30"/>
  <c r="E10" i="30"/>
  <c r="D10" i="30"/>
  <c r="C10" i="30"/>
  <c r="B10" i="30"/>
  <c r="N9" i="30"/>
  <c r="M9" i="30"/>
  <c r="J9" i="30"/>
  <c r="I9" i="30"/>
  <c r="E9" i="30"/>
  <c r="D9" i="30"/>
  <c r="C9" i="30"/>
  <c r="B9" i="30"/>
  <c r="N8" i="30"/>
  <c r="M8" i="30"/>
  <c r="J8" i="30"/>
  <c r="I8" i="30"/>
  <c r="E8" i="30"/>
  <c r="D8" i="30"/>
  <c r="C8" i="30"/>
  <c r="B8" i="30"/>
  <c r="N7" i="30"/>
  <c r="M7" i="30"/>
  <c r="J7" i="30"/>
  <c r="I7" i="30"/>
  <c r="E7" i="30"/>
  <c r="D7" i="30"/>
  <c r="C7" i="30"/>
  <c r="B7" i="30"/>
  <c r="N6" i="30"/>
  <c r="M6" i="30"/>
  <c r="J6" i="30"/>
  <c r="I6" i="30"/>
  <c r="E6" i="30"/>
  <c r="D6" i="30"/>
  <c r="C6" i="30"/>
  <c r="B6" i="30"/>
  <c r="N5" i="30"/>
  <c r="M5" i="30"/>
  <c r="J5" i="30"/>
  <c r="I5" i="30"/>
  <c r="E5" i="30"/>
  <c r="D5" i="30"/>
  <c r="C5" i="30"/>
  <c r="B5" i="30"/>
  <c r="N4" i="30"/>
  <c r="M4" i="30"/>
  <c r="J4" i="30"/>
  <c r="I4" i="30"/>
  <c r="E4" i="30"/>
  <c r="D4" i="30"/>
  <c r="C4" i="30"/>
  <c r="B4" i="30"/>
  <c r="N3" i="30"/>
  <c r="M3" i="30"/>
  <c r="J3" i="30"/>
  <c r="I3" i="30"/>
  <c r="E3" i="30"/>
  <c r="D3" i="30"/>
  <c r="C3" i="30"/>
  <c r="B3" i="30"/>
  <c r="N2" i="30"/>
  <c r="M2" i="30"/>
  <c r="J2" i="30"/>
  <c r="I2" i="30"/>
  <c r="E2" i="30"/>
  <c r="D2" i="30"/>
  <c r="C2" i="30"/>
  <c r="B2" i="30"/>
  <c r="N29" i="29"/>
  <c r="M29" i="29"/>
  <c r="J29" i="29"/>
  <c r="I29" i="29"/>
  <c r="E29" i="29"/>
  <c r="D29" i="29"/>
  <c r="C29" i="29"/>
  <c r="B29" i="29"/>
  <c r="N28" i="29"/>
  <c r="M28" i="29"/>
  <c r="J28" i="29"/>
  <c r="I28" i="29"/>
  <c r="E28" i="29"/>
  <c r="D28" i="29"/>
  <c r="C28" i="29"/>
  <c r="B28" i="29"/>
  <c r="N27" i="29"/>
  <c r="M27" i="29"/>
  <c r="J27" i="29"/>
  <c r="I27" i="29"/>
  <c r="E27" i="29"/>
  <c r="D27" i="29"/>
  <c r="C27" i="29"/>
  <c r="B27" i="29"/>
  <c r="N26" i="29"/>
  <c r="M26" i="29"/>
  <c r="J26" i="29"/>
  <c r="I26" i="29"/>
  <c r="E26" i="29"/>
  <c r="D26" i="29"/>
  <c r="C26" i="29"/>
  <c r="B26" i="29"/>
  <c r="N25" i="29"/>
  <c r="M25" i="29"/>
  <c r="J25" i="29"/>
  <c r="I25" i="29"/>
  <c r="E25" i="29"/>
  <c r="D25" i="29"/>
  <c r="C25" i="29"/>
  <c r="B25" i="29"/>
  <c r="N24" i="29"/>
  <c r="M24" i="29"/>
  <c r="J24" i="29"/>
  <c r="I24" i="29"/>
  <c r="E24" i="29"/>
  <c r="D24" i="29"/>
  <c r="C24" i="29"/>
  <c r="B24" i="29"/>
  <c r="N23" i="29"/>
  <c r="M23" i="29"/>
  <c r="J23" i="29"/>
  <c r="I23" i="29"/>
  <c r="E23" i="29"/>
  <c r="D23" i="29"/>
  <c r="C23" i="29"/>
  <c r="B23" i="29"/>
  <c r="N22" i="29"/>
  <c r="M22" i="29"/>
  <c r="J22" i="29"/>
  <c r="I22" i="29"/>
  <c r="E22" i="29"/>
  <c r="D22" i="29"/>
  <c r="C22" i="29"/>
  <c r="B22" i="29"/>
  <c r="N21" i="29"/>
  <c r="M21" i="29"/>
  <c r="J21" i="29"/>
  <c r="I21" i="29"/>
  <c r="E21" i="29"/>
  <c r="D21" i="29"/>
  <c r="C21" i="29"/>
  <c r="B21" i="29"/>
  <c r="N20" i="29"/>
  <c r="M20" i="29"/>
  <c r="J20" i="29"/>
  <c r="I20" i="29"/>
  <c r="E20" i="29"/>
  <c r="D20" i="29"/>
  <c r="C20" i="29"/>
  <c r="B20" i="29"/>
  <c r="N19" i="29"/>
  <c r="M19" i="29"/>
  <c r="J19" i="29"/>
  <c r="I19" i="29"/>
  <c r="E19" i="29"/>
  <c r="D19" i="29"/>
  <c r="C19" i="29"/>
  <c r="B19" i="29"/>
  <c r="N18" i="29"/>
  <c r="M18" i="29"/>
  <c r="J18" i="29"/>
  <c r="I18" i="29"/>
  <c r="E18" i="29"/>
  <c r="D18" i="29"/>
  <c r="C18" i="29"/>
  <c r="B18" i="29"/>
  <c r="N17" i="29"/>
  <c r="M17" i="29"/>
  <c r="J17" i="29"/>
  <c r="I17" i="29"/>
  <c r="E17" i="29"/>
  <c r="D17" i="29"/>
  <c r="C17" i="29"/>
  <c r="B17" i="29"/>
  <c r="N16" i="29"/>
  <c r="M16" i="29"/>
  <c r="J16" i="29"/>
  <c r="I16" i="29"/>
  <c r="E16" i="29"/>
  <c r="D16" i="29"/>
  <c r="C16" i="29"/>
  <c r="B16" i="29"/>
  <c r="N15" i="29"/>
  <c r="M15" i="29"/>
  <c r="J15" i="29"/>
  <c r="I15" i="29"/>
  <c r="E15" i="29"/>
  <c r="D15" i="29"/>
  <c r="C15" i="29"/>
  <c r="B15" i="29"/>
  <c r="N14" i="29"/>
  <c r="M14" i="29"/>
  <c r="J14" i="29"/>
  <c r="I14" i="29"/>
  <c r="E14" i="29"/>
  <c r="D14" i="29"/>
  <c r="C14" i="29"/>
  <c r="B14" i="29"/>
  <c r="N13" i="29"/>
  <c r="M13" i="29"/>
  <c r="J13" i="29"/>
  <c r="I13" i="29"/>
  <c r="E13" i="29"/>
  <c r="D13" i="29"/>
  <c r="C13" i="29"/>
  <c r="B13" i="29"/>
  <c r="N12" i="29"/>
  <c r="M12" i="29"/>
  <c r="J12" i="29"/>
  <c r="I12" i="29"/>
  <c r="E12" i="29"/>
  <c r="D12" i="29"/>
  <c r="C12" i="29"/>
  <c r="B12" i="29"/>
  <c r="N11" i="29"/>
  <c r="M11" i="29"/>
  <c r="J11" i="29"/>
  <c r="I11" i="29"/>
  <c r="E11" i="29"/>
  <c r="D11" i="29"/>
  <c r="C11" i="29"/>
  <c r="B11" i="29"/>
  <c r="N10" i="29"/>
  <c r="M10" i="29"/>
  <c r="J10" i="29"/>
  <c r="I10" i="29"/>
  <c r="E10" i="29"/>
  <c r="D10" i="29"/>
  <c r="C10" i="29"/>
  <c r="B10" i="29"/>
  <c r="N9" i="29"/>
  <c r="M9" i="29"/>
  <c r="J9" i="29"/>
  <c r="I9" i="29"/>
  <c r="E9" i="29"/>
  <c r="D9" i="29"/>
  <c r="C9" i="29"/>
  <c r="B9" i="29"/>
  <c r="N8" i="29"/>
  <c r="M8" i="29"/>
  <c r="J8" i="29"/>
  <c r="I8" i="29"/>
  <c r="E8" i="29"/>
  <c r="D8" i="29"/>
  <c r="C8" i="29"/>
  <c r="B8" i="29"/>
  <c r="N7" i="29"/>
  <c r="M7" i="29"/>
  <c r="J7" i="29"/>
  <c r="I7" i="29"/>
  <c r="E7" i="29"/>
  <c r="D7" i="29"/>
  <c r="C7" i="29"/>
  <c r="B7" i="29"/>
  <c r="N6" i="29"/>
  <c r="M6" i="29"/>
  <c r="J6" i="29"/>
  <c r="I6" i="29"/>
  <c r="E6" i="29"/>
  <c r="D6" i="29"/>
  <c r="C6" i="29"/>
  <c r="B6" i="29"/>
  <c r="N5" i="29"/>
  <c r="M5" i="29"/>
  <c r="J5" i="29"/>
  <c r="I5" i="29"/>
  <c r="E5" i="29"/>
  <c r="D5" i="29"/>
  <c r="C5" i="29"/>
  <c r="B5" i="29"/>
  <c r="N4" i="29"/>
  <c r="M4" i="29"/>
  <c r="J4" i="29"/>
  <c r="I4" i="29"/>
  <c r="E4" i="29"/>
  <c r="D4" i="29"/>
  <c r="C4" i="29"/>
  <c r="B4" i="29"/>
  <c r="N3" i="29"/>
  <c r="M3" i="29"/>
  <c r="J3" i="29"/>
  <c r="I3" i="29"/>
  <c r="E3" i="29"/>
  <c r="D3" i="29"/>
  <c r="C3" i="29"/>
  <c r="B3" i="29"/>
  <c r="N2" i="29"/>
  <c r="M2" i="29"/>
  <c r="J2" i="29"/>
  <c r="I2" i="29"/>
  <c r="E2" i="29"/>
  <c r="D2" i="29"/>
  <c r="C2" i="29"/>
  <c r="B2" i="29"/>
  <c r="N29" i="28"/>
  <c r="M29" i="28"/>
  <c r="J29" i="28"/>
  <c r="I29" i="28"/>
  <c r="E29" i="28"/>
  <c r="D29" i="28"/>
  <c r="C29" i="28"/>
  <c r="B29" i="28"/>
  <c r="N28" i="28"/>
  <c r="M28" i="28"/>
  <c r="J28" i="28"/>
  <c r="I28" i="28"/>
  <c r="E28" i="28"/>
  <c r="D28" i="28"/>
  <c r="C28" i="28"/>
  <c r="B28" i="28"/>
  <c r="N27" i="28"/>
  <c r="M27" i="28"/>
  <c r="J27" i="28"/>
  <c r="I27" i="28"/>
  <c r="E27" i="28"/>
  <c r="D27" i="28"/>
  <c r="C27" i="28"/>
  <c r="B27" i="28"/>
  <c r="N26" i="28"/>
  <c r="M26" i="28"/>
  <c r="J26" i="28"/>
  <c r="I26" i="28"/>
  <c r="E26" i="28"/>
  <c r="D26" i="28"/>
  <c r="C26" i="28"/>
  <c r="B26" i="28"/>
  <c r="N25" i="28"/>
  <c r="M25" i="28"/>
  <c r="J25" i="28"/>
  <c r="I25" i="28"/>
  <c r="E25" i="28"/>
  <c r="D25" i="28"/>
  <c r="C25" i="28"/>
  <c r="B25" i="28"/>
  <c r="N24" i="28"/>
  <c r="M24" i="28"/>
  <c r="J24" i="28"/>
  <c r="I24" i="28"/>
  <c r="E24" i="28"/>
  <c r="D24" i="28"/>
  <c r="C24" i="28"/>
  <c r="B24" i="28"/>
  <c r="N23" i="28"/>
  <c r="M23" i="28"/>
  <c r="J23" i="28"/>
  <c r="I23" i="28"/>
  <c r="E23" i="28"/>
  <c r="D23" i="28"/>
  <c r="C23" i="28"/>
  <c r="B23" i="28"/>
  <c r="N22" i="28"/>
  <c r="M22" i="28"/>
  <c r="J22" i="28"/>
  <c r="I22" i="28"/>
  <c r="E22" i="28"/>
  <c r="D22" i="28"/>
  <c r="C22" i="28"/>
  <c r="B22" i="28"/>
  <c r="N21" i="28"/>
  <c r="M21" i="28"/>
  <c r="J21" i="28"/>
  <c r="I21" i="28"/>
  <c r="E21" i="28"/>
  <c r="D21" i="28"/>
  <c r="C21" i="28"/>
  <c r="B21" i="28"/>
  <c r="N20" i="28"/>
  <c r="M20" i="28"/>
  <c r="J20" i="28"/>
  <c r="I20" i="28"/>
  <c r="E20" i="28"/>
  <c r="D20" i="28"/>
  <c r="C20" i="28"/>
  <c r="B20" i="28"/>
  <c r="N19" i="28"/>
  <c r="M19" i="28"/>
  <c r="J19" i="28"/>
  <c r="I19" i="28"/>
  <c r="E19" i="28"/>
  <c r="D19" i="28"/>
  <c r="C19" i="28"/>
  <c r="B19" i="28"/>
  <c r="N18" i="28"/>
  <c r="M18" i="28"/>
  <c r="J18" i="28"/>
  <c r="I18" i="28"/>
  <c r="E18" i="28"/>
  <c r="D18" i="28"/>
  <c r="C18" i="28"/>
  <c r="B18" i="28"/>
  <c r="N17" i="28"/>
  <c r="M17" i="28"/>
  <c r="J17" i="28"/>
  <c r="I17" i="28"/>
  <c r="E17" i="28"/>
  <c r="D17" i="28"/>
  <c r="C17" i="28"/>
  <c r="B17" i="28"/>
  <c r="N16" i="28"/>
  <c r="M16" i="28"/>
  <c r="J16" i="28"/>
  <c r="I16" i="28"/>
  <c r="E16" i="28"/>
  <c r="D16" i="28"/>
  <c r="C16" i="28"/>
  <c r="B16" i="28"/>
  <c r="N15" i="28"/>
  <c r="M15" i="28"/>
  <c r="J15" i="28"/>
  <c r="I15" i="28"/>
  <c r="E15" i="28"/>
  <c r="D15" i="28"/>
  <c r="C15" i="28"/>
  <c r="B15" i="28"/>
  <c r="N14" i="28"/>
  <c r="M14" i="28"/>
  <c r="J14" i="28"/>
  <c r="I14" i="28"/>
  <c r="E14" i="28"/>
  <c r="D14" i="28"/>
  <c r="C14" i="28"/>
  <c r="B14" i="28"/>
  <c r="N13" i="28"/>
  <c r="M13" i="28"/>
  <c r="J13" i="28"/>
  <c r="I13" i="28"/>
  <c r="E13" i="28"/>
  <c r="D13" i="28"/>
  <c r="C13" i="28"/>
  <c r="B13" i="28"/>
  <c r="N12" i="28"/>
  <c r="M12" i="28"/>
  <c r="J12" i="28"/>
  <c r="I12" i="28"/>
  <c r="E12" i="28"/>
  <c r="D12" i="28"/>
  <c r="C12" i="28"/>
  <c r="B12" i="28"/>
  <c r="N11" i="28"/>
  <c r="M11" i="28"/>
  <c r="J11" i="28"/>
  <c r="I11" i="28"/>
  <c r="E11" i="28"/>
  <c r="D11" i="28"/>
  <c r="C11" i="28"/>
  <c r="B11" i="28"/>
  <c r="N10" i="28"/>
  <c r="M10" i="28"/>
  <c r="J10" i="28"/>
  <c r="I10" i="28"/>
  <c r="E10" i="28"/>
  <c r="D10" i="28"/>
  <c r="C10" i="28"/>
  <c r="B10" i="28"/>
  <c r="N9" i="28"/>
  <c r="M9" i="28"/>
  <c r="J9" i="28"/>
  <c r="I9" i="28"/>
  <c r="E9" i="28"/>
  <c r="D9" i="28"/>
  <c r="C9" i="28"/>
  <c r="B9" i="28"/>
  <c r="N8" i="28"/>
  <c r="M8" i="28"/>
  <c r="J8" i="28"/>
  <c r="I8" i="28"/>
  <c r="E8" i="28"/>
  <c r="D8" i="28"/>
  <c r="C8" i="28"/>
  <c r="B8" i="28"/>
  <c r="N7" i="28"/>
  <c r="M7" i="28"/>
  <c r="J7" i="28"/>
  <c r="I7" i="28"/>
  <c r="E7" i="28"/>
  <c r="D7" i="28"/>
  <c r="C7" i="28"/>
  <c r="B7" i="28"/>
  <c r="N6" i="28"/>
  <c r="M6" i="28"/>
  <c r="J6" i="28"/>
  <c r="I6" i="28"/>
  <c r="E6" i="28"/>
  <c r="D6" i="28"/>
  <c r="C6" i="28"/>
  <c r="B6" i="28"/>
  <c r="N5" i="28"/>
  <c r="M5" i="28"/>
  <c r="J5" i="28"/>
  <c r="I5" i="28"/>
  <c r="E5" i="28"/>
  <c r="D5" i="28"/>
  <c r="C5" i="28"/>
  <c r="B5" i="28"/>
  <c r="N4" i="28"/>
  <c r="M4" i="28"/>
  <c r="J4" i="28"/>
  <c r="I4" i="28"/>
  <c r="E4" i="28"/>
  <c r="D4" i="28"/>
  <c r="C4" i="28"/>
  <c r="B4" i="28"/>
  <c r="N3" i="28"/>
  <c r="M3" i="28"/>
  <c r="J3" i="28"/>
  <c r="I3" i="28"/>
  <c r="E3" i="28"/>
  <c r="D3" i="28"/>
  <c r="C3" i="28"/>
  <c r="B3" i="28"/>
  <c r="N2" i="28"/>
  <c r="M2" i="28"/>
  <c r="J2" i="28"/>
  <c r="I2" i="28"/>
  <c r="E2" i="28"/>
  <c r="D2" i="28"/>
  <c r="C2" i="28"/>
  <c r="B2" i="28"/>
  <c r="N27" i="27"/>
  <c r="M27" i="27"/>
  <c r="J27" i="27"/>
  <c r="I27" i="27"/>
  <c r="E27" i="27"/>
  <c r="D27" i="27"/>
  <c r="C27" i="27"/>
  <c r="B27" i="27"/>
  <c r="N26" i="27"/>
  <c r="M26" i="27"/>
  <c r="J26" i="27"/>
  <c r="I26" i="27"/>
  <c r="E26" i="27"/>
  <c r="D26" i="27"/>
  <c r="C26" i="27"/>
  <c r="B26" i="27"/>
  <c r="N25" i="27"/>
  <c r="M25" i="27"/>
  <c r="J25" i="27"/>
  <c r="I25" i="27"/>
  <c r="E25" i="27"/>
  <c r="D25" i="27"/>
  <c r="C25" i="27"/>
  <c r="B25" i="27"/>
  <c r="N24" i="27"/>
  <c r="M24" i="27"/>
  <c r="J24" i="27"/>
  <c r="I24" i="27"/>
  <c r="E24" i="27"/>
  <c r="D24" i="27"/>
  <c r="C24" i="27"/>
  <c r="B24" i="27"/>
  <c r="N23" i="27"/>
  <c r="M23" i="27"/>
  <c r="J23" i="27"/>
  <c r="I23" i="27"/>
  <c r="E23" i="27"/>
  <c r="D23" i="27"/>
  <c r="C23" i="27"/>
  <c r="B23" i="27"/>
  <c r="N22" i="27"/>
  <c r="M22" i="27"/>
  <c r="J22" i="27"/>
  <c r="I22" i="27"/>
  <c r="E22" i="27"/>
  <c r="D22" i="27"/>
  <c r="C22" i="27"/>
  <c r="B22" i="27"/>
  <c r="N21" i="27"/>
  <c r="M21" i="27"/>
  <c r="J21" i="27"/>
  <c r="I21" i="27"/>
  <c r="E21" i="27"/>
  <c r="D21" i="27"/>
  <c r="C21" i="27"/>
  <c r="B21" i="27"/>
  <c r="N20" i="27"/>
  <c r="M20" i="27"/>
  <c r="J20" i="27"/>
  <c r="I20" i="27"/>
  <c r="E20" i="27"/>
  <c r="D20" i="27"/>
  <c r="C20" i="27"/>
  <c r="B20" i="27"/>
  <c r="N19" i="27"/>
  <c r="M19" i="27"/>
  <c r="J19" i="27"/>
  <c r="I19" i="27"/>
  <c r="E19" i="27"/>
  <c r="D19" i="27"/>
  <c r="C19" i="27"/>
  <c r="B19" i="27"/>
  <c r="N18" i="27"/>
  <c r="M18" i="27"/>
  <c r="J18" i="27"/>
  <c r="I18" i="27"/>
  <c r="E18" i="27"/>
  <c r="D18" i="27"/>
  <c r="C18" i="27"/>
  <c r="B18" i="27"/>
  <c r="N17" i="27"/>
  <c r="M17" i="27"/>
  <c r="J17" i="27"/>
  <c r="I17" i="27"/>
  <c r="E17" i="27"/>
  <c r="D17" i="27"/>
  <c r="C17" i="27"/>
  <c r="B17" i="27"/>
  <c r="N16" i="27"/>
  <c r="M16" i="27"/>
  <c r="J16" i="27"/>
  <c r="I16" i="27"/>
  <c r="E16" i="27"/>
  <c r="D16" i="27"/>
  <c r="C16" i="27"/>
  <c r="B16" i="27"/>
  <c r="N15" i="27"/>
  <c r="M15" i="27"/>
  <c r="J15" i="27"/>
  <c r="I15" i="27"/>
  <c r="E15" i="27"/>
  <c r="D15" i="27"/>
  <c r="C15" i="27"/>
  <c r="B15" i="27"/>
  <c r="N14" i="27"/>
  <c r="M14" i="27"/>
  <c r="J14" i="27"/>
  <c r="I14" i="27"/>
  <c r="E14" i="27"/>
  <c r="D14" i="27"/>
  <c r="C14" i="27"/>
  <c r="B14" i="27"/>
  <c r="N13" i="27"/>
  <c r="M13" i="27"/>
  <c r="J13" i="27"/>
  <c r="I13" i="27"/>
  <c r="E13" i="27"/>
  <c r="D13" i="27"/>
  <c r="C13" i="27"/>
  <c r="B13" i="27"/>
  <c r="N12" i="27"/>
  <c r="M12" i="27"/>
  <c r="J12" i="27"/>
  <c r="I12" i="27"/>
  <c r="E12" i="27"/>
  <c r="D12" i="27"/>
  <c r="C12" i="27"/>
  <c r="B12" i="27"/>
  <c r="N11" i="27"/>
  <c r="M11" i="27"/>
  <c r="J11" i="27"/>
  <c r="I11" i="27"/>
  <c r="E11" i="27"/>
  <c r="D11" i="27"/>
  <c r="C11" i="27"/>
  <c r="B11" i="27"/>
  <c r="N10" i="27"/>
  <c r="M10" i="27"/>
  <c r="J10" i="27"/>
  <c r="I10" i="27"/>
  <c r="E10" i="27"/>
  <c r="D10" i="27"/>
  <c r="C10" i="27"/>
  <c r="B10" i="27"/>
  <c r="N9" i="27"/>
  <c r="M9" i="27"/>
  <c r="J9" i="27"/>
  <c r="I9" i="27"/>
  <c r="E9" i="27"/>
  <c r="D9" i="27"/>
  <c r="C9" i="27"/>
  <c r="B9" i="27"/>
  <c r="N8" i="27"/>
  <c r="M8" i="27"/>
  <c r="J8" i="27"/>
  <c r="I8" i="27"/>
  <c r="E8" i="27"/>
  <c r="D8" i="27"/>
  <c r="C8" i="27"/>
  <c r="B8" i="27"/>
  <c r="N7" i="27"/>
  <c r="M7" i="27"/>
  <c r="J7" i="27"/>
  <c r="I7" i="27"/>
  <c r="E7" i="27"/>
  <c r="D7" i="27"/>
  <c r="C7" i="27"/>
  <c r="B7" i="27"/>
  <c r="N6" i="27"/>
  <c r="M6" i="27"/>
  <c r="J6" i="27"/>
  <c r="I6" i="27"/>
  <c r="E6" i="27"/>
  <c r="D6" i="27"/>
  <c r="C6" i="27"/>
  <c r="B6" i="27"/>
  <c r="N5" i="27"/>
  <c r="M5" i="27"/>
  <c r="J5" i="27"/>
  <c r="I5" i="27"/>
  <c r="E5" i="27"/>
  <c r="D5" i="27"/>
  <c r="C5" i="27"/>
  <c r="B5" i="27"/>
  <c r="N4" i="27"/>
  <c r="M4" i="27"/>
  <c r="J4" i="27"/>
  <c r="I4" i="27"/>
  <c r="E4" i="27"/>
  <c r="D4" i="27"/>
  <c r="C4" i="27"/>
  <c r="B4" i="27"/>
  <c r="N3" i="27"/>
  <c r="M3" i="27"/>
  <c r="J3" i="27"/>
  <c r="I3" i="27"/>
  <c r="E3" i="27"/>
  <c r="D3" i="27"/>
  <c r="C3" i="27"/>
  <c r="B3" i="27"/>
  <c r="N2" i="27"/>
  <c r="M2" i="27"/>
  <c r="J2" i="27"/>
  <c r="I2" i="27"/>
  <c r="E2" i="27"/>
  <c r="D2" i="27"/>
  <c r="C2" i="27"/>
  <c r="B2" i="27"/>
  <c r="N33" i="26"/>
  <c r="M33" i="26"/>
  <c r="J33" i="26"/>
  <c r="I33" i="26"/>
  <c r="E33" i="26"/>
  <c r="D33" i="26"/>
  <c r="C33" i="26"/>
  <c r="B33" i="26"/>
  <c r="N32" i="26"/>
  <c r="M32" i="26"/>
  <c r="J32" i="26"/>
  <c r="I32" i="26"/>
  <c r="E32" i="26"/>
  <c r="D32" i="26"/>
  <c r="C32" i="26"/>
  <c r="B32" i="26"/>
  <c r="N31" i="26"/>
  <c r="M31" i="26"/>
  <c r="J31" i="26"/>
  <c r="I31" i="26"/>
  <c r="E31" i="26"/>
  <c r="D31" i="26"/>
  <c r="C31" i="26"/>
  <c r="B31" i="26"/>
  <c r="N30" i="26"/>
  <c r="M30" i="26"/>
  <c r="J30" i="26"/>
  <c r="I30" i="26"/>
  <c r="E30" i="26"/>
  <c r="D30" i="26"/>
  <c r="C30" i="26"/>
  <c r="B30" i="26"/>
  <c r="N29" i="26"/>
  <c r="M29" i="26"/>
  <c r="J29" i="26"/>
  <c r="I29" i="26"/>
  <c r="E29" i="26"/>
  <c r="D29" i="26"/>
  <c r="C29" i="26"/>
  <c r="B29" i="26"/>
  <c r="N28" i="26"/>
  <c r="M28" i="26"/>
  <c r="J28" i="26"/>
  <c r="I28" i="26"/>
  <c r="E28" i="26"/>
  <c r="D28" i="26"/>
  <c r="C28" i="26"/>
  <c r="B28" i="26"/>
  <c r="N27" i="26"/>
  <c r="M27" i="26"/>
  <c r="J27" i="26"/>
  <c r="I27" i="26"/>
  <c r="E27" i="26"/>
  <c r="D27" i="26"/>
  <c r="C27" i="26"/>
  <c r="B27" i="26"/>
  <c r="N26" i="26"/>
  <c r="M26" i="26"/>
  <c r="J26" i="26"/>
  <c r="I26" i="26"/>
  <c r="E26" i="26"/>
  <c r="D26" i="26"/>
  <c r="C26" i="26"/>
  <c r="B26" i="26"/>
  <c r="N25" i="26"/>
  <c r="M25" i="26"/>
  <c r="J25" i="26"/>
  <c r="I25" i="26"/>
  <c r="E25" i="26"/>
  <c r="D25" i="26"/>
  <c r="C25" i="26"/>
  <c r="B25" i="26"/>
  <c r="N24" i="26"/>
  <c r="M24" i="26"/>
  <c r="J24" i="26"/>
  <c r="I24" i="26"/>
  <c r="E24" i="26"/>
  <c r="D24" i="26"/>
  <c r="C24" i="26"/>
  <c r="B24" i="26"/>
  <c r="N23" i="26"/>
  <c r="M23" i="26"/>
  <c r="J23" i="26"/>
  <c r="I23" i="26"/>
  <c r="E23" i="26"/>
  <c r="D23" i="26"/>
  <c r="C23" i="26"/>
  <c r="B23" i="26"/>
  <c r="N22" i="26"/>
  <c r="M22" i="26"/>
  <c r="J22" i="26"/>
  <c r="I22" i="26"/>
  <c r="E22" i="26"/>
  <c r="D22" i="26"/>
  <c r="C22" i="26"/>
  <c r="B22" i="26"/>
  <c r="N21" i="26"/>
  <c r="M21" i="26"/>
  <c r="J21" i="26"/>
  <c r="I21" i="26"/>
  <c r="E21" i="26"/>
  <c r="D21" i="26"/>
  <c r="C21" i="26"/>
  <c r="B21" i="26"/>
  <c r="N20" i="26"/>
  <c r="M20" i="26"/>
  <c r="J20" i="26"/>
  <c r="I20" i="26"/>
  <c r="E20" i="26"/>
  <c r="D20" i="26"/>
  <c r="C20" i="26"/>
  <c r="B20" i="26"/>
  <c r="N19" i="26"/>
  <c r="M19" i="26"/>
  <c r="J19" i="26"/>
  <c r="I19" i="26"/>
  <c r="E19" i="26"/>
  <c r="D19" i="26"/>
  <c r="C19" i="26"/>
  <c r="B19" i="26"/>
  <c r="N18" i="26"/>
  <c r="M18" i="26"/>
  <c r="J18" i="26"/>
  <c r="I18" i="26"/>
  <c r="E18" i="26"/>
  <c r="D18" i="26"/>
  <c r="C18" i="26"/>
  <c r="B18" i="26"/>
  <c r="N17" i="26"/>
  <c r="M17" i="26"/>
  <c r="J17" i="26"/>
  <c r="I17" i="26"/>
  <c r="E17" i="26"/>
  <c r="D17" i="26"/>
  <c r="C17" i="26"/>
  <c r="B17" i="26"/>
  <c r="N16" i="26"/>
  <c r="M16" i="26"/>
  <c r="J16" i="26"/>
  <c r="I16" i="26"/>
  <c r="E16" i="26"/>
  <c r="D16" i="26"/>
  <c r="C16" i="26"/>
  <c r="B16" i="26"/>
  <c r="N15" i="26"/>
  <c r="M15" i="26"/>
  <c r="J15" i="26"/>
  <c r="I15" i="26"/>
  <c r="E15" i="26"/>
  <c r="D15" i="26"/>
  <c r="C15" i="26"/>
  <c r="B15" i="26"/>
  <c r="N14" i="26"/>
  <c r="M14" i="26"/>
  <c r="J14" i="26"/>
  <c r="I14" i="26"/>
  <c r="E14" i="26"/>
  <c r="D14" i="26"/>
  <c r="C14" i="26"/>
  <c r="B14" i="26"/>
  <c r="N13" i="26"/>
  <c r="M13" i="26"/>
  <c r="J13" i="26"/>
  <c r="I13" i="26"/>
  <c r="E13" i="26"/>
  <c r="D13" i="26"/>
  <c r="C13" i="26"/>
  <c r="B13" i="26"/>
  <c r="N12" i="26"/>
  <c r="M12" i="26"/>
  <c r="J12" i="26"/>
  <c r="I12" i="26"/>
  <c r="E12" i="26"/>
  <c r="D12" i="26"/>
  <c r="C12" i="26"/>
  <c r="B12" i="26"/>
  <c r="N11" i="26"/>
  <c r="M11" i="26"/>
  <c r="J11" i="26"/>
  <c r="I11" i="26"/>
  <c r="E11" i="26"/>
  <c r="D11" i="26"/>
  <c r="C11" i="26"/>
  <c r="B11" i="26"/>
  <c r="N10" i="26"/>
  <c r="M10" i="26"/>
  <c r="J10" i="26"/>
  <c r="I10" i="26"/>
  <c r="E10" i="26"/>
  <c r="D10" i="26"/>
  <c r="C10" i="26"/>
  <c r="B10" i="26"/>
  <c r="N9" i="26"/>
  <c r="M9" i="26"/>
  <c r="J9" i="26"/>
  <c r="I9" i="26"/>
  <c r="E9" i="26"/>
  <c r="D9" i="26"/>
  <c r="C9" i="26"/>
  <c r="B9" i="26"/>
  <c r="N8" i="26"/>
  <c r="M8" i="26"/>
  <c r="J8" i="26"/>
  <c r="I8" i="26"/>
  <c r="E8" i="26"/>
  <c r="D8" i="26"/>
  <c r="C8" i="26"/>
  <c r="B8" i="26"/>
  <c r="N7" i="26"/>
  <c r="M7" i="26"/>
  <c r="J7" i="26"/>
  <c r="I7" i="26"/>
  <c r="E7" i="26"/>
  <c r="D7" i="26"/>
  <c r="C7" i="26"/>
  <c r="B7" i="26"/>
  <c r="N6" i="26"/>
  <c r="M6" i="26"/>
  <c r="J6" i="26"/>
  <c r="I6" i="26"/>
  <c r="E6" i="26"/>
  <c r="D6" i="26"/>
  <c r="C6" i="26"/>
  <c r="B6" i="26"/>
  <c r="N5" i="26"/>
  <c r="M5" i="26"/>
  <c r="J5" i="26"/>
  <c r="I5" i="26"/>
  <c r="E5" i="26"/>
  <c r="D5" i="26"/>
  <c r="C5" i="26"/>
  <c r="B5" i="26"/>
  <c r="N4" i="26"/>
  <c r="M4" i="26"/>
  <c r="J4" i="26"/>
  <c r="I4" i="26"/>
  <c r="E4" i="26"/>
  <c r="D4" i="26"/>
  <c r="C4" i="26"/>
  <c r="B4" i="26"/>
  <c r="N3" i="26"/>
  <c r="M3" i="26"/>
  <c r="J3" i="26"/>
  <c r="I3" i="26"/>
  <c r="E3" i="26"/>
  <c r="D3" i="26"/>
  <c r="C3" i="26"/>
  <c r="B3" i="26"/>
  <c r="N2" i="26"/>
  <c r="M2" i="26"/>
  <c r="J2" i="26"/>
  <c r="I2" i="26"/>
  <c r="E2" i="26"/>
  <c r="D2" i="26"/>
  <c r="C2" i="26"/>
  <c r="B2" i="26"/>
  <c r="N33" i="25"/>
  <c r="M33" i="25"/>
  <c r="J33" i="25"/>
  <c r="I33" i="25"/>
  <c r="E33" i="25"/>
  <c r="D33" i="25"/>
  <c r="C33" i="25"/>
  <c r="B33" i="25"/>
  <c r="N32" i="25"/>
  <c r="M32" i="25"/>
  <c r="J32" i="25"/>
  <c r="I32" i="25"/>
  <c r="E32" i="25"/>
  <c r="D32" i="25"/>
  <c r="C32" i="25"/>
  <c r="B32" i="25"/>
  <c r="N31" i="25"/>
  <c r="M31" i="25"/>
  <c r="J31" i="25"/>
  <c r="I31" i="25"/>
  <c r="E31" i="25"/>
  <c r="D31" i="25"/>
  <c r="C31" i="25"/>
  <c r="B31" i="25"/>
  <c r="N30" i="25"/>
  <c r="M30" i="25"/>
  <c r="J30" i="25"/>
  <c r="I30" i="25"/>
  <c r="E30" i="25"/>
  <c r="D30" i="25"/>
  <c r="C30" i="25"/>
  <c r="B30" i="25"/>
  <c r="N29" i="25"/>
  <c r="M29" i="25"/>
  <c r="J29" i="25"/>
  <c r="I29" i="25"/>
  <c r="E29" i="25"/>
  <c r="D29" i="25"/>
  <c r="C29" i="25"/>
  <c r="B29" i="25"/>
  <c r="N28" i="25"/>
  <c r="M28" i="25"/>
  <c r="J28" i="25"/>
  <c r="I28" i="25"/>
  <c r="E28" i="25"/>
  <c r="D28" i="25"/>
  <c r="C28" i="25"/>
  <c r="B28" i="25"/>
  <c r="N27" i="25"/>
  <c r="M27" i="25"/>
  <c r="J27" i="25"/>
  <c r="I27" i="25"/>
  <c r="E27" i="25"/>
  <c r="D27" i="25"/>
  <c r="C27" i="25"/>
  <c r="B27" i="25"/>
  <c r="N26" i="25"/>
  <c r="M26" i="25"/>
  <c r="J26" i="25"/>
  <c r="I26" i="25"/>
  <c r="E26" i="25"/>
  <c r="D26" i="25"/>
  <c r="C26" i="25"/>
  <c r="B26" i="25"/>
  <c r="N25" i="25"/>
  <c r="M25" i="25"/>
  <c r="J25" i="25"/>
  <c r="I25" i="25"/>
  <c r="E25" i="25"/>
  <c r="D25" i="25"/>
  <c r="C25" i="25"/>
  <c r="B25" i="25"/>
  <c r="N24" i="25"/>
  <c r="M24" i="25"/>
  <c r="J24" i="25"/>
  <c r="I24" i="25"/>
  <c r="E24" i="25"/>
  <c r="D24" i="25"/>
  <c r="C24" i="25"/>
  <c r="B24" i="25"/>
  <c r="N23" i="25"/>
  <c r="M23" i="25"/>
  <c r="J23" i="25"/>
  <c r="I23" i="25"/>
  <c r="E23" i="25"/>
  <c r="D23" i="25"/>
  <c r="C23" i="25"/>
  <c r="B23" i="25"/>
  <c r="N22" i="25"/>
  <c r="M22" i="25"/>
  <c r="J22" i="25"/>
  <c r="I22" i="25"/>
  <c r="E22" i="25"/>
  <c r="D22" i="25"/>
  <c r="C22" i="25"/>
  <c r="B22" i="25"/>
  <c r="N21" i="25"/>
  <c r="M21" i="25"/>
  <c r="J21" i="25"/>
  <c r="I21" i="25"/>
  <c r="E21" i="25"/>
  <c r="D21" i="25"/>
  <c r="C21" i="25"/>
  <c r="B21" i="25"/>
  <c r="N20" i="25"/>
  <c r="M20" i="25"/>
  <c r="J20" i="25"/>
  <c r="I20" i="25"/>
  <c r="E20" i="25"/>
  <c r="D20" i="25"/>
  <c r="C20" i="25"/>
  <c r="B20" i="25"/>
  <c r="N19" i="25"/>
  <c r="M19" i="25"/>
  <c r="J19" i="25"/>
  <c r="I19" i="25"/>
  <c r="E19" i="25"/>
  <c r="D19" i="25"/>
  <c r="C19" i="25"/>
  <c r="B19" i="25"/>
  <c r="N18" i="25"/>
  <c r="M18" i="25"/>
  <c r="J18" i="25"/>
  <c r="I18" i="25"/>
  <c r="E18" i="25"/>
  <c r="D18" i="25"/>
  <c r="C18" i="25"/>
  <c r="B18" i="25"/>
  <c r="N17" i="25"/>
  <c r="M17" i="25"/>
  <c r="J17" i="25"/>
  <c r="I17" i="25"/>
  <c r="E17" i="25"/>
  <c r="D17" i="25"/>
  <c r="C17" i="25"/>
  <c r="B17" i="25"/>
  <c r="N16" i="25"/>
  <c r="M16" i="25"/>
  <c r="J16" i="25"/>
  <c r="I16" i="25"/>
  <c r="E16" i="25"/>
  <c r="D16" i="25"/>
  <c r="C16" i="25"/>
  <c r="B16" i="25"/>
  <c r="N15" i="25"/>
  <c r="M15" i="25"/>
  <c r="J15" i="25"/>
  <c r="I15" i="25"/>
  <c r="E15" i="25"/>
  <c r="D15" i="25"/>
  <c r="C15" i="25"/>
  <c r="B15" i="25"/>
  <c r="N14" i="25"/>
  <c r="M14" i="25"/>
  <c r="J14" i="25"/>
  <c r="I14" i="25"/>
  <c r="E14" i="25"/>
  <c r="D14" i="25"/>
  <c r="C14" i="25"/>
  <c r="B14" i="25"/>
  <c r="N13" i="25"/>
  <c r="M13" i="25"/>
  <c r="J13" i="25"/>
  <c r="I13" i="25"/>
  <c r="E13" i="25"/>
  <c r="D13" i="25"/>
  <c r="C13" i="25"/>
  <c r="B13" i="25"/>
  <c r="N12" i="25"/>
  <c r="M12" i="25"/>
  <c r="J12" i="25"/>
  <c r="I12" i="25"/>
  <c r="E12" i="25"/>
  <c r="D12" i="25"/>
  <c r="C12" i="25"/>
  <c r="B12" i="25"/>
  <c r="N11" i="25"/>
  <c r="M11" i="25"/>
  <c r="J11" i="25"/>
  <c r="I11" i="25"/>
  <c r="E11" i="25"/>
  <c r="D11" i="25"/>
  <c r="C11" i="25"/>
  <c r="B11" i="25"/>
  <c r="N10" i="25"/>
  <c r="M10" i="25"/>
  <c r="J10" i="25"/>
  <c r="I10" i="25"/>
  <c r="E10" i="25"/>
  <c r="D10" i="25"/>
  <c r="C10" i="25"/>
  <c r="B10" i="25"/>
  <c r="N9" i="25"/>
  <c r="M9" i="25"/>
  <c r="J9" i="25"/>
  <c r="I9" i="25"/>
  <c r="E9" i="25"/>
  <c r="D9" i="25"/>
  <c r="C9" i="25"/>
  <c r="B9" i="25"/>
  <c r="N8" i="25"/>
  <c r="M8" i="25"/>
  <c r="J8" i="25"/>
  <c r="I8" i="25"/>
  <c r="E8" i="25"/>
  <c r="D8" i="25"/>
  <c r="C8" i="25"/>
  <c r="B8" i="25"/>
  <c r="N7" i="25"/>
  <c r="M7" i="25"/>
  <c r="J7" i="25"/>
  <c r="I7" i="25"/>
  <c r="E7" i="25"/>
  <c r="D7" i="25"/>
  <c r="C7" i="25"/>
  <c r="B7" i="25"/>
  <c r="N6" i="25"/>
  <c r="M6" i="25"/>
  <c r="J6" i="25"/>
  <c r="I6" i="25"/>
  <c r="E6" i="25"/>
  <c r="D6" i="25"/>
  <c r="C6" i="25"/>
  <c r="B6" i="25"/>
  <c r="N5" i="25"/>
  <c r="M5" i="25"/>
  <c r="J5" i="25"/>
  <c r="I5" i="25"/>
  <c r="E5" i="25"/>
  <c r="D5" i="25"/>
  <c r="C5" i="25"/>
  <c r="B5" i="25"/>
  <c r="N4" i="25"/>
  <c r="M4" i="25"/>
  <c r="J4" i="25"/>
  <c r="I4" i="25"/>
  <c r="E4" i="25"/>
  <c r="D4" i="25"/>
  <c r="C4" i="25"/>
  <c r="B4" i="25"/>
  <c r="N3" i="25"/>
  <c r="M3" i="25"/>
  <c r="J3" i="25"/>
  <c r="I3" i="25"/>
  <c r="E3" i="25"/>
  <c r="D3" i="25"/>
  <c r="C3" i="25"/>
  <c r="B3" i="25"/>
  <c r="N2" i="25"/>
  <c r="M2" i="25"/>
  <c r="J2" i="25"/>
  <c r="I2" i="25"/>
  <c r="E2" i="25"/>
  <c r="D2" i="25"/>
  <c r="C2" i="25"/>
  <c r="B2" i="25"/>
  <c r="N33" i="24"/>
  <c r="M33" i="24"/>
  <c r="J33" i="24"/>
  <c r="I33" i="24"/>
  <c r="E33" i="24"/>
  <c r="D33" i="24"/>
  <c r="C33" i="24"/>
  <c r="B33" i="24"/>
  <c r="N32" i="24"/>
  <c r="M32" i="24"/>
  <c r="J32" i="24"/>
  <c r="I32" i="24"/>
  <c r="E32" i="24"/>
  <c r="D32" i="24"/>
  <c r="C32" i="24"/>
  <c r="B32" i="24"/>
  <c r="N31" i="24"/>
  <c r="M31" i="24"/>
  <c r="J31" i="24"/>
  <c r="I31" i="24"/>
  <c r="E31" i="24"/>
  <c r="D31" i="24"/>
  <c r="C31" i="24"/>
  <c r="B31" i="24"/>
  <c r="N30" i="24"/>
  <c r="M30" i="24"/>
  <c r="J30" i="24"/>
  <c r="I30" i="24"/>
  <c r="E30" i="24"/>
  <c r="D30" i="24"/>
  <c r="C30" i="24"/>
  <c r="B30" i="24"/>
  <c r="N29" i="24"/>
  <c r="M29" i="24"/>
  <c r="J29" i="24"/>
  <c r="I29" i="24"/>
  <c r="E29" i="24"/>
  <c r="D29" i="24"/>
  <c r="C29" i="24"/>
  <c r="B29" i="24"/>
  <c r="N28" i="24"/>
  <c r="M28" i="24"/>
  <c r="J28" i="24"/>
  <c r="I28" i="24"/>
  <c r="E28" i="24"/>
  <c r="D28" i="24"/>
  <c r="C28" i="24"/>
  <c r="B28" i="24"/>
  <c r="N27" i="24"/>
  <c r="M27" i="24"/>
  <c r="J27" i="24"/>
  <c r="I27" i="24"/>
  <c r="E27" i="24"/>
  <c r="D27" i="24"/>
  <c r="C27" i="24"/>
  <c r="B27" i="24"/>
  <c r="N26" i="24"/>
  <c r="M26" i="24"/>
  <c r="J26" i="24"/>
  <c r="I26" i="24"/>
  <c r="E26" i="24"/>
  <c r="D26" i="24"/>
  <c r="C26" i="24"/>
  <c r="B26" i="24"/>
  <c r="N25" i="24"/>
  <c r="M25" i="24"/>
  <c r="J25" i="24"/>
  <c r="I25" i="24"/>
  <c r="E25" i="24"/>
  <c r="D25" i="24"/>
  <c r="C25" i="24"/>
  <c r="B25" i="24"/>
  <c r="N24" i="24"/>
  <c r="M24" i="24"/>
  <c r="J24" i="24"/>
  <c r="I24" i="24"/>
  <c r="E24" i="24"/>
  <c r="D24" i="24"/>
  <c r="C24" i="24"/>
  <c r="B24" i="24"/>
  <c r="N23" i="24"/>
  <c r="M23" i="24"/>
  <c r="J23" i="24"/>
  <c r="I23" i="24"/>
  <c r="E23" i="24"/>
  <c r="D23" i="24"/>
  <c r="C23" i="24"/>
  <c r="B23" i="24"/>
  <c r="N22" i="24"/>
  <c r="M22" i="24"/>
  <c r="J22" i="24"/>
  <c r="I22" i="24"/>
  <c r="E22" i="24"/>
  <c r="D22" i="24"/>
  <c r="C22" i="24"/>
  <c r="B22" i="24"/>
  <c r="N21" i="24"/>
  <c r="M21" i="24"/>
  <c r="J21" i="24"/>
  <c r="I21" i="24"/>
  <c r="E21" i="24"/>
  <c r="D21" i="24"/>
  <c r="C21" i="24"/>
  <c r="B21" i="24"/>
  <c r="N20" i="24"/>
  <c r="M20" i="24"/>
  <c r="J20" i="24"/>
  <c r="I20" i="24"/>
  <c r="E20" i="24"/>
  <c r="D20" i="24"/>
  <c r="C20" i="24"/>
  <c r="B20" i="24"/>
  <c r="N19" i="24"/>
  <c r="M19" i="24"/>
  <c r="J19" i="24"/>
  <c r="I19" i="24"/>
  <c r="E19" i="24"/>
  <c r="D19" i="24"/>
  <c r="C19" i="24"/>
  <c r="B19" i="24"/>
  <c r="N18" i="24"/>
  <c r="M18" i="24"/>
  <c r="J18" i="24"/>
  <c r="I18" i="24"/>
  <c r="E18" i="24"/>
  <c r="D18" i="24"/>
  <c r="C18" i="24"/>
  <c r="B18" i="24"/>
  <c r="N17" i="24"/>
  <c r="M17" i="24"/>
  <c r="J17" i="24"/>
  <c r="I17" i="24"/>
  <c r="E17" i="24"/>
  <c r="D17" i="24"/>
  <c r="C17" i="24"/>
  <c r="B17" i="24"/>
  <c r="N16" i="24"/>
  <c r="M16" i="24"/>
  <c r="J16" i="24"/>
  <c r="I16" i="24"/>
  <c r="E16" i="24"/>
  <c r="D16" i="24"/>
  <c r="C16" i="24"/>
  <c r="B16" i="24"/>
  <c r="N15" i="24"/>
  <c r="M15" i="24"/>
  <c r="J15" i="24"/>
  <c r="I15" i="24"/>
  <c r="E15" i="24"/>
  <c r="D15" i="24"/>
  <c r="C15" i="24"/>
  <c r="B15" i="24"/>
  <c r="N14" i="24"/>
  <c r="M14" i="24"/>
  <c r="J14" i="24"/>
  <c r="I14" i="24"/>
  <c r="E14" i="24"/>
  <c r="D14" i="24"/>
  <c r="C14" i="24"/>
  <c r="B14" i="24"/>
  <c r="N13" i="24"/>
  <c r="M13" i="24"/>
  <c r="J13" i="24"/>
  <c r="I13" i="24"/>
  <c r="E13" i="24"/>
  <c r="D13" i="24"/>
  <c r="C13" i="24"/>
  <c r="B13" i="24"/>
  <c r="N12" i="24"/>
  <c r="M12" i="24"/>
  <c r="J12" i="24"/>
  <c r="I12" i="24"/>
  <c r="E12" i="24"/>
  <c r="D12" i="24"/>
  <c r="C12" i="24"/>
  <c r="B12" i="24"/>
  <c r="N11" i="24"/>
  <c r="M11" i="24"/>
  <c r="J11" i="24"/>
  <c r="I11" i="24"/>
  <c r="E11" i="24"/>
  <c r="D11" i="24"/>
  <c r="C11" i="24"/>
  <c r="B11" i="24"/>
  <c r="N10" i="24"/>
  <c r="M10" i="24"/>
  <c r="J10" i="24"/>
  <c r="I10" i="24"/>
  <c r="E10" i="24"/>
  <c r="D10" i="24"/>
  <c r="C10" i="24"/>
  <c r="B10" i="24"/>
  <c r="N9" i="24"/>
  <c r="M9" i="24"/>
  <c r="J9" i="24"/>
  <c r="I9" i="24"/>
  <c r="E9" i="24"/>
  <c r="D9" i="24"/>
  <c r="C9" i="24"/>
  <c r="B9" i="24"/>
  <c r="N8" i="24"/>
  <c r="M8" i="24"/>
  <c r="J8" i="24"/>
  <c r="I8" i="24"/>
  <c r="E8" i="24"/>
  <c r="D8" i="24"/>
  <c r="C8" i="24"/>
  <c r="B8" i="24"/>
  <c r="N7" i="24"/>
  <c r="M7" i="24"/>
  <c r="J7" i="24"/>
  <c r="I7" i="24"/>
  <c r="E7" i="24"/>
  <c r="D7" i="24"/>
  <c r="C7" i="24"/>
  <c r="B7" i="24"/>
  <c r="N6" i="24"/>
  <c r="M6" i="24"/>
  <c r="J6" i="24"/>
  <c r="I6" i="24"/>
  <c r="E6" i="24"/>
  <c r="D6" i="24"/>
  <c r="C6" i="24"/>
  <c r="B6" i="24"/>
  <c r="N5" i="24"/>
  <c r="M5" i="24"/>
  <c r="J5" i="24"/>
  <c r="I5" i="24"/>
  <c r="E5" i="24"/>
  <c r="D5" i="24"/>
  <c r="C5" i="24"/>
  <c r="B5" i="24"/>
  <c r="N4" i="24"/>
  <c r="M4" i="24"/>
  <c r="J4" i="24"/>
  <c r="I4" i="24"/>
  <c r="E4" i="24"/>
  <c r="D4" i="24"/>
  <c r="C4" i="24"/>
  <c r="B4" i="24"/>
  <c r="N3" i="24"/>
  <c r="M3" i="24"/>
  <c r="J3" i="24"/>
  <c r="I3" i="24"/>
  <c r="E3" i="24"/>
  <c r="D3" i="24"/>
  <c r="C3" i="24"/>
  <c r="B3" i="24"/>
  <c r="N2" i="24"/>
  <c r="M2" i="24"/>
  <c r="J2" i="24"/>
  <c r="I2" i="24"/>
  <c r="E2" i="24"/>
  <c r="D2" i="24"/>
  <c r="C2" i="24"/>
  <c r="B2" i="24"/>
  <c r="N30" i="23"/>
  <c r="M30" i="23"/>
  <c r="J30" i="23"/>
  <c r="I30" i="23"/>
  <c r="E30" i="23"/>
  <c r="D30" i="23"/>
  <c r="C30" i="23"/>
  <c r="B30" i="23"/>
  <c r="N29" i="23"/>
  <c r="M29" i="23"/>
  <c r="J29" i="23"/>
  <c r="I29" i="23"/>
  <c r="E29" i="23"/>
  <c r="D29" i="23"/>
  <c r="C29" i="23"/>
  <c r="B29" i="23"/>
  <c r="N28" i="23"/>
  <c r="M28" i="23"/>
  <c r="J28" i="23"/>
  <c r="I28" i="23"/>
  <c r="E28" i="23"/>
  <c r="D28" i="23"/>
  <c r="C28" i="23"/>
  <c r="B28" i="23"/>
  <c r="N27" i="23"/>
  <c r="M27" i="23"/>
  <c r="J27" i="23"/>
  <c r="I27" i="23"/>
  <c r="E27" i="23"/>
  <c r="D27" i="23"/>
  <c r="C27" i="23"/>
  <c r="B27" i="23"/>
  <c r="N26" i="23"/>
  <c r="M26" i="23"/>
  <c r="J26" i="23"/>
  <c r="I26" i="23"/>
  <c r="E26" i="23"/>
  <c r="D26" i="23"/>
  <c r="C26" i="23"/>
  <c r="B26" i="23"/>
  <c r="N25" i="23"/>
  <c r="M25" i="23"/>
  <c r="J25" i="23"/>
  <c r="I25" i="23"/>
  <c r="E25" i="23"/>
  <c r="D25" i="23"/>
  <c r="C25" i="23"/>
  <c r="B25" i="23"/>
  <c r="N24" i="23"/>
  <c r="M24" i="23"/>
  <c r="J24" i="23"/>
  <c r="I24" i="23"/>
  <c r="E24" i="23"/>
  <c r="D24" i="23"/>
  <c r="C24" i="23"/>
  <c r="B24" i="23"/>
  <c r="N23" i="23"/>
  <c r="M23" i="23"/>
  <c r="J23" i="23"/>
  <c r="I23" i="23"/>
  <c r="E23" i="23"/>
  <c r="D23" i="23"/>
  <c r="C23" i="23"/>
  <c r="B23" i="23"/>
  <c r="N22" i="23"/>
  <c r="M22" i="23"/>
  <c r="J22" i="23"/>
  <c r="I22" i="23"/>
  <c r="E22" i="23"/>
  <c r="D22" i="23"/>
  <c r="C22" i="23"/>
  <c r="B22" i="23"/>
  <c r="N21" i="23"/>
  <c r="M21" i="23"/>
  <c r="J21" i="23"/>
  <c r="I21" i="23"/>
  <c r="E21" i="23"/>
  <c r="D21" i="23"/>
  <c r="C21" i="23"/>
  <c r="B21" i="23"/>
  <c r="N20" i="23"/>
  <c r="M20" i="23"/>
  <c r="J20" i="23"/>
  <c r="I20" i="23"/>
  <c r="E20" i="23"/>
  <c r="D20" i="23"/>
  <c r="C20" i="23"/>
  <c r="B20" i="23"/>
  <c r="N19" i="23"/>
  <c r="M19" i="23"/>
  <c r="J19" i="23"/>
  <c r="I19" i="23"/>
  <c r="E19" i="23"/>
  <c r="D19" i="23"/>
  <c r="C19" i="23"/>
  <c r="B19" i="23"/>
  <c r="N18" i="23"/>
  <c r="M18" i="23"/>
  <c r="J18" i="23"/>
  <c r="I18" i="23"/>
  <c r="E18" i="23"/>
  <c r="D18" i="23"/>
  <c r="C18" i="23"/>
  <c r="B18" i="23"/>
  <c r="N17" i="23"/>
  <c r="M17" i="23"/>
  <c r="J17" i="23"/>
  <c r="I17" i="23"/>
  <c r="E17" i="23"/>
  <c r="D17" i="23"/>
  <c r="C17" i="23"/>
  <c r="B17" i="23"/>
  <c r="N16" i="23"/>
  <c r="M16" i="23"/>
  <c r="J16" i="23"/>
  <c r="I16" i="23"/>
  <c r="E16" i="23"/>
  <c r="D16" i="23"/>
  <c r="C16" i="23"/>
  <c r="B16" i="23"/>
  <c r="N15" i="23"/>
  <c r="M15" i="23"/>
  <c r="J15" i="23"/>
  <c r="I15" i="23"/>
  <c r="E15" i="23"/>
  <c r="D15" i="23"/>
  <c r="C15" i="23"/>
  <c r="B15" i="23"/>
  <c r="N14" i="23"/>
  <c r="M14" i="23"/>
  <c r="J14" i="23"/>
  <c r="I14" i="23"/>
  <c r="E14" i="23"/>
  <c r="D14" i="23"/>
  <c r="C14" i="23"/>
  <c r="B14" i="23"/>
  <c r="N13" i="23"/>
  <c r="M13" i="23"/>
  <c r="J13" i="23"/>
  <c r="I13" i="23"/>
  <c r="E13" i="23"/>
  <c r="D13" i="23"/>
  <c r="C13" i="23"/>
  <c r="B13" i="23"/>
  <c r="N12" i="23"/>
  <c r="M12" i="23"/>
  <c r="J12" i="23"/>
  <c r="I12" i="23"/>
  <c r="E12" i="23"/>
  <c r="D12" i="23"/>
  <c r="C12" i="23"/>
  <c r="B12" i="23"/>
  <c r="N11" i="23"/>
  <c r="M11" i="23"/>
  <c r="J11" i="23"/>
  <c r="I11" i="23"/>
  <c r="E11" i="23"/>
  <c r="D11" i="23"/>
  <c r="C11" i="23"/>
  <c r="B11" i="23"/>
  <c r="N10" i="23"/>
  <c r="M10" i="23"/>
  <c r="J10" i="23"/>
  <c r="I10" i="23"/>
  <c r="E10" i="23"/>
  <c r="D10" i="23"/>
  <c r="C10" i="23"/>
  <c r="B10" i="23"/>
  <c r="N9" i="23"/>
  <c r="M9" i="23"/>
  <c r="J9" i="23"/>
  <c r="I9" i="23"/>
  <c r="E9" i="23"/>
  <c r="D9" i="23"/>
  <c r="C9" i="23"/>
  <c r="B9" i="23"/>
  <c r="N8" i="23"/>
  <c r="M8" i="23"/>
  <c r="J8" i="23"/>
  <c r="I8" i="23"/>
  <c r="E8" i="23"/>
  <c r="D8" i="23"/>
  <c r="C8" i="23"/>
  <c r="B8" i="23"/>
  <c r="N7" i="23"/>
  <c r="M7" i="23"/>
  <c r="J7" i="23"/>
  <c r="I7" i="23"/>
  <c r="E7" i="23"/>
  <c r="D7" i="23"/>
  <c r="C7" i="23"/>
  <c r="B7" i="23"/>
  <c r="N6" i="23"/>
  <c r="M6" i="23"/>
  <c r="J6" i="23"/>
  <c r="I6" i="23"/>
  <c r="E6" i="23"/>
  <c r="D6" i="23"/>
  <c r="C6" i="23"/>
  <c r="B6" i="23"/>
  <c r="N5" i="23"/>
  <c r="M5" i="23"/>
  <c r="J5" i="23"/>
  <c r="I5" i="23"/>
  <c r="E5" i="23"/>
  <c r="D5" i="23"/>
  <c r="C5" i="23"/>
  <c r="B5" i="23"/>
  <c r="N4" i="23"/>
  <c r="M4" i="23"/>
  <c r="J4" i="23"/>
  <c r="I4" i="23"/>
  <c r="E4" i="23"/>
  <c r="D4" i="23"/>
  <c r="C4" i="23"/>
  <c r="B4" i="23"/>
  <c r="N3" i="23"/>
  <c r="M3" i="23"/>
  <c r="J3" i="23"/>
  <c r="I3" i="23"/>
  <c r="E3" i="23"/>
  <c r="D3" i="23"/>
  <c r="C3" i="23"/>
  <c r="B3" i="23"/>
  <c r="N2" i="23"/>
  <c r="M2" i="23"/>
  <c r="J2" i="23"/>
  <c r="I2" i="23"/>
  <c r="E2" i="23"/>
  <c r="D2" i="23"/>
  <c r="C2" i="23"/>
  <c r="B2" i="23"/>
  <c r="N32" i="22"/>
  <c r="M32" i="22"/>
  <c r="J32" i="22"/>
  <c r="I32" i="22"/>
  <c r="E32" i="22"/>
  <c r="D32" i="22"/>
  <c r="C32" i="22"/>
  <c r="B32" i="22"/>
  <c r="N31" i="22"/>
  <c r="M31" i="22"/>
  <c r="J31" i="22"/>
  <c r="I31" i="22"/>
  <c r="E31" i="22"/>
  <c r="D31" i="22"/>
  <c r="C31" i="22"/>
  <c r="B31" i="22"/>
  <c r="N30" i="22"/>
  <c r="M30" i="22"/>
  <c r="J30" i="22"/>
  <c r="I30" i="22"/>
  <c r="E30" i="22"/>
  <c r="D30" i="22"/>
  <c r="C30" i="22"/>
  <c r="B30" i="22"/>
  <c r="N29" i="22"/>
  <c r="M29" i="22"/>
  <c r="J29" i="22"/>
  <c r="I29" i="22"/>
  <c r="E29" i="22"/>
  <c r="D29" i="22"/>
  <c r="C29" i="22"/>
  <c r="B29" i="22"/>
  <c r="N28" i="22"/>
  <c r="M28" i="22"/>
  <c r="J28" i="22"/>
  <c r="I28" i="22"/>
  <c r="E28" i="22"/>
  <c r="D28" i="22"/>
  <c r="C28" i="22"/>
  <c r="B28" i="22"/>
  <c r="N27" i="22"/>
  <c r="M27" i="22"/>
  <c r="J27" i="22"/>
  <c r="I27" i="22"/>
  <c r="E27" i="22"/>
  <c r="D27" i="22"/>
  <c r="C27" i="22"/>
  <c r="B27" i="22"/>
  <c r="N26" i="22"/>
  <c r="M26" i="22"/>
  <c r="J26" i="22"/>
  <c r="I26" i="22"/>
  <c r="E26" i="22"/>
  <c r="D26" i="22"/>
  <c r="C26" i="22"/>
  <c r="B26" i="22"/>
  <c r="N25" i="22"/>
  <c r="M25" i="22"/>
  <c r="J25" i="22"/>
  <c r="I25" i="22"/>
  <c r="E25" i="22"/>
  <c r="D25" i="22"/>
  <c r="C25" i="22"/>
  <c r="B25" i="22"/>
  <c r="N24" i="22"/>
  <c r="M24" i="22"/>
  <c r="J24" i="22"/>
  <c r="I24" i="22"/>
  <c r="E24" i="22"/>
  <c r="D24" i="22"/>
  <c r="C24" i="22"/>
  <c r="B24" i="22"/>
  <c r="N23" i="22"/>
  <c r="M23" i="22"/>
  <c r="J23" i="22"/>
  <c r="I23" i="22"/>
  <c r="E23" i="22"/>
  <c r="D23" i="22"/>
  <c r="C23" i="22"/>
  <c r="B23" i="22"/>
  <c r="N22" i="22"/>
  <c r="M22" i="22"/>
  <c r="J22" i="22"/>
  <c r="I22" i="22"/>
  <c r="E22" i="22"/>
  <c r="D22" i="22"/>
  <c r="C22" i="22"/>
  <c r="B22" i="22"/>
  <c r="N21" i="22"/>
  <c r="M21" i="22"/>
  <c r="J21" i="22"/>
  <c r="I21" i="22"/>
  <c r="E21" i="22"/>
  <c r="D21" i="22"/>
  <c r="C21" i="22"/>
  <c r="B21" i="22"/>
  <c r="N20" i="22"/>
  <c r="M20" i="22"/>
  <c r="J20" i="22"/>
  <c r="I20" i="22"/>
  <c r="E20" i="22"/>
  <c r="D20" i="22"/>
  <c r="C20" i="22"/>
  <c r="B20" i="22"/>
  <c r="N19" i="22"/>
  <c r="M19" i="22"/>
  <c r="J19" i="22"/>
  <c r="I19" i="22"/>
  <c r="E19" i="22"/>
  <c r="D19" i="22"/>
  <c r="C19" i="22"/>
  <c r="B19" i="22"/>
  <c r="N18" i="22"/>
  <c r="M18" i="22"/>
  <c r="J18" i="22"/>
  <c r="I18" i="22"/>
  <c r="E18" i="22"/>
  <c r="D18" i="22"/>
  <c r="C18" i="22"/>
  <c r="B18" i="22"/>
  <c r="N17" i="22"/>
  <c r="M17" i="22"/>
  <c r="J17" i="22"/>
  <c r="I17" i="22"/>
  <c r="E17" i="22"/>
  <c r="D17" i="22"/>
  <c r="C17" i="22"/>
  <c r="B17" i="22"/>
  <c r="N16" i="22"/>
  <c r="M16" i="22"/>
  <c r="J16" i="22"/>
  <c r="I16" i="22"/>
  <c r="E16" i="22"/>
  <c r="D16" i="22"/>
  <c r="C16" i="22"/>
  <c r="B16" i="22"/>
  <c r="N15" i="22"/>
  <c r="M15" i="22"/>
  <c r="J15" i="22"/>
  <c r="I15" i="22"/>
  <c r="E15" i="22"/>
  <c r="D15" i="22"/>
  <c r="C15" i="22"/>
  <c r="B15" i="22"/>
  <c r="N14" i="22"/>
  <c r="M14" i="22"/>
  <c r="J14" i="22"/>
  <c r="I14" i="22"/>
  <c r="E14" i="22"/>
  <c r="D14" i="22"/>
  <c r="C14" i="22"/>
  <c r="B14" i="22"/>
  <c r="N13" i="22"/>
  <c r="M13" i="22"/>
  <c r="J13" i="22"/>
  <c r="I13" i="22"/>
  <c r="E13" i="22"/>
  <c r="D13" i="22"/>
  <c r="C13" i="22"/>
  <c r="B13" i="22"/>
  <c r="N12" i="22"/>
  <c r="M12" i="22"/>
  <c r="J12" i="22"/>
  <c r="I12" i="22"/>
  <c r="E12" i="22"/>
  <c r="D12" i="22"/>
  <c r="C12" i="22"/>
  <c r="B12" i="22"/>
  <c r="N11" i="22"/>
  <c r="M11" i="22"/>
  <c r="J11" i="22"/>
  <c r="I11" i="22"/>
  <c r="E11" i="22"/>
  <c r="D11" i="22"/>
  <c r="C11" i="22"/>
  <c r="B11" i="22"/>
  <c r="N10" i="22"/>
  <c r="M10" i="22"/>
  <c r="J10" i="22"/>
  <c r="I10" i="22"/>
  <c r="E10" i="22"/>
  <c r="D10" i="22"/>
  <c r="C10" i="22"/>
  <c r="B10" i="22"/>
  <c r="N9" i="22"/>
  <c r="M9" i="22"/>
  <c r="J9" i="22"/>
  <c r="I9" i="22"/>
  <c r="E9" i="22"/>
  <c r="D9" i="22"/>
  <c r="C9" i="22"/>
  <c r="B9" i="22"/>
  <c r="N8" i="22"/>
  <c r="M8" i="22"/>
  <c r="J8" i="22"/>
  <c r="I8" i="22"/>
  <c r="E8" i="22"/>
  <c r="D8" i="22"/>
  <c r="C8" i="22"/>
  <c r="B8" i="22"/>
  <c r="N7" i="22"/>
  <c r="M7" i="22"/>
  <c r="J7" i="22"/>
  <c r="I7" i="22"/>
  <c r="E7" i="22"/>
  <c r="D7" i="22"/>
  <c r="C7" i="22"/>
  <c r="B7" i="22"/>
  <c r="N6" i="22"/>
  <c r="M6" i="22"/>
  <c r="J6" i="22"/>
  <c r="I6" i="22"/>
  <c r="E6" i="22"/>
  <c r="D6" i="22"/>
  <c r="C6" i="22"/>
  <c r="B6" i="22"/>
  <c r="N5" i="22"/>
  <c r="M5" i="22"/>
  <c r="J5" i="22"/>
  <c r="I5" i="22"/>
  <c r="E5" i="22"/>
  <c r="D5" i="22"/>
  <c r="C5" i="22"/>
  <c r="B5" i="22"/>
  <c r="N4" i="22"/>
  <c r="M4" i="22"/>
  <c r="J4" i="22"/>
  <c r="I4" i="22"/>
  <c r="E4" i="22"/>
  <c r="D4" i="22"/>
  <c r="C4" i="22"/>
  <c r="B4" i="22"/>
  <c r="N3" i="22"/>
  <c r="M3" i="22"/>
  <c r="J3" i="22"/>
  <c r="I3" i="22"/>
  <c r="E3" i="22"/>
  <c r="D3" i="22"/>
  <c r="C3" i="22"/>
  <c r="B3" i="22"/>
  <c r="N2" i="22"/>
  <c r="M2" i="22"/>
  <c r="J2" i="22"/>
  <c r="I2" i="22"/>
  <c r="E2" i="22"/>
  <c r="D2" i="22"/>
  <c r="C2" i="22"/>
  <c r="B2" i="22"/>
  <c r="N33" i="21"/>
  <c r="M33" i="21"/>
  <c r="J33" i="21"/>
  <c r="I33" i="21"/>
  <c r="E33" i="21"/>
  <c r="D33" i="21"/>
  <c r="C33" i="21"/>
  <c r="B33" i="21"/>
  <c r="N32" i="21"/>
  <c r="M32" i="21"/>
  <c r="J32" i="21"/>
  <c r="I32" i="21"/>
  <c r="E32" i="21"/>
  <c r="D32" i="21"/>
  <c r="C32" i="21"/>
  <c r="B32" i="21"/>
  <c r="N31" i="21"/>
  <c r="M31" i="21"/>
  <c r="J31" i="21"/>
  <c r="I31" i="21"/>
  <c r="E31" i="21"/>
  <c r="D31" i="21"/>
  <c r="C31" i="21"/>
  <c r="B31" i="21"/>
  <c r="N30" i="21"/>
  <c r="M30" i="21"/>
  <c r="J30" i="21"/>
  <c r="I30" i="21"/>
  <c r="E30" i="21"/>
  <c r="D30" i="21"/>
  <c r="C30" i="21"/>
  <c r="B30" i="21"/>
  <c r="N29" i="21"/>
  <c r="M29" i="21"/>
  <c r="J29" i="21"/>
  <c r="I29" i="21"/>
  <c r="E29" i="21"/>
  <c r="D29" i="21"/>
  <c r="C29" i="21"/>
  <c r="B29" i="21"/>
  <c r="N28" i="21"/>
  <c r="M28" i="21"/>
  <c r="J28" i="21"/>
  <c r="I28" i="21"/>
  <c r="E28" i="21"/>
  <c r="D28" i="21"/>
  <c r="C28" i="21"/>
  <c r="B28" i="21"/>
  <c r="N27" i="21"/>
  <c r="M27" i="21"/>
  <c r="J27" i="21"/>
  <c r="I27" i="21"/>
  <c r="E27" i="21"/>
  <c r="D27" i="21"/>
  <c r="C27" i="21"/>
  <c r="B27" i="21"/>
  <c r="N26" i="21"/>
  <c r="M26" i="21"/>
  <c r="J26" i="21"/>
  <c r="I26" i="21"/>
  <c r="E26" i="21"/>
  <c r="D26" i="21"/>
  <c r="C26" i="21"/>
  <c r="B26" i="21"/>
  <c r="N25" i="21"/>
  <c r="M25" i="21"/>
  <c r="J25" i="21"/>
  <c r="I25" i="21"/>
  <c r="E25" i="21"/>
  <c r="D25" i="21"/>
  <c r="C25" i="21"/>
  <c r="B25" i="21"/>
  <c r="N24" i="21"/>
  <c r="M24" i="21"/>
  <c r="J24" i="21"/>
  <c r="I24" i="21"/>
  <c r="E24" i="21"/>
  <c r="D24" i="21"/>
  <c r="C24" i="21"/>
  <c r="B24" i="21"/>
  <c r="N23" i="21"/>
  <c r="M23" i="21"/>
  <c r="J23" i="21"/>
  <c r="I23" i="21"/>
  <c r="E23" i="21"/>
  <c r="D23" i="21"/>
  <c r="C23" i="21"/>
  <c r="B23" i="21"/>
  <c r="N22" i="21"/>
  <c r="M22" i="21"/>
  <c r="J22" i="21"/>
  <c r="I22" i="21"/>
  <c r="E22" i="21"/>
  <c r="D22" i="21"/>
  <c r="C22" i="21"/>
  <c r="B22" i="21"/>
  <c r="N21" i="21"/>
  <c r="M21" i="21"/>
  <c r="J21" i="21"/>
  <c r="I21" i="21"/>
  <c r="E21" i="21"/>
  <c r="D21" i="21"/>
  <c r="C21" i="21"/>
  <c r="B21" i="21"/>
  <c r="N20" i="21"/>
  <c r="M20" i="21"/>
  <c r="J20" i="21"/>
  <c r="I20" i="21"/>
  <c r="E20" i="21"/>
  <c r="D20" i="21"/>
  <c r="C20" i="21"/>
  <c r="B20" i="21"/>
  <c r="N19" i="21"/>
  <c r="M19" i="21"/>
  <c r="J19" i="21"/>
  <c r="I19" i="21"/>
  <c r="E19" i="21"/>
  <c r="D19" i="21"/>
  <c r="C19" i="21"/>
  <c r="B19" i="21"/>
  <c r="N18" i="21"/>
  <c r="M18" i="21"/>
  <c r="J18" i="21"/>
  <c r="I18" i="21"/>
  <c r="E18" i="21"/>
  <c r="D18" i="21"/>
  <c r="C18" i="21"/>
  <c r="B18" i="21"/>
  <c r="N17" i="21"/>
  <c r="M17" i="21"/>
  <c r="J17" i="21"/>
  <c r="I17" i="21"/>
  <c r="E17" i="21"/>
  <c r="D17" i="21"/>
  <c r="C17" i="21"/>
  <c r="B17" i="21"/>
  <c r="N16" i="21"/>
  <c r="M16" i="21"/>
  <c r="J16" i="21"/>
  <c r="I16" i="21"/>
  <c r="E16" i="21"/>
  <c r="D16" i="21"/>
  <c r="C16" i="21"/>
  <c r="B16" i="21"/>
  <c r="N15" i="21"/>
  <c r="M15" i="21"/>
  <c r="J15" i="21"/>
  <c r="I15" i="21"/>
  <c r="E15" i="21"/>
  <c r="D15" i="21"/>
  <c r="C15" i="21"/>
  <c r="B15" i="21"/>
  <c r="N14" i="21"/>
  <c r="M14" i="21"/>
  <c r="J14" i="21"/>
  <c r="I14" i="21"/>
  <c r="E14" i="21"/>
  <c r="D14" i="21"/>
  <c r="C14" i="21"/>
  <c r="B14" i="21"/>
  <c r="N13" i="21"/>
  <c r="M13" i="21"/>
  <c r="J13" i="21"/>
  <c r="I13" i="21"/>
  <c r="E13" i="21"/>
  <c r="D13" i="21"/>
  <c r="C13" i="21"/>
  <c r="B13" i="21"/>
  <c r="N12" i="21"/>
  <c r="M12" i="21"/>
  <c r="J12" i="21"/>
  <c r="I12" i="21"/>
  <c r="E12" i="21"/>
  <c r="D12" i="21"/>
  <c r="C12" i="21"/>
  <c r="B12" i="21"/>
  <c r="N11" i="21"/>
  <c r="M11" i="21"/>
  <c r="J11" i="21"/>
  <c r="I11" i="21"/>
  <c r="E11" i="21"/>
  <c r="D11" i="21"/>
  <c r="C11" i="21"/>
  <c r="B11" i="21"/>
  <c r="N10" i="21"/>
  <c r="M10" i="21"/>
  <c r="J10" i="21"/>
  <c r="I10" i="21"/>
  <c r="E10" i="21"/>
  <c r="D10" i="21"/>
  <c r="C10" i="21"/>
  <c r="B10" i="21"/>
  <c r="N9" i="21"/>
  <c r="M9" i="21"/>
  <c r="J9" i="21"/>
  <c r="I9" i="21"/>
  <c r="E9" i="21"/>
  <c r="D9" i="21"/>
  <c r="C9" i="21"/>
  <c r="B9" i="21"/>
  <c r="N8" i="21"/>
  <c r="M8" i="21"/>
  <c r="J8" i="21"/>
  <c r="I8" i="21"/>
  <c r="E8" i="21"/>
  <c r="D8" i="21"/>
  <c r="C8" i="21"/>
  <c r="B8" i="21"/>
  <c r="N7" i="21"/>
  <c r="M7" i="21"/>
  <c r="J7" i="21"/>
  <c r="I7" i="21"/>
  <c r="E7" i="21"/>
  <c r="D7" i="21"/>
  <c r="C7" i="21"/>
  <c r="B7" i="21"/>
  <c r="N6" i="21"/>
  <c r="M6" i="21"/>
  <c r="J6" i="21"/>
  <c r="I6" i="21"/>
  <c r="E6" i="21"/>
  <c r="D6" i="21"/>
  <c r="C6" i="21"/>
  <c r="B6" i="21"/>
  <c r="N5" i="21"/>
  <c r="M5" i="21"/>
  <c r="J5" i="21"/>
  <c r="I5" i="21"/>
  <c r="E5" i="21"/>
  <c r="D5" i="21"/>
  <c r="C5" i="21"/>
  <c r="B5" i="21"/>
  <c r="N4" i="21"/>
  <c r="M4" i="21"/>
  <c r="J4" i="21"/>
  <c r="I4" i="21"/>
  <c r="E4" i="21"/>
  <c r="D4" i="21"/>
  <c r="C4" i="21"/>
  <c r="B4" i="21"/>
  <c r="N3" i="21"/>
  <c r="M3" i="21"/>
  <c r="J3" i="21"/>
  <c r="I3" i="21"/>
  <c r="E3" i="21"/>
  <c r="D3" i="21"/>
  <c r="C3" i="21"/>
  <c r="B3" i="21"/>
  <c r="N2" i="21"/>
  <c r="M2" i="21"/>
  <c r="J2" i="21"/>
  <c r="I2" i="21"/>
  <c r="E2" i="21"/>
  <c r="D2" i="21"/>
  <c r="C2" i="21"/>
  <c r="B2" i="21"/>
  <c r="N31" i="20"/>
  <c r="M31" i="20"/>
  <c r="J31" i="20"/>
  <c r="I31" i="20"/>
  <c r="E31" i="20"/>
  <c r="D31" i="20"/>
  <c r="C31" i="20"/>
  <c r="B31" i="20"/>
  <c r="N30" i="20"/>
  <c r="M30" i="20"/>
  <c r="J30" i="20"/>
  <c r="I30" i="20"/>
  <c r="E30" i="20"/>
  <c r="D30" i="20"/>
  <c r="C30" i="20"/>
  <c r="B30" i="20"/>
  <c r="N29" i="20"/>
  <c r="M29" i="20"/>
  <c r="J29" i="20"/>
  <c r="I29" i="20"/>
  <c r="E29" i="20"/>
  <c r="D29" i="20"/>
  <c r="C29" i="20"/>
  <c r="B29" i="20"/>
  <c r="N28" i="20"/>
  <c r="M28" i="20"/>
  <c r="J28" i="20"/>
  <c r="I28" i="20"/>
  <c r="E28" i="20"/>
  <c r="D28" i="20"/>
  <c r="C28" i="20"/>
  <c r="B28" i="20"/>
  <c r="N27" i="20"/>
  <c r="M27" i="20"/>
  <c r="J27" i="20"/>
  <c r="I27" i="20"/>
  <c r="E27" i="20"/>
  <c r="D27" i="20"/>
  <c r="C27" i="20"/>
  <c r="B27" i="20"/>
  <c r="N26" i="20"/>
  <c r="M26" i="20"/>
  <c r="J26" i="20"/>
  <c r="I26" i="20"/>
  <c r="E26" i="20"/>
  <c r="D26" i="20"/>
  <c r="C26" i="20"/>
  <c r="B26" i="20"/>
  <c r="N25" i="20"/>
  <c r="M25" i="20"/>
  <c r="J25" i="20"/>
  <c r="I25" i="20"/>
  <c r="E25" i="20"/>
  <c r="D25" i="20"/>
  <c r="C25" i="20"/>
  <c r="B25" i="20"/>
  <c r="N24" i="20"/>
  <c r="M24" i="20"/>
  <c r="J24" i="20"/>
  <c r="I24" i="20"/>
  <c r="E24" i="20"/>
  <c r="D24" i="20"/>
  <c r="C24" i="20"/>
  <c r="B24" i="20"/>
  <c r="N23" i="20"/>
  <c r="M23" i="20"/>
  <c r="J23" i="20"/>
  <c r="I23" i="20"/>
  <c r="E23" i="20"/>
  <c r="D23" i="20"/>
  <c r="C23" i="20"/>
  <c r="B23" i="20"/>
  <c r="N22" i="20"/>
  <c r="M22" i="20"/>
  <c r="J22" i="20"/>
  <c r="I22" i="20"/>
  <c r="E22" i="20"/>
  <c r="D22" i="20"/>
  <c r="C22" i="20"/>
  <c r="B22" i="20"/>
  <c r="N21" i="20"/>
  <c r="M21" i="20"/>
  <c r="J21" i="20"/>
  <c r="I21" i="20"/>
  <c r="E21" i="20"/>
  <c r="D21" i="20"/>
  <c r="C21" i="20"/>
  <c r="B21" i="20"/>
  <c r="N20" i="20"/>
  <c r="M20" i="20"/>
  <c r="J20" i="20"/>
  <c r="I20" i="20"/>
  <c r="E20" i="20"/>
  <c r="D20" i="20"/>
  <c r="C20" i="20"/>
  <c r="B20" i="20"/>
  <c r="N19" i="20"/>
  <c r="M19" i="20"/>
  <c r="J19" i="20"/>
  <c r="I19" i="20"/>
  <c r="E19" i="20"/>
  <c r="D19" i="20"/>
  <c r="C19" i="20"/>
  <c r="B19" i="20"/>
  <c r="N18" i="20"/>
  <c r="M18" i="20"/>
  <c r="J18" i="20"/>
  <c r="I18" i="20"/>
  <c r="E18" i="20"/>
  <c r="D18" i="20"/>
  <c r="C18" i="20"/>
  <c r="B18" i="20"/>
  <c r="N17" i="20"/>
  <c r="M17" i="20"/>
  <c r="J17" i="20"/>
  <c r="I17" i="20"/>
  <c r="E17" i="20"/>
  <c r="D17" i="20"/>
  <c r="C17" i="20"/>
  <c r="B17" i="20"/>
  <c r="N16" i="20"/>
  <c r="M16" i="20"/>
  <c r="J16" i="20"/>
  <c r="I16" i="20"/>
  <c r="E16" i="20"/>
  <c r="D16" i="20"/>
  <c r="C16" i="20"/>
  <c r="B16" i="20"/>
  <c r="N15" i="20"/>
  <c r="M15" i="20"/>
  <c r="J15" i="20"/>
  <c r="I15" i="20"/>
  <c r="E15" i="20"/>
  <c r="D15" i="20"/>
  <c r="C15" i="20"/>
  <c r="B15" i="20"/>
  <c r="N14" i="20"/>
  <c r="M14" i="20"/>
  <c r="J14" i="20"/>
  <c r="I14" i="20"/>
  <c r="E14" i="20"/>
  <c r="D14" i="20"/>
  <c r="C14" i="20"/>
  <c r="B14" i="20"/>
  <c r="N13" i="20"/>
  <c r="M13" i="20"/>
  <c r="J13" i="20"/>
  <c r="I13" i="20"/>
  <c r="E13" i="20"/>
  <c r="D13" i="20"/>
  <c r="C13" i="20"/>
  <c r="B13" i="20"/>
  <c r="N12" i="20"/>
  <c r="M12" i="20"/>
  <c r="J12" i="20"/>
  <c r="I12" i="20"/>
  <c r="E12" i="20"/>
  <c r="D12" i="20"/>
  <c r="C12" i="20"/>
  <c r="B12" i="20"/>
  <c r="N11" i="20"/>
  <c r="M11" i="20"/>
  <c r="J11" i="20"/>
  <c r="I11" i="20"/>
  <c r="E11" i="20"/>
  <c r="D11" i="20"/>
  <c r="C11" i="20"/>
  <c r="B11" i="20"/>
  <c r="N10" i="20"/>
  <c r="M10" i="20"/>
  <c r="J10" i="20"/>
  <c r="I10" i="20"/>
  <c r="E10" i="20"/>
  <c r="D10" i="20"/>
  <c r="C10" i="20"/>
  <c r="B10" i="20"/>
  <c r="N9" i="20"/>
  <c r="M9" i="20"/>
  <c r="J9" i="20"/>
  <c r="I9" i="20"/>
  <c r="E9" i="20"/>
  <c r="D9" i="20"/>
  <c r="C9" i="20"/>
  <c r="B9" i="20"/>
  <c r="N8" i="20"/>
  <c r="M8" i="20"/>
  <c r="J8" i="20"/>
  <c r="I8" i="20"/>
  <c r="E8" i="20"/>
  <c r="D8" i="20"/>
  <c r="C8" i="20"/>
  <c r="B8" i="20"/>
  <c r="N7" i="20"/>
  <c r="M7" i="20"/>
  <c r="J7" i="20"/>
  <c r="I7" i="20"/>
  <c r="E7" i="20"/>
  <c r="D7" i="20"/>
  <c r="C7" i="20"/>
  <c r="B7" i="20"/>
  <c r="N6" i="20"/>
  <c r="M6" i="20"/>
  <c r="J6" i="20"/>
  <c r="I6" i="20"/>
  <c r="E6" i="20"/>
  <c r="D6" i="20"/>
  <c r="C6" i="20"/>
  <c r="B6" i="20"/>
  <c r="N5" i="20"/>
  <c r="M5" i="20"/>
  <c r="J5" i="20"/>
  <c r="I5" i="20"/>
  <c r="E5" i="20"/>
  <c r="D5" i="20"/>
  <c r="C5" i="20"/>
  <c r="B5" i="20"/>
  <c r="N4" i="20"/>
  <c r="M4" i="20"/>
  <c r="J4" i="20"/>
  <c r="I4" i="20"/>
  <c r="E4" i="20"/>
  <c r="D4" i="20"/>
  <c r="C4" i="20"/>
  <c r="B4" i="20"/>
  <c r="N3" i="20"/>
  <c r="M3" i="20"/>
  <c r="J3" i="20"/>
  <c r="I3" i="20"/>
  <c r="E3" i="20"/>
  <c r="D3" i="20"/>
  <c r="C3" i="20"/>
  <c r="B3" i="20"/>
  <c r="N2" i="20"/>
  <c r="M2" i="20"/>
  <c r="J2" i="20"/>
  <c r="I2" i="20"/>
  <c r="E2" i="20"/>
  <c r="D2" i="20"/>
  <c r="C2" i="20"/>
  <c r="B2" i="20"/>
  <c r="N34" i="19"/>
  <c r="M34" i="19"/>
  <c r="J34" i="19"/>
  <c r="I34" i="19"/>
  <c r="E34" i="19"/>
  <c r="D34" i="19"/>
  <c r="C34" i="19"/>
  <c r="B34" i="19"/>
  <c r="N33" i="19"/>
  <c r="M33" i="19"/>
  <c r="J33" i="19"/>
  <c r="I33" i="19"/>
  <c r="E33" i="19"/>
  <c r="D33" i="19"/>
  <c r="C33" i="19"/>
  <c r="B33" i="19"/>
  <c r="N32" i="19"/>
  <c r="M32" i="19"/>
  <c r="J32" i="19"/>
  <c r="I32" i="19"/>
  <c r="E32" i="19"/>
  <c r="D32" i="19"/>
  <c r="C32" i="19"/>
  <c r="B32" i="19"/>
  <c r="N31" i="19"/>
  <c r="M31" i="19"/>
  <c r="J31" i="19"/>
  <c r="I31" i="19"/>
  <c r="E31" i="19"/>
  <c r="D31" i="19"/>
  <c r="C31" i="19"/>
  <c r="B31" i="19"/>
  <c r="N30" i="19"/>
  <c r="M30" i="19"/>
  <c r="J30" i="19"/>
  <c r="I30" i="19"/>
  <c r="E30" i="19"/>
  <c r="D30" i="19"/>
  <c r="C30" i="19"/>
  <c r="B30" i="19"/>
  <c r="N29" i="19"/>
  <c r="M29" i="19"/>
  <c r="J29" i="19"/>
  <c r="I29" i="19"/>
  <c r="E29" i="19"/>
  <c r="D29" i="19"/>
  <c r="C29" i="19"/>
  <c r="B29" i="19"/>
  <c r="N28" i="19"/>
  <c r="M28" i="19"/>
  <c r="J28" i="19"/>
  <c r="I28" i="19"/>
  <c r="E28" i="19"/>
  <c r="D28" i="19"/>
  <c r="C28" i="19"/>
  <c r="B28" i="19"/>
  <c r="N27" i="19"/>
  <c r="M27" i="19"/>
  <c r="J27" i="19"/>
  <c r="I27" i="19"/>
  <c r="E27" i="19"/>
  <c r="D27" i="19"/>
  <c r="C27" i="19"/>
  <c r="B27" i="19"/>
  <c r="N26" i="19"/>
  <c r="M26" i="19"/>
  <c r="J26" i="19"/>
  <c r="I26" i="19"/>
  <c r="E26" i="19"/>
  <c r="D26" i="19"/>
  <c r="C26" i="19"/>
  <c r="B26" i="19"/>
  <c r="N25" i="19"/>
  <c r="M25" i="19"/>
  <c r="J25" i="19"/>
  <c r="I25" i="19"/>
  <c r="E25" i="19"/>
  <c r="D25" i="19"/>
  <c r="C25" i="19"/>
  <c r="B25" i="19"/>
  <c r="N24" i="19"/>
  <c r="M24" i="19"/>
  <c r="J24" i="19"/>
  <c r="I24" i="19"/>
  <c r="E24" i="19"/>
  <c r="D24" i="19"/>
  <c r="C24" i="19"/>
  <c r="B24" i="19"/>
  <c r="N23" i="19"/>
  <c r="M23" i="19"/>
  <c r="J23" i="19"/>
  <c r="I23" i="19"/>
  <c r="E23" i="19"/>
  <c r="D23" i="19"/>
  <c r="C23" i="19"/>
  <c r="B23" i="19"/>
  <c r="N22" i="19"/>
  <c r="M22" i="19"/>
  <c r="J22" i="19"/>
  <c r="I22" i="19"/>
  <c r="E22" i="19"/>
  <c r="D22" i="19"/>
  <c r="C22" i="19"/>
  <c r="B22" i="19"/>
  <c r="N21" i="19"/>
  <c r="M21" i="19"/>
  <c r="J21" i="19"/>
  <c r="I21" i="19"/>
  <c r="E21" i="19"/>
  <c r="D21" i="19"/>
  <c r="C21" i="19"/>
  <c r="B21" i="19"/>
  <c r="N20" i="19"/>
  <c r="M20" i="19"/>
  <c r="J20" i="19"/>
  <c r="I20" i="19"/>
  <c r="E20" i="19"/>
  <c r="D20" i="19"/>
  <c r="C20" i="19"/>
  <c r="B20" i="19"/>
  <c r="N19" i="19"/>
  <c r="M19" i="19"/>
  <c r="J19" i="19"/>
  <c r="I19" i="19"/>
  <c r="E19" i="19"/>
  <c r="D19" i="19"/>
  <c r="C19" i="19"/>
  <c r="B19" i="19"/>
  <c r="N18" i="19"/>
  <c r="M18" i="19"/>
  <c r="J18" i="19"/>
  <c r="I18" i="19"/>
  <c r="E18" i="19"/>
  <c r="D18" i="19"/>
  <c r="C18" i="19"/>
  <c r="B18" i="19"/>
  <c r="N17" i="19"/>
  <c r="M17" i="19"/>
  <c r="J17" i="19"/>
  <c r="I17" i="19"/>
  <c r="E17" i="19"/>
  <c r="D17" i="19"/>
  <c r="C17" i="19"/>
  <c r="B17" i="19"/>
  <c r="N16" i="19"/>
  <c r="M16" i="19"/>
  <c r="J16" i="19"/>
  <c r="I16" i="19"/>
  <c r="E16" i="19"/>
  <c r="D16" i="19"/>
  <c r="C16" i="19"/>
  <c r="B16" i="19"/>
  <c r="N15" i="19"/>
  <c r="M15" i="19"/>
  <c r="J15" i="19"/>
  <c r="I15" i="19"/>
  <c r="E15" i="19"/>
  <c r="D15" i="19"/>
  <c r="C15" i="19"/>
  <c r="B15" i="19"/>
  <c r="N14" i="19"/>
  <c r="M14" i="19"/>
  <c r="J14" i="19"/>
  <c r="I14" i="19"/>
  <c r="E14" i="19"/>
  <c r="D14" i="19"/>
  <c r="C14" i="19"/>
  <c r="B14" i="19"/>
  <c r="N13" i="19"/>
  <c r="M13" i="19"/>
  <c r="J13" i="19"/>
  <c r="I13" i="19"/>
  <c r="E13" i="19"/>
  <c r="D13" i="19"/>
  <c r="C13" i="19"/>
  <c r="B13" i="19"/>
  <c r="N12" i="19"/>
  <c r="M12" i="19"/>
  <c r="J12" i="19"/>
  <c r="I12" i="19"/>
  <c r="E12" i="19"/>
  <c r="D12" i="19"/>
  <c r="C12" i="19"/>
  <c r="B12" i="19"/>
  <c r="N11" i="19"/>
  <c r="M11" i="19"/>
  <c r="J11" i="19"/>
  <c r="I11" i="19"/>
  <c r="E11" i="19"/>
  <c r="D11" i="19"/>
  <c r="C11" i="19"/>
  <c r="B11" i="19"/>
  <c r="N10" i="19"/>
  <c r="M10" i="19"/>
  <c r="J10" i="19"/>
  <c r="I10" i="19"/>
  <c r="E10" i="19"/>
  <c r="D10" i="19"/>
  <c r="C10" i="19"/>
  <c r="B10" i="19"/>
  <c r="N9" i="19"/>
  <c r="M9" i="19"/>
  <c r="J9" i="19"/>
  <c r="I9" i="19"/>
  <c r="E9" i="19"/>
  <c r="D9" i="19"/>
  <c r="C9" i="19"/>
  <c r="B9" i="19"/>
  <c r="N8" i="19"/>
  <c r="M8" i="19"/>
  <c r="J8" i="19"/>
  <c r="I8" i="19"/>
  <c r="E8" i="19"/>
  <c r="D8" i="19"/>
  <c r="C8" i="19"/>
  <c r="B8" i="19"/>
  <c r="N7" i="19"/>
  <c r="M7" i="19"/>
  <c r="J7" i="19"/>
  <c r="I7" i="19"/>
  <c r="E7" i="19"/>
  <c r="D7" i="19"/>
  <c r="C7" i="19"/>
  <c r="B7" i="19"/>
  <c r="N6" i="19"/>
  <c r="M6" i="19"/>
  <c r="J6" i="19"/>
  <c r="I6" i="19"/>
  <c r="E6" i="19"/>
  <c r="D6" i="19"/>
  <c r="C6" i="19"/>
  <c r="B6" i="19"/>
  <c r="N5" i="19"/>
  <c r="M5" i="19"/>
  <c r="J5" i="19"/>
  <c r="I5" i="19"/>
  <c r="E5" i="19"/>
  <c r="D5" i="19"/>
  <c r="C5" i="19"/>
  <c r="B5" i="19"/>
  <c r="N4" i="19"/>
  <c r="M4" i="19"/>
  <c r="J4" i="19"/>
  <c r="I4" i="19"/>
  <c r="E4" i="19"/>
  <c r="D4" i="19"/>
  <c r="C4" i="19"/>
  <c r="B4" i="19"/>
  <c r="N3" i="19"/>
  <c r="M3" i="19"/>
  <c r="J3" i="19"/>
  <c r="I3" i="19"/>
  <c r="E3" i="19"/>
  <c r="D3" i="19"/>
  <c r="C3" i="19"/>
  <c r="B3" i="19"/>
  <c r="N2" i="19"/>
  <c r="M2" i="19"/>
  <c r="J2" i="19"/>
  <c r="I2" i="19"/>
  <c r="E2" i="19"/>
  <c r="D2" i="19"/>
  <c r="C2" i="19"/>
  <c r="B2" i="19"/>
  <c r="N40" i="18"/>
  <c r="M40" i="18"/>
  <c r="J40" i="18"/>
  <c r="I40" i="18"/>
  <c r="E40" i="18"/>
  <c r="D40" i="18"/>
  <c r="C40" i="18"/>
  <c r="B40" i="18"/>
  <c r="N39" i="18"/>
  <c r="M39" i="18"/>
  <c r="J39" i="18"/>
  <c r="I39" i="18"/>
  <c r="E39" i="18"/>
  <c r="D39" i="18"/>
  <c r="C39" i="18"/>
  <c r="B39" i="18"/>
  <c r="N38" i="18"/>
  <c r="M38" i="18"/>
  <c r="J38" i="18"/>
  <c r="I38" i="18"/>
  <c r="E38" i="18"/>
  <c r="D38" i="18"/>
  <c r="C38" i="18"/>
  <c r="B38" i="18"/>
  <c r="N37" i="18"/>
  <c r="M37" i="18"/>
  <c r="J37" i="18"/>
  <c r="I37" i="18"/>
  <c r="E37" i="18"/>
  <c r="D37" i="18"/>
  <c r="C37" i="18"/>
  <c r="B37" i="18"/>
  <c r="N36" i="18"/>
  <c r="M36" i="18"/>
  <c r="J36" i="18"/>
  <c r="I36" i="18"/>
  <c r="E36" i="18"/>
  <c r="D36" i="18"/>
  <c r="C36" i="18"/>
  <c r="B36" i="18"/>
  <c r="N35" i="18"/>
  <c r="M35" i="18"/>
  <c r="J35" i="18"/>
  <c r="I35" i="18"/>
  <c r="E35" i="18"/>
  <c r="D35" i="18"/>
  <c r="C35" i="18"/>
  <c r="B35" i="18"/>
  <c r="N34" i="18"/>
  <c r="M34" i="18"/>
  <c r="J34" i="18"/>
  <c r="I34" i="18"/>
  <c r="E34" i="18"/>
  <c r="D34" i="18"/>
  <c r="C34" i="18"/>
  <c r="B34" i="18"/>
  <c r="N33" i="18"/>
  <c r="M33" i="18"/>
  <c r="J33" i="18"/>
  <c r="I33" i="18"/>
  <c r="E33" i="18"/>
  <c r="D33" i="18"/>
  <c r="C33" i="18"/>
  <c r="B33" i="18"/>
  <c r="N32" i="18"/>
  <c r="M32" i="18"/>
  <c r="J32" i="18"/>
  <c r="I32" i="18"/>
  <c r="E32" i="18"/>
  <c r="D32" i="18"/>
  <c r="C32" i="18"/>
  <c r="B32" i="18"/>
  <c r="N31" i="18"/>
  <c r="M31" i="18"/>
  <c r="J31" i="18"/>
  <c r="I31" i="18"/>
  <c r="E31" i="18"/>
  <c r="D31" i="18"/>
  <c r="C31" i="18"/>
  <c r="B31" i="18"/>
  <c r="N30" i="18"/>
  <c r="M30" i="18"/>
  <c r="J30" i="18"/>
  <c r="I30" i="18"/>
  <c r="E30" i="18"/>
  <c r="D30" i="18"/>
  <c r="C30" i="18"/>
  <c r="B30" i="18"/>
  <c r="N29" i="18"/>
  <c r="M29" i="18"/>
  <c r="J29" i="18"/>
  <c r="I29" i="18"/>
  <c r="E29" i="18"/>
  <c r="D29" i="18"/>
  <c r="C29" i="18"/>
  <c r="B29" i="18"/>
  <c r="N28" i="18"/>
  <c r="M28" i="18"/>
  <c r="J28" i="18"/>
  <c r="I28" i="18"/>
  <c r="E28" i="18"/>
  <c r="D28" i="18"/>
  <c r="C28" i="18"/>
  <c r="B28" i="18"/>
  <c r="N27" i="18"/>
  <c r="M27" i="18"/>
  <c r="J27" i="18"/>
  <c r="I27" i="18"/>
  <c r="E27" i="18"/>
  <c r="D27" i="18"/>
  <c r="C27" i="18"/>
  <c r="B27" i="18"/>
  <c r="N26" i="18"/>
  <c r="M26" i="18"/>
  <c r="J26" i="18"/>
  <c r="I26" i="18"/>
  <c r="E26" i="18"/>
  <c r="D26" i="18"/>
  <c r="C26" i="18"/>
  <c r="B26" i="18"/>
  <c r="N25" i="18"/>
  <c r="M25" i="18"/>
  <c r="J25" i="18"/>
  <c r="I25" i="18"/>
  <c r="E25" i="18"/>
  <c r="D25" i="18"/>
  <c r="C25" i="18"/>
  <c r="B25" i="18"/>
  <c r="N24" i="18"/>
  <c r="M24" i="18"/>
  <c r="J24" i="18"/>
  <c r="I24" i="18"/>
  <c r="E24" i="18"/>
  <c r="D24" i="18"/>
  <c r="C24" i="18"/>
  <c r="B24" i="18"/>
  <c r="N23" i="18"/>
  <c r="M23" i="18"/>
  <c r="J23" i="18"/>
  <c r="I23" i="18"/>
  <c r="E23" i="18"/>
  <c r="D23" i="18"/>
  <c r="C23" i="18"/>
  <c r="B23" i="18"/>
  <c r="N22" i="18"/>
  <c r="M22" i="18"/>
  <c r="J22" i="18"/>
  <c r="I22" i="18"/>
  <c r="E22" i="18"/>
  <c r="D22" i="18"/>
  <c r="C22" i="18"/>
  <c r="B22" i="18"/>
  <c r="N21" i="18"/>
  <c r="M21" i="18"/>
  <c r="J21" i="18"/>
  <c r="I21" i="18"/>
  <c r="E21" i="18"/>
  <c r="D21" i="18"/>
  <c r="C21" i="18"/>
  <c r="B21" i="18"/>
  <c r="N20" i="18"/>
  <c r="M20" i="18"/>
  <c r="J20" i="18"/>
  <c r="I20" i="18"/>
  <c r="E20" i="18"/>
  <c r="D20" i="18"/>
  <c r="C20" i="18"/>
  <c r="B20" i="18"/>
  <c r="N19" i="18"/>
  <c r="M19" i="18"/>
  <c r="J19" i="18"/>
  <c r="I19" i="18"/>
  <c r="E19" i="18"/>
  <c r="D19" i="18"/>
  <c r="C19" i="18"/>
  <c r="B19" i="18"/>
  <c r="N18" i="18"/>
  <c r="M18" i="18"/>
  <c r="J18" i="18"/>
  <c r="I18" i="18"/>
  <c r="E18" i="18"/>
  <c r="D18" i="18"/>
  <c r="C18" i="18"/>
  <c r="B18" i="18"/>
  <c r="N17" i="18"/>
  <c r="M17" i="18"/>
  <c r="J17" i="18"/>
  <c r="I17" i="18"/>
  <c r="E17" i="18"/>
  <c r="D17" i="18"/>
  <c r="C17" i="18"/>
  <c r="B17" i="18"/>
  <c r="N16" i="18"/>
  <c r="M16" i="18"/>
  <c r="J16" i="18"/>
  <c r="I16" i="18"/>
  <c r="E16" i="18"/>
  <c r="D16" i="18"/>
  <c r="C16" i="18"/>
  <c r="B16" i="18"/>
  <c r="N15" i="18"/>
  <c r="M15" i="18"/>
  <c r="J15" i="18"/>
  <c r="I15" i="18"/>
  <c r="E15" i="18"/>
  <c r="D15" i="18"/>
  <c r="C15" i="18"/>
  <c r="B15" i="18"/>
  <c r="N14" i="18"/>
  <c r="M14" i="18"/>
  <c r="J14" i="18"/>
  <c r="I14" i="18"/>
  <c r="E14" i="18"/>
  <c r="D14" i="18"/>
  <c r="C14" i="18"/>
  <c r="B14" i="18"/>
  <c r="N13" i="18"/>
  <c r="M13" i="18"/>
  <c r="J13" i="18"/>
  <c r="I13" i="18"/>
  <c r="E13" i="18"/>
  <c r="D13" i="18"/>
  <c r="C13" i="18"/>
  <c r="B13" i="18"/>
  <c r="N12" i="18"/>
  <c r="M12" i="18"/>
  <c r="J12" i="18"/>
  <c r="I12" i="18"/>
  <c r="E12" i="18"/>
  <c r="D12" i="18"/>
  <c r="C12" i="18"/>
  <c r="B12" i="18"/>
  <c r="N11" i="18"/>
  <c r="M11" i="18"/>
  <c r="J11" i="18"/>
  <c r="I11" i="18"/>
  <c r="E11" i="18"/>
  <c r="D11" i="18"/>
  <c r="C11" i="18"/>
  <c r="B11" i="18"/>
  <c r="N10" i="18"/>
  <c r="M10" i="18"/>
  <c r="J10" i="18"/>
  <c r="I10" i="18"/>
  <c r="E10" i="18"/>
  <c r="D10" i="18"/>
  <c r="C10" i="18"/>
  <c r="B10" i="18"/>
  <c r="N9" i="18"/>
  <c r="M9" i="18"/>
  <c r="J9" i="18"/>
  <c r="I9" i="18"/>
  <c r="E9" i="18"/>
  <c r="D9" i="18"/>
  <c r="C9" i="18"/>
  <c r="B9" i="18"/>
  <c r="N8" i="18"/>
  <c r="M8" i="18"/>
  <c r="J8" i="18"/>
  <c r="I8" i="18"/>
  <c r="E8" i="18"/>
  <c r="D8" i="18"/>
  <c r="C8" i="18"/>
  <c r="B8" i="18"/>
  <c r="N7" i="18"/>
  <c r="M7" i="18"/>
  <c r="J7" i="18"/>
  <c r="I7" i="18"/>
  <c r="E7" i="18"/>
  <c r="D7" i="18"/>
  <c r="C7" i="18"/>
  <c r="B7" i="18"/>
  <c r="N6" i="18"/>
  <c r="M6" i="18"/>
  <c r="J6" i="18"/>
  <c r="I6" i="18"/>
  <c r="E6" i="18"/>
  <c r="D6" i="18"/>
  <c r="C6" i="18"/>
  <c r="B6" i="18"/>
  <c r="N5" i="18"/>
  <c r="M5" i="18"/>
  <c r="J5" i="18"/>
  <c r="I5" i="18"/>
  <c r="E5" i="18"/>
  <c r="D5" i="18"/>
  <c r="C5" i="18"/>
  <c r="B5" i="18"/>
  <c r="N4" i="18"/>
  <c r="M4" i="18"/>
  <c r="J4" i="18"/>
  <c r="I4" i="18"/>
  <c r="E4" i="18"/>
  <c r="D4" i="18"/>
  <c r="C4" i="18"/>
  <c r="B4" i="18"/>
  <c r="N3" i="18"/>
  <c r="M3" i="18"/>
  <c r="J3" i="18"/>
  <c r="I3" i="18"/>
  <c r="E3" i="18"/>
  <c r="D3" i="18"/>
  <c r="C3" i="18"/>
  <c r="B3" i="18"/>
  <c r="N2" i="18"/>
  <c r="M2" i="18"/>
  <c r="J2" i="18"/>
  <c r="I2" i="18"/>
  <c r="E2" i="18"/>
  <c r="D2" i="18"/>
  <c r="C2" i="18"/>
  <c r="B2" i="18"/>
  <c r="N44" i="17"/>
  <c r="M44" i="17"/>
  <c r="J44" i="17"/>
  <c r="I44" i="17"/>
  <c r="E44" i="17"/>
  <c r="D44" i="17"/>
  <c r="C44" i="17"/>
  <c r="B44" i="17"/>
  <c r="N43" i="17"/>
  <c r="M43" i="17"/>
  <c r="J43" i="17"/>
  <c r="I43" i="17"/>
  <c r="E43" i="17"/>
  <c r="D43" i="17"/>
  <c r="C43" i="17"/>
  <c r="B43" i="17"/>
  <c r="N42" i="17"/>
  <c r="M42" i="17"/>
  <c r="J42" i="17"/>
  <c r="I42" i="17"/>
  <c r="E42" i="17"/>
  <c r="D42" i="17"/>
  <c r="C42" i="17"/>
  <c r="B42" i="17"/>
  <c r="N41" i="17"/>
  <c r="M41" i="17"/>
  <c r="J41" i="17"/>
  <c r="I41" i="17"/>
  <c r="E41" i="17"/>
  <c r="D41" i="17"/>
  <c r="C41" i="17"/>
  <c r="B41" i="17"/>
  <c r="N40" i="17"/>
  <c r="M40" i="17"/>
  <c r="J40" i="17"/>
  <c r="I40" i="17"/>
  <c r="E40" i="17"/>
  <c r="D40" i="17"/>
  <c r="C40" i="17"/>
  <c r="B40" i="17"/>
  <c r="N39" i="17"/>
  <c r="M39" i="17"/>
  <c r="J39" i="17"/>
  <c r="I39" i="17"/>
  <c r="E39" i="17"/>
  <c r="D39" i="17"/>
  <c r="C39" i="17"/>
  <c r="B39" i="17"/>
  <c r="N38" i="17"/>
  <c r="M38" i="17"/>
  <c r="J38" i="17"/>
  <c r="I38" i="17"/>
  <c r="E38" i="17"/>
  <c r="D38" i="17"/>
  <c r="C38" i="17"/>
  <c r="B38" i="17"/>
  <c r="N37" i="17"/>
  <c r="M37" i="17"/>
  <c r="J37" i="17"/>
  <c r="I37" i="17"/>
  <c r="E37" i="17"/>
  <c r="D37" i="17"/>
  <c r="C37" i="17"/>
  <c r="B37" i="17"/>
  <c r="N36" i="17"/>
  <c r="M36" i="17"/>
  <c r="J36" i="17"/>
  <c r="I36" i="17"/>
  <c r="E36" i="17"/>
  <c r="D36" i="17"/>
  <c r="C36" i="17"/>
  <c r="B36" i="17"/>
  <c r="N35" i="17"/>
  <c r="M35" i="17"/>
  <c r="J35" i="17"/>
  <c r="I35" i="17"/>
  <c r="E35" i="17"/>
  <c r="D35" i="17"/>
  <c r="C35" i="17"/>
  <c r="B35" i="17"/>
  <c r="N34" i="17"/>
  <c r="M34" i="17"/>
  <c r="J34" i="17"/>
  <c r="I34" i="17"/>
  <c r="E34" i="17"/>
  <c r="D34" i="17"/>
  <c r="C34" i="17"/>
  <c r="B34" i="17"/>
  <c r="N33" i="17"/>
  <c r="M33" i="17"/>
  <c r="J33" i="17"/>
  <c r="I33" i="17"/>
  <c r="E33" i="17"/>
  <c r="D33" i="17"/>
  <c r="C33" i="17"/>
  <c r="B33" i="17"/>
  <c r="N32" i="17"/>
  <c r="M32" i="17"/>
  <c r="J32" i="17"/>
  <c r="I32" i="17"/>
  <c r="E32" i="17"/>
  <c r="D32" i="17"/>
  <c r="C32" i="17"/>
  <c r="B32" i="17"/>
  <c r="N31" i="17"/>
  <c r="M31" i="17"/>
  <c r="J31" i="17"/>
  <c r="I31" i="17"/>
  <c r="E31" i="17"/>
  <c r="D31" i="17"/>
  <c r="C31" i="17"/>
  <c r="B31" i="17"/>
  <c r="N30" i="17"/>
  <c r="M30" i="17"/>
  <c r="J30" i="17"/>
  <c r="I30" i="17"/>
  <c r="E30" i="17"/>
  <c r="D30" i="17"/>
  <c r="C30" i="17"/>
  <c r="B30" i="17"/>
  <c r="N29" i="17"/>
  <c r="M29" i="17"/>
  <c r="J29" i="17"/>
  <c r="I29" i="17"/>
  <c r="E29" i="17"/>
  <c r="D29" i="17"/>
  <c r="C29" i="17"/>
  <c r="B29" i="17"/>
  <c r="N28" i="17"/>
  <c r="M28" i="17"/>
  <c r="J28" i="17"/>
  <c r="I28" i="17"/>
  <c r="E28" i="17"/>
  <c r="D28" i="17"/>
  <c r="C28" i="17"/>
  <c r="B28" i="17"/>
  <c r="N27" i="17"/>
  <c r="M27" i="17"/>
  <c r="J27" i="17"/>
  <c r="I27" i="17"/>
  <c r="E27" i="17"/>
  <c r="D27" i="17"/>
  <c r="C27" i="17"/>
  <c r="B27" i="17"/>
  <c r="N26" i="17"/>
  <c r="M26" i="17"/>
  <c r="J26" i="17"/>
  <c r="I26" i="17"/>
  <c r="E26" i="17"/>
  <c r="D26" i="17"/>
  <c r="C26" i="17"/>
  <c r="B26" i="17"/>
  <c r="N25" i="17"/>
  <c r="M25" i="17"/>
  <c r="J25" i="17"/>
  <c r="I25" i="17"/>
  <c r="E25" i="17"/>
  <c r="D25" i="17"/>
  <c r="C25" i="17"/>
  <c r="B25" i="17"/>
  <c r="N24" i="17"/>
  <c r="M24" i="17"/>
  <c r="J24" i="17"/>
  <c r="I24" i="17"/>
  <c r="E24" i="17"/>
  <c r="D24" i="17"/>
  <c r="C24" i="17"/>
  <c r="B24" i="17"/>
  <c r="N23" i="17"/>
  <c r="M23" i="17"/>
  <c r="J23" i="17"/>
  <c r="I23" i="17"/>
  <c r="E23" i="17"/>
  <c r="D23" i="17"/>
  <c r="C23" i="17"/>
  <c r="B23" i="17"/>
  <c r="N22" i="17"/>
  <c r="M22" i="17"/>
  <c r="J22" i="17"/>
  <c r="I22" i="17"/>
  <c r="E22" i="17"/>
  <c r="D22" i="17"/>
  <c r="C22" i="17"/>
  <c r="B22" i="17"/>
  <c r="N21" i="17"/>
  <c r="M21" i="17"/>
  <c r="J21" i="17"/>
  <c r="I21" i="17"/>
  <c r="E21" i="17"/>
  <c r="D21" i="17"/>
  <c r="C21" i="17"/>
  <c r="B21" i="17"/>
  <c r="N20" i="17"/>
  <c r="M20" i="17"/>
  <c r="J20" i="17"/>
  <c r="I20" i="17"/>
  <c r="E20" i="17"/>
  <c r="D20" i="17"/>
  <c r="C20" i="17"/>
  <c r="B20" i="17"/>
  <c r="N19" i="17"/>
  <c r="M19" i="17"/>
  <c r="J19" i="17"/>
  <c r="I19" i="17"/>
  <c r="E19" i="17"/>
  <c r="D19" i="17"/>
  <c r="C19" i="17"/>
  <c r="B19" i="17"/>
  <c r="N18" i="17"/>
  <c r="M18" i="17"/>
  <c r="J18" i="17"/>
  <c r="I18" i="17"/>
  <c r="E18" i="17"/>
  <c r="D18" i="17"/>
  <c r="C18" i="17"/>
  <c r="B18" i="17"/>
  <c r="N17" i="17"/>
  <c r="M17" i="17"/>
  <c r="J17" i="17"/>
  <c r="I17" i="17"/>
  <c r="E17" i="17"/>
  <c r="D17" i="17"/>
  <c r="C17" i="17"/>
  <c r="B17" i="17"/>
  <c r="N16" i="17"/>
  <c r="M16" i="17"/>
  <c r="J16" i="17"/>
  <c r="I16" i="17"/>
  <c r="E16" i="17"/>
  <c r="D16" i="17"/>
  <c r="C16" i="17"/>
  <c r="B16" i="17"/>
  <c r="N15" i="17"/>
  <c r="M15" i="17"/>
  <c r="J15" i="17"/>
  <c r="I15" i="17"/>
  <c r="E15" i="17"/>
  <c r="D15" i="17"/>
  <c r="C15" i="17"/>
  <c r="B15" i="17"/>
  <c r="N14" i="17"/>
  <c r="M14" i="17"/>
  <c r="J14" i="17"/>
  <c r="I14" i="17"/>
  <c r="E14" i="17"/>
  <c r="D14" i="17"/>
  <c r="C14" i="17"/>
  <c r="B14" i="17"/>
  <c r="N13" i="17"/>
  <c r="M13" i="17"/>
  <c r="J13" i="17"/>
  <c r="I13" i="17"/>
  <c r="E13" i="17"/>
  <c r="D13" i="17"/>
  <c r="C13" i="17"/>
  <c r="B13" i="17"/>
  <c r="N12" i="17"/>
  <c r="M12" i="17"/>
  <c r="J12" i="17"/>
  <c r="I12" i="17"/>
  <c r="E12" i="17"/>
  <c r="D12" i="17"/>
  <c r="C12" i="17"/>
  <c r="B12" i="17"/>
  <c r="N11" i="17"/>
  <c r="M11" i="17"/>
  <c r="J11" i="17"/>
  <c r="I11" i="17"/>
  <c r="E11" i="17"/>
  <c r="D11" i="17"/>
  <c r="C11" i="17"/>
  <c r="B11" i="17"/>
  <c r="N10" i="17"/>
  <c r="M10" i="17"/>
  <c r="J10" i="17"/>
  <c r="I10" i="17"/>
  <c r="E10" i="17"/>
  <c r="D10" i="17"/>
  <c r="C10" i="17"/>
  <c r="B10" i="17"/>
  <c r="N9" i="17"/>
  <c r="M9" i="17"/>
  <c r="J9" i="17"/>
  <c r="I9" i="17"/>
  <c r="E9" i="17"/>
  <c r="D9" i="17"/>
  <c r="C9" i="17"/>
  <c r="B9" i="17"/>
  <c r="N8" i="17"/>
  <c r="M8" i="17"/>
  <c r="J8" i="17"/>
  <c r="I8" i="17"/>
  <c r="E8" i="17"/>
  <c r="D8" i="17"/>
  <c r="C8" i="17"/>
  <c r="B8" i="17"/>
  <c r="N7" i="17"/>
  <c r="M7" i="17"/>
  <c r="J7" i="17"/>
  <c r="I7" i="17"/>
  <c r="E7" i="17"/>
  <c r="D7" i="17"/>
  <c r="C7" i="17"/>
  <c r="B7" i="17"/>
  <c r="N6" i="17"/>
  <c r="M6" i="17"/>
  <c r="J6" i="17"/>
  <c r="I6" i="17"/>
  <c r="E6" i="17"/>
  <c r="D6" i="17"/>
  <c r="C6" i="17"/>
  <c r="B6" i="17"/>
  <c r="N5" i="17"/>
  <c r="M5" i="17"/>
  <c r="J5" i="17"/>
  <c r="I5" i="17"/>
  <c r="E5" i="17"/>
  <c r="D5" i="17"/>
  <c r="C5" i="17"/>
  <c r="B5" i="17"/>
  <c r="N4" i="17"/>
  <c r="M4" i="17"/>
  <c r="J4" i="17"/>
  <c r="I4" i="17"/>
  <c r="E4" i="17"/>
  <c r="D4" i="17"/>
  <c r="C4" i="17"/>
  <c r="B4" i="17"/>
  <c r="N3" i="17"/>
  <c r="M3" i="17"/>
  <c r="J3" i="17"/>
  <c r="I3" i="17"/>
  <c r="E3" i="17"/>
  <c r="D3" i="17"/>
  <c r="C3" i="17"/>
  <c r="B3" i="17"/>
  <c r="N2" i="17"/>
  <c r="M2" i="17"/>
  <c r="J2" i="17"/>
  <c r="I2" i="17"/>
  <c r="E2" i="17"/>
  <c r="D2" i="17"/>
  <c r="C2" i="17"/>
  <c r="B2" i="17"/>
  <c r="N46" i="16"/>
  <c r="M46" i="16"/>
  <c r="J46" i="16"/>
  <c r="I46" i="16"/>
  <c r="E46" i="16"/>
  <c r="D46" i="16"/>
  <c r="C46" i="16"/>
  <c r="B46" i="16"/>
  <c r="N45" i="16"/>
  <c r="M45" i="16"/>
  <c r="J45" i="16"/>
  <c r="I45" i="16"/>
  <c r="E45" i="16"/>
  <c r="D45" i="16"/>
  <c r="C45" i="16"/>
  <c r="B45" i="16"/>
  <c r="N44" i="16"/>
  <c r="M44" i="16"/>
  <c r="J44" i="16"/>
  <c r="I44" i="16"/>
  <c r="E44" i="16"/>
  <c r="D44" i="16"/>
  <c r="C44" i="16"/>
  <c r="B44" i="16"/>
  <c r="N43" i="16"/>
  <c r="M43" i="16"/>
  <c r="J43" i="16"/>
  <c r="I43" i="16"/>
  <c r="E43" i="16"/>
  <c r="D43" i="16"/>
  <c r="C43" i="16"/>
  <c r="B43" i="16"/>
  <c r="N42" i="16"/>
  <c r="M42" i="16"/>
  <c r="J42" i="16"/>
  <c r="I42" i="16"/>
  <c r="E42" i="16"/>
  <c r="D42" i="16"/>
  <c r="C42" i="16"/>
  <c r="B42" i="16"/>
  <c r="N41" i="16"/>
  <c r="M41" i="16"/>
  <c r="J41" i="16"/>
  <c r="I41" i="16"/>
  <c r="E41" i="16"/>
  <c r="D41" i="16"/>
  <c r="C41" i="16"/>
  <c r="B41" i="16"/>
  <c r="N40" i="16"/>
  <c r="M40" i="16"/>
  <c r="J40" i="16"/>
  <c r="I40" i="16"/>
  <c r="E40" i="16"/>
  <c r="D40" i="16"/>
  <c r="C40" i="16"/>
  <c r="B40" i="16"/>
  <c r="N39" i="16"/>
  <c r="M39" i="16"/>
  <c r="J39" i="16"/>
  <c r="I39" i="16"/>
  <c r="E39" i="16"/>
  <c r="D39" i="16"/>
  <c r="C39" i="16"/>
  <c r="B39" i="16"/>
  <c r="N38" i="16"/>
  <c r="M38" i="16"/>
  <c r="J38" i="16"/>
  <c r="I38" i="16"/>
  <c r="E38" i="16"/>
  <c r="D38" i="16"/>
  <c r="C38" i="16"/>
  <c r="B38" i="16"/>
  <c r="N37" i="16"/>
  <c r="M37" i="16"/>
  <c r="J37" i="16"/>
  <c r="I37" i="16"/>
  <c r="E37" i="16"/>
  <c r="D37" i="16"/>
  <c r="C37" i="16"/>
  <c r="B37" i="16"/>
  <c r="N36" i="16"/>
  <c r="M36" i="16"/>
  <c r="J36" i="16"/>
  <c r="I36" i="16"/>
  <c r="E36" i="16"/>
  <c r="D36" i="16"/>
  <c r="C36" i="16"/>
  <c r="B36" i="16"/>
  <c r="N35" i="16"/>
  <c r="M35" i="16"/>
  <c r="J35" i="16"/>
  <c r="I35" i="16"/>
  <c r="E35" i="16"/>
  <c r="D35" i="16"/>
  <c r="C35" i="16"/>
  <c r="B35" i="16"/>
  <c r="N34" i="16"/>
  <c r="M34" i="16"/>
  <c r="J34" i="16"/>
  <c r="I34" i="16"/>
  <c r="E34" i="16"/>
  <c r="D34" i="16"/>
  <c r="C34" i="16"/>
  <c r="B34" i="16"/>
  <c r="N33" i="16"/>
  <c r="M33" i="16"/>
  <c r="J33" i="16"/>
  <c r="I33" i="16"/>
  <c r="E33" i="16"/>
  <c r="D33" i="16"/>
  <c r="C33" i="16"/>
  <c r="B33" i="16"/>
  <c r="N32" i="16"/>
  <c r="M32" i="16"/>
  <c r="J32" i="16"/>
  <c r="I32" i="16"/>
  <c r="E32" i="16"/>
  <c r="D32" i="16"/>
  <c r="C32" i="16"/>
  <c r="B32" i="16"/>
  <c r="N31" i="16"/>
  <c r="M31" i="16"/>
  <c r="J31" i="16"/>
  <c r="I31" i="16"/>
  <c r="E31" i="16"/>
  <c r="D31" i="16"/>
  <c r="C31" i="16"/>
  <c r="B31" i="16"/>
  <c r="N30" i="16"/>
  <c r="M30" i="16"/>
  <c r="J30" i="16"/>
  <c r="I30" i="16"/>
  <c r="E30" i="16"/>
  <c r="D30" i="16"/>
  <c r="C30" i="16"/>
  <c r="B30" i="16"/>
  <c r="N29" i="16"/>
  <c r="M29" i="16"/>
  <c r="J29" i="16"/>
  <c r="I29" i="16"/>
  <c r="E29" i="16"/>
  <c r="D29" i="16"/>
  <c r="C29" i="16"/>
  <c r="B29" i="16"/>
  <c r="N28" i="16"/>
  <c r="M28" i="16"/>
  <c r="J28" i="16"/>
  <c r="I28" i="16"/>
  <c r="E28" i="16"/>
  <c r="D28" i="16"/>
  <c r="C28" i="16"/>
  <c r="B28" i="16"/>
  <c r="N27" i="16"/>
  <c r="M27" i="16"/>
  <c r="J27" i="16"/>
  <c r="I27" i="16"/>
  <c r="E27" i="16"/>
  <c r="D27" i="16"/>
  <c r="C27" i="16"/>
  <c r="B27" i="16"/>
  <c r="N26" i="16"/>
  <c r="M26" i="16"/>
  <c r="J26" i="16"/>
  <c r="I26" i="16"/>
  <c r="E26" i="16"/>
  <c r="D26" i="16"/>
  <c r="C26" i="16"/>
  <c r="B26" i="16"/>
  <c r="N25" i="16"/>
  <c r="M25" i="16"/>
  <c r="J25" i="16"/>
  <c r="I25" i="16"/>
  <c r="E25" i="16"/>
  <c r="D25" i="16"/>
  <c r="C25" i="16"/>
  <c r="B25" i="16"/>
  <c r="N24" i="16"/>
  <c r="M24" i="16"/>
  <c r="J24" i="16"/>
  <c r="I24" i="16"/>
  <c r="E24" i="16"/>
  <c r="D24" i="16"/>
  <c r="C24" i="16"/>
  <c r="B24" i="16"/>
  <c r="N23" i="16"/>
  <c r="M23" i="16"/>
  <c r="J23" i="16"/>
  <c r="I23" i="16"/>
  <c r="E23" i="16"/>
  <c r="D23" i="16"/>
  <c r="C23" i="16"/>
  <c r="B23" i="16"/>
  <c r="N22" i="16"/>
  <c r="M22" i="16"/>
  <c r="J22" i="16"/>
  <c r="I22" i="16"/>
  <c r="E22" i="16"/>
  <c r="D22" i="16"/>
  <c r="C22" i="16"/>
  <c r="B22" i="16"/>
  <c r="N21" i="16"/>
  <c r="M21" i="16"/>
  <c r="J21" i="16"/>
  <c r="I21" i="16"/>
  <c r="E21" i="16"/>
  <c r="D21" i="16"/>
  <c r="C21" i="16"/>
  <c r="B21" i="16"/>
  <c r="N20" i="16"/>
  <c r="M20" i="16"/>
  <c r="J20" i="16"/>
  <c r="I20" i="16"/>
  <c r="E20" i="16"/>
  <c r="D20" i="16"/>
  <c r="C20" i="16"/>
  <c r="B20" i="16"/>
  <c r="N19" i="16"/>
  <c r="M19" i="16"/>
  <c r="J19" i="16"/>
  <c r="I19" i="16"/>
  <c r="E19" i="16"/>
  <c r="D19" i="16"/>
  <c r="C19" i="16"/>
  <c r="B19" i="16"/>
  <c r="N18" i="16"/>
  <c r="M18" i="16"/>
  <c r="J18" i="16"/>
  <c r="I18" i="16"/>
  <c r="E18" i="16"/>
  <c r="D18" i="16"/>
  <c r="C18" i="16"/>
  <c r="B18" i="16"/>
  <c r="N17" i="16"/>
  <c r="M17" i="16"/>
  <c r="J17" i="16"/>
  <c r="I17" i="16"/>
  <c r="E17" i="16"/>
  <c r="D17" i="16"/>
  <c r="C17" i="16"/>
  <c r="B17" i="16"/>
  <c r="N16" i="16"/>
  <c r="M16" i="16"/>
  <c r="J16" i="16"/>
  <c r="I16" i="16"/>
  <c r="E16" i="16"/>
  <c r="D16" i="16"/>
  <c r="C16" i="16"/>
  <c r="B16" i="16"/>
  <c r="N15" i="16"/>
  <c r="M15" i="16"/>
  <c r="J15" i="16"/>
  <c r="I15" i="16"/>
  <c r="E15" i="16"/>
  <c r="D15" i="16"/>
  <c r="C15" i="16"/>
  <c r="B15" i="16"/>
  <c r="N14" i="16"/>
  <c r="M14" i="16"/>
  <c r="J14" i="16"/>
  <c r="I14" i="16"/>
  <c r="E14" i="16"/>
  <c r="D14" i="16"/>
  <c r="C14" i="16"/>
  <c r="B14" i="16"/>
  <c r="N13" i="16"/>
  <c r="M13" i="16"/>
  <c r="J13" i="16"/>
  <c r="I13" i="16"/>
  <c r="E13" i="16"/>
  <c r="D13" i="16"/>
  <c r="C13" i="16"/>
  <c r="B13" i="16"/>
  <c r="N12" i="16"/>
  <c r="M12" i="16"/>
  <c r="J12" i="16"/>
  <c r="I12" i="16"/>
  <c r="E12" i="16"/>
  <c r="D12" i="16"/>
  <c r="C12" i="16"/>
  <c r="B12" i="16"/>
  <c r="N11" i="16"/>
  <c r="M11" i="16"/>
  <c r="J11" i="16"/>
  <c r="I11" i="16"/>
  <c r="E11" i="16"/>
  <c r="D11" i="16"/>
  <c r="C11" i="16"/>
  <c r="B11" i="16"/>
  <c r="N10" i="16"/>
  <c r="M10" i="16"/>
  <c r="J10" i="16"/>
  <c r="I10" i="16"/>
  <c r="E10" i="16"/>
  <c r="D10" i="16"/>
  <c r="C10" i="16"/>
  <c r="B10" i="16"/>
  <c r="N9" i="16"/>
  <c r="M9" i="16"/>
  <c r="J9" i="16"/>
  <c r="I9" i="16"/>
  <c r="E9" i="16"/>
  <c r="D9" i="16"/>
  <c r="C9" i="16"/>
  <c r="B9" i="16"/>
  <c r="N8" i="16"/>
  <c r="M8" i="16"/>
  <c r="J8" i="16"/>
  <c r="I8" i="16"/>
  <c r="E8" i="16"/>
  <c r="D8" i="16"/>
  <c r="C8" i="16"/>
  <c r="B8" i="16"/>
  <c r="N7" i="16"/>
  <c r="M7" i="16"/>
  <c r="J7" i="16"/>
  <c r="I7" i="16"/>
  <c r="E7" i="16"/>
  <c r="D7" i="16"/>
  <c r="C7" i="16"/>
  <c r="B7" i="16"/>
  <c r="N6" i="16"/>
  <c r="M6" i="16"/>
  <c r="J6" i="16"/>
  <c r="I6" i="16"/>
  <c r="E6" i="16"/>
  <c r="D6" i="16"/>
  <c r="C6" i="16"/>
  <c r="B6" i="16"/>
  <c r="N5" i="16"/>
  <c r="M5" i="16"/>
  <c r="J5" i="16"/>
  <c r="I5" i="16"/>
  <c r="E5" i="16"/>
  <c r="D5" i="16"/>
  <c r="C5" i="16"/>
  <c r="B5" i="16"/>
  <c r="N4" i="16"/>
  <c r="M4" i="16"/>
  <c r="J4" i="16"/>
  <c r="I4" i="16"/>
  <c r="E4" i="16"/>
  <c r="D4" i="16"/>
  <c r="C4" i="16"/>
  <c r="B4" i="16"/>
  <c r="N3" i="16"/>
  <c r="M3" i="16"/>
  <c r="J3" i="16"/>
  <c r="I3" i="16"/>
  <c r="E3" i="16"/>
  <c r="D3" i="16"/>
  <c r="C3" i="16"/>
  <c r="B3" i="16"/>
  <c r="N2" i="16"/>
  <c r="M2" i="16"/>
  <c r="J2" i="16"/>
  <c r="I2" i="16"/>
  <c r="E2" i="16"/>
  <c r="D2" i="16"/>
  <c r="C2" i="16"/>
  <c r="B2" i="16"/>
  <c r="N47" i="15"/>
  <c r="M47" i="15"/>
  <c r="J47" i="15"/>
  <c r="I47" i="15"/>
  <c r="E47" i="15"/>
  <c r="D47" i="15"/>
  <c r="C47" i="15"/>
  <c r="B47" i="15"/>
  <c r="N46" i="15"/>
  <c r="M46" i="15"/>
  <c r="J46" i="15"/>
  <c r="I46" i="15"/>
  <c r="E46" i="15"/>
  <c r="D46" i="15"/>
  <c r="C46" i="15"/>
  <c r="B46" i="15"/>
  <c r="N45" i="15"/>
  <c r="M45" i="15"/>
  <c r="J45" i="15"/>
  <c r="I45" i="15"/>
  <c r="E45" i="15"/>
  <c r="D45" i="15"/>
  <c r="C45" i="15"/>
  <c r="B45" i="15"/>
  <c r="N44" i="15"/>
  <c r="M44" i="15"/>
  <c r="J44" i="15"/>
  <c r="I44" i="15"/>
  <c r="E44" i="15"/>
  <c r="D44" i="15"/>
  <c r="C44" i="15"/>
  <c r="B44" i="15"/>
  <c r="N43" i="15"/>
  <c r="M43" i="15"/>
  <c r="J43" i="15"/>
  <c r="I43" i="15"/>
  <c r="E43" i="15"/>
  <c r="D43" i="15"/>
  <c r="C43" i="15"/>
  <c r="B43" i="15"/>
  <c r="N42" i="15"/>
  <c r="M42" i="15"/>
  <c r="J42" i="15"/>
  <c r="I42" i="15"/>
  <c r="E42" i="15"/>
  <c r="D42" i="15"/>
  <c r="C42" i="15"/>
  <c r="B42" i="15"/>
  <c r="N41" i="15"/>
  <c r="M41" i="15"/>
  <c r="J41" i="15"/>
  <c r="I41" i="15"/>
  <c r="E41" i="15"/>
  <c r="D41" i="15"/>
  <c r="C41" i="15"/>
  <c r="B41" i="15"/>
  <c r="N40" i="15"/>
  <c r="M40" i="15"/>
  <c r="J40" i="15"/>
  <c r="I40" i="15"/>
  <c r="E40" i="15"/>
  <c r="D40" i="15"/>
  <c r="C40" i="15"/>
  <c r="B40" i="15"/>
  <c r="N39" i="15"/>
  <c r="M39" i="15"/>
  <c r="J39" i="15"/>
  <c r="I39" i="15"/>
  <c r="E39" i="15"/>
  <c r="D39" i="15"/>
  <c r="C39" i="15"/>
  <c r="B39" i="15"/>
  <c r="N38" i="15"/>
  <c r="M38" i="15"/>
  <c r="J38" i="15"/>
  <c r="I38" i="15"/>
  <c r="E38" i="15"/>
  <c r="D38" i="15"/>
  <c r="C38" i="15"/>
  <c r="B38" i="15"/>
  <c r="N37" i="15"/>
  <c r="M37" i="15"/>
  <c r="J37" i="15"/>
  <c r="I37" i="15"/>
  <c r="E37" i="15"/>
  <c r="D37" i="15"/>
  <c r="C37" i="15"/>
  <c r="B37" i="15"/>
  <c r="N36" i="15"/>
  <c r="M36" i="15"/>
  <c r="J36" i="15"/>
  <c r="I36" i="15"/>
  <c r="E36" i="15"/>
  <c r="D36" i="15"/>
  <c r="C36" i="15"/>
  <c r="B36" i="15"/>
  <c r="N35" i="15"/>
  <c r="M35" i="15"/>
  <c r="J35" i="15"/>
  <c r="I35" i="15"/>
  <c r="E35" i="15"/>
  <c r="D35" i="15"/>
  <c r="C35" i="15"/>
  <c r="B35" i="15"/>
  <c r="N34" i="15"/>
  <c r="M34" i="15"/>
  <c r="J34" i="15"/>
  <c r="I34" i="15"/>
  <c r="E34" i="15"/>
  <c r="D34" i="15"/>
  <c r="C34" i="15"/>
  <c r="B34" i="15"/>
  <c r="N33" i="15"/>
  <c r="M33" i="15"/>
  <c r="J33" i="15"/>
  <c r="I33" i="15"/>
  <c r="E33" i="15"/>
  <c r="D33" i="15"/>
  <c r="C33" i="15"/>
  <c r="B33" i="15"/>
  <c r="N32" i="15"/>
  <c r="M32" i="15"/>
  <c r="J32" i="15"/>
  <c r="I32" i="15"/>
  <c r="E32" i="15"/>
  <c r="D32" i="15"/>
  <c r="C32" i="15"/>
  <c r="B32" i="15"/>
  <c r="N31" i="15"/>
  <c r="M31" i="15"/>
  <c r="J31" i="15"/>
  <c r="I31" i="15"/>
  <c r="E31" i="15"/>
  <c r="D31" i="15"/>
  <c r="C31" i="15"/>
  <c r="B31" i="15"/>
  <c r="N30" i="15"/>
  <c r="M30" i="15"/>
  <c r="J30" i="15"/>
  <c r="I30" i="15"/>
  <c r="E30" i="15"/>
  <c r="D30" i="15"/>
  <c r="C30" i="15"/>
  <c r="B30" i="15"/>
  <c r="N29" i="15"/>
  <c r="M29" i="15"/>
  <c r="J29" i="15"/>
  <c r="I29" i="15"/>
  <c r="E29" i="15"/>
  <c r="D29" i="15"/>
  <c r="C29" i="15"/>
  <c r="B29" i="15"/>
  <c r="N28" i="15"/>
  <c r="M28" i="15"/>
  <c r="J28" i="15"/>
  <c r="I28" i="15"/>
  <c r="E28" i="15"/>
  <c r="D28" i="15"/>
  <c r="C28" i="15"/>
  <c r="B28" i="15"/>
  <c r="N27" i="15"/>
  <c r="M27" i="15"/>
  <c r="J27" i="15"/>
  <c r="I27" i="15"/>
  <c r="E27" i="15"/>
  <c r="D27" i="15"/>
  <c r="C27" i="15"/>
  <c r="B27" i="15"/>
  <c r="N26" i="15"/>
  <c r="M26" i="15"/>
  <c r="J26" i="15"/>
  <c r="I26" i="15"/>
  <c r="E26" i="15"/>
  <c r="D26" i="15"/>
  <c r="C26" i="15"/>
  <c r="B26" i="15"/>
  <c r="N25" i="15"/>
  <c r="M25" i="15"/>
  <c r="J25" i="15"/>
  <c r="I25" i="15"/>
  <c r="E25" i="15"/>
  <c r="D25" i="15"/>
  <c r="C25" i="15"/>
  <c r="B25" i="15"/>
  <c r="N24" i="15"/>
  <c r="M24" i="15"/>
  <c r="J24" i="15"/>
  <c r="I24" i="15"/>
  <c r="E24" i="15"/>
  <c r="D24" i="15"/>
  <c r="C24" i="15"/>
  <c r="B24" i="15"/>
  <c r="N23" i="15"/>
  <c r="M23" i="15"/>
  <c r="J23" i="15"/>
  <c r="I23" i="15"/>
  <c r="E23" i="15"/>
  <c r="D23" i="15"/>
  <c r="C23" i="15"/>
  <c r="B23" i="15"/>
  <c r="N22" i="15"/>
  <c r="M22" i="15"/>
  <c r="J22" i="15"/>
  <c r="I22" i="15"/>
  <c r="E22" i="15"/>
  <c r="D22" i="15"/>
  <c r="C22" i="15"/>
  <c r="B22" i="15"/>
  <c r="N21" i="15"/>
  <c r="M21" i="15"/>
  <c r="J21" i="15"/>
  <c r="I21" i="15"/>
  <c r="E21" i="15"/>
  <c r="D21" i="15"/>
  <c r="C21" i="15"/>
  <c r="B21" i="15"/>
  <c r="N20" i="15"/>
  <c r="M20" i="15"/>
  <c r="J20" i="15"/>
  <c r="I20" i="15"/>
  <c r="E20" i="15"/>
  <c r="D20" i="15"/>
  <c r="C20" i="15"/>
  <c r="B20" i="15"/>
  <c r="N19" i="15"/>
  <c r="M19" i="15"/>
  <c r="J19" i="15"/>
  <c r="I19" i="15"/>
  <c r="E19" i="15"/>
  <c r="D19" i="15"/>
  <c r="C19" i="15"/>
  <c r="B19" i="15"/>
  <c r="N18" i="15"/>
  <c r="M18" i="15"/>
  <c r="J18" i="15"/>
  <c r="I18" i="15"/>
  <c r="E18" i="15"/>
  <c r="D18" i="15"/>
  <c r="C18" i="15"/>
  <c r="B18" i="15"/>
  <c r="N17" i="15"/>
  <c r="M17" i="15"/>
  <c r="J17" i="15"/>
  <c r="I17" i="15"/>
  <c r="E17" i="15"/>
  <c r="D17" i="15"/>
  <c r="C17" i="15"/>
  <c r="B17" i="15"/>
  <c r="N16" i="15"/>
  <c r="M16" i="15"/>
  <c r="J16" i="15"/>
  <c r="I16" i="15"/>
  <c r="E16" i="15"/>
  <c r="D16" i="15"/>
  <c r="C16" i="15"/>
  <c r="B16" i="15"/>
  <c r="N15" i="15"/>
  <c r="M15" i="15"/>
  <c r="J15" i="15"/>
  <c r="I15" i="15"/>
  <c r="E15" i="15"/>
  <c r="D15" i="15"/>
  <c r="C15" i="15"/>
  <c r="B15" i="15"/>
  <c r="N14" i="15"/>
  <c r="M14" i="15"/>
  <c r="J14" i="15"/>
  <c r="I14" i="15"/>
  <c r="E14" i="15"/>
  <c r="D14" i="15"/>
  <c r="C14" i="15"/>
  <c r="B14" i="15"/>
  <c r="N13" i="15"/>
  <c r="M13" i="15"/>
  <c r="J13" i="15"/>
  <c r="I13" i="15"/>
  <c r="E13" i="15"/>
  <c r="D13" i="15"/>
  <c r="C13" i="15"/>
  <c r="B13" i="15"/>
  <c r="N12" i="15"/>
  <c r="M12" i="15"/>
  <c r="J12" i="15"/>
  <c r="I12" i="15"/>
  <c r="E12" i="15"/>
  <c r="D12" i="15"/>
  <c r="C12" i="15"/>
  <c r="B12" i="15"/>
  <c r="N11" i="15"/>
  <c r="M11" i="15"/>
  <c r="J11" i="15"/>
  <c r="I11" i="15"/>
  <c r="E11" i="15"/>
  <c r="D11" i="15"/>
  <c r="C11" i="15"/>
  <c r="B11" i="15"/>
  <c r="N10" i="15"/>
  <c r="M10" i="15"/>
  <c r="J10" i="15"/>
  <c r="I10" i="15"/>
  <c r="E10" i="15"/>
  <c r="D10" i="15"/>
  <c r="C10" i="15"/>
  <c r="B10" i="15"/>
  <c r="N9" i="15"/>
  <c r="M9" i="15"/>
  <c r="J9" i="15"/>
  <c r="I9" i="15"/>
  <c r="E9" i="15"/>
  <c r="D9" i="15"/>
  <c r="C9" i="15"/>
  <c r="B9" i="15"/>
  <c r="N8" i="15"/>
  <c r="M8" i="15"/>
  <c r="J8" i="15"/>
  <c r="I8" i="15"/>
  <c r="E8" i="15"/>
  <c r="D8" i="15"/>
  <c r="C8" i="15"/>
  <c r="B8" i="15"/>
  <c r="N7" i="15"/>
  <c r="M7" i="15"/>
  <c r="J7" i="15"/>
  <c r="I7" i="15"/>
  <c r="E7" i="15"/>
  <c r="D7" i="15"/>
  <c r="C7" i="15"/>
  <c r="B7" i="15"/>
  <c r="N6" i="15"/>
  <c r="M6" i="15"/>
  <c r="J6" i="15"/>
  <c r="I6" i="15"/>
  <c r="E6" i="15"/>
  <c r="D6" i="15"/>
  <c r="C6" i="15"/>
  <c r="B6" i="15"/>
  <c r="N5" i="15"/>
  <c r="M5" i="15"/>
  <c r="J5" i="15"/>
  <c r="I5" i="15"/>
  <c r="E5" i="15"/>
  <c r="D5" i="15"/>
  <c r="C5" i="15"/>
  <c r="B5" i="15"/>
  <c r="N4" i="15"/>
  <c r="M4" i="15"/>
  <c r="J4" i="15"/>
  <c r="I4" i="15"/>
  <c r="E4" i="15"/>
  <c r="D4" i="15"/>
  <c r="C4" i="15"/>
  <c r="B4" i="15"/>
  <c r="N3" i="15"/>
  <c r="M3" i="15"/>
  <c r="J3" i="15"/>
  <c r="I3" i="15"/>
  <c r="E3" i="15"/>
  <c r="D3" i="15"/>
  <c r="C3" i="15"/>
  <c r="B3" i="15"/>
  <c r="N2" i="15"/>
  <c r="M2" i="15"/>
  <c r="J2" i="15"/>
  <c r="I2" i="15"/>
  <c r="E2" i="15"/>
  <c r="D2" i="15"/>
  <c r="C2" i="15"/>
  <c r="B2" i="15"/>
  <c r="N44" i="14"/>
  <c r="M44" i="14"/>
  <c r="J44" i="14"/>
  <c r="I44" i="14"/>
  <c r="E44" i="14"/>
  <c r="D44" i="14"/>
  <c r="C44" i="14"/>
  <c r="B44" i="14"/>
  <c r="N43" i="14"/>
  <c r="M43" i="14"/>
  <c r="J43" i="14"/>
  <c r="I43" i="14"/>
  <c r="E43" i="14"/>
  <c r="D43" i="14"/>
  <c r="C43" i="14"/>
  <c r="B43" i="14"/>
  <c r="N42" i="14"/>
  <c r="M42" i="14"/>
  <c r="J42" i="14"/>
  <c r="I42" i="14"/>
  <c r="E42" i="14"/>
  <c r="D42" i="14"/>
  <c r="C42" i="14"/>
  <c r="B42" i="14"/>
  <c r="N41" i="14"/>
  <c r="M41" i="14"/>
  <c r="J41" i="14"/>
  <c r="I41" i="14"/>
  <c r="E41" i="14"/>
  <c r="D41" i="14"/>
  <c r="C41" i="14"/>
  <c r="B41" i="14"/>
  <c r="N40" i="14"/>
  <c r="M40" i="14"/>
  <c r="J40" i="14"/>
  <c r="I40" i="14"/>
  <c r="E40" i="14"/>
  <c r="D40" i="14"/>
  <c r="C40" i="14"/>
  <c r="B40" i="14"/>
  <c r="N39" i="14"/>
  <c r="M39" i="14"/>
  <c r="J39" i="14"/>
  <c r="I39" i="14"/>
  <c r="E39" i="14"/>
  <c r="D39" i="14"/>
  <c r="C39" i="14"/>
  <c r="B39" i="14"/>
  <c r="N38" i="14"/>
  <c r="M38" i="14"/>
  <c r="J38" i="14"/>
  <c r="I38" i="14"/>
  <c r="E38" i="14"/>
  <c r="D38" i="14"/>
  <c r="C38" i="14"/>
  <c r="B38" i="14"/>
  <c r="N37" i="14"/>
  <c r="M37" i="14"/>
  <c r="J37" i="14"/>
  <c r="I37" i="14"/>
  <c r="E37" i="14"/>
  <c r="D37" i="14"/>
  <c r="C37" i="14"/>
  <c r="B37" i="14"/>
  <c r="N36" i="14"/>
  <c r="M36" i="14"/>
  <c r="J36" i="14"/>
  <c r="I36" i="14"/>
  <c r="E36" i="14"/>
  <c r="D36" i="14"/>
  <c r="C36" i="14"/>
  <c r="B36" i="14"/>
  <c r="N35" i="14"/>
  <c r="M35" i="14"/>
  <c r="J35" i="14"/>
  <c r="I35" i="14"/>
  <c r="E35" i="14"/>
  <c r="D35" i="14"/>
  <c r="C35" i="14"/>
  <c r="B35" i="14"/>
  <c r="N34" i="14"/>
  <c r="M34" i="14"/>
  <c r="J34" i="14"/>
  <c r="I34" i="14"/>
  <c r="E34" i="14"/>
  <c r="D34" i="14"/>
  <c r="C34" i="14"/>
  <c r="B34" i="14"/>
  <c r="N33" i="14"/>
  <c r="M33" i="14"/>
  <c r="J33" i="14"/>
  <c r="I33" i="14"/>
  <c r="E33" i="14"/>
  <c r="D33" i="14"/>
  <c r="C33" i="14"/>
  <c r="B33" i="14"/>
  <c r="N32" i="14"/>
  <c r="M32" i="14"/>
  <c r="J32" i="14"/>
  <c r="I32" i="14"/>
  <c r="E32" i="14"/>
  <c r="D32" i="14"/>
  <c r="C32" i="14"/>
  <c r="B32" i="14"/>
  <c r="N31" i="14"/>
  <c r="M31" i="14"/>
  <c r="J31" i="14"/>
  <c r="I31" i="14"/>
  <c r="E31" i="14"/>
  <c r="D31" i="14"/>
  <c r="C31" i="14"/>
  <c r="B31" i="14"/>
  <c r="N30" i="14"/>
  <c r="M30" i="14"/>
  <c r="J30" i="14"/>
  <c r="I30" i="14"/>
  <c r="E30" i="14"/>
  <c r="D30" i="14"/>
  <c r="C30" i="14"/>
  <c r="B30" i="14"/>
  <c r="N29" i="14"/>
  <c r="M29" i="14"/>
  <c r="J29" i="14"/>
  <c r="I29" i="14"/>
  <c r="E29" i="14"/>
  <c r="D29" i="14"/>
  <c r="C29" i="14"/>
  <c r="B29" i="14"/>
  <c r="N28" i="14"/>
  <c r="M28" i="14"/>
  <c r="J28" i="14"/>
  <c r="I28" i="14"/>
  <c r="E28" i="14"/>
  <c r="D28" i="14"/>
  <c r="C28" i="14"/>
  <c r="B28" i="14"/>
  <c r="N27" i="14"/>
  <c r="M27" i="14"/>
  <c r="J27" i="14"/>
  <c r="I27" i="14"/>
  <c r="E27" i="14"/>
  <c r="D27" i="14"/>
  <c r="C27" i="14"/>
  <c r="B27" i="14"/>
  <c r="N26" i="14"/>
  <c r="M26" i="14"/>
  <c r="J26" i="14"/>
  <c r="I26" i="14"/>
  <c r="E26" i="14"/>
  <c r="D26" i="14"/>
  <c r="C26" i="14"/>
  <c r="B26" i="14"/>
  <c r="N25" i="14"/>
  <c r="M25" i="14"/>
  <c r="J25" i="14"/>
  <c r="I25" i="14"/>
  <c r="E25" i="14"/>
  <c r="D25" i="14"/>
  <c r="C25" i="14"/>
  <c r="B25" i="14"/>
  <c r="N24" i="14"/>
  <c r="M24" i="14"/>
  <c r="J24" i="14"/>
  <c r="I24" i="14"/>
  <c r="E24" i="14"/>
  <c r="D24" i="14"/>
  <c r="C24" i="14"/>
  <c r="B24" i="14"/>
  <c r="N23" i="14"/>
  <c r="M23" i="14"/>
  <c r="J23" i="14"/>
  <c r="I23" i="14"/>
  <c r="E23" i="14"/>
  <c r="D23" i="14"/>
  <c r="C23" i="14"/>
  <c r="B23" i="14"/>
  <c r="N22" i="14"/>
  <c r="M22" i="14"/>
  <c r="J22" i="14"/>
  <c r="I22" i="14"/>
  <c r="E22" i="14"/>
  <c r="D22" i="14"/>
  <c r="C22" i="14"/>
  <c r="B22" i="14"/>
  <c r="N21" i="14"/>
  <c r="M21" i="14"/>
  <c r="J21" i="14"/>
  <c r="I21" i="14"/>
  <c r="E21" i="14"/>
  <c r="D21" i="14"/>
  <c r="C21" i="14"/>
  <c r="B21" i="14"/>
  <c r="N20" i="14"/>
  <c r="M20" i="14"/>
  <c r="J20" i="14"/>
  <c r="I20" i="14"/>
  <c r="E20" i="14"/>
  <c r="D20" i="14"/>
  <c r="C20" i="14"/>
  <c r="B20" i="14"/>
  <c r="N19" i="14"/>
  <c r="M19" i="14"/>
  <c r="J19" i="14"/>
  <c r="I19" i="14"/>
  <c r="E19" i="14"/>
  <c r="D19" i="14"/>
  <c r="C19" i="14"/>
  <c r="B19" i="14"/>
  <c r="N18" i="14"/>
  <c r="M18" i="14"/>
  <c r="J18" i="14"/>
  <c r="I18" i="14"/>
  <c r="E18" i="14"/>
  <c r="D18" i="14"/>
  <c r="C18" i="14"/>
  <c r="B18" i="14"/>
  <c r="N17" i="14"/>
  <c r="M17" i="14"/>
  <c r="J17" i="14"/>
  <c r="I17" i="14"/>
  <c r="E17" i="14"/>
  <c r="D17" i="14"/>
  <c r="C17" i="14"/>
  <c r="B17" i="14"/>
  <c r="N16" i="14"/>
  <c r="M16" i="14"/>
  <c r="J16" i="14"/>
  <c r="I16" i="14"/>
  <c r="E16" i="14"/>
  <c r="D16" i="14"/>
  <c r="C16" i="14"/>
  <c r="B16" i="14"/>
  <c r="N15" i="14"/>
  <c r="M15" i="14"/>
  <c r="J15" i="14"/>
  <c r="I15" i="14"/>
  <c r="E15" i="14"/>
  <c r="D15" i="14"/>
  <c r="C15" i="14"/>
  <c r="B15" i="14"/>
  <c r="N14" i="14"/>
  <c r="M14" i="14"/>
  <c r="J14" i="14"/>
  <c r="I14" i="14"/>
  <c r="E14" i="14"/>
  <c r="D14" i="14"/>
  <c r="C14" i="14"/>
  <c r="B14" i="14"/>
  <c r="N13" i="14"/>
  <c r="M13" i="14"/>
  <c r="J13" i="14"/>
  <c r="I13" i="14"/>
  <c r="E13" i="14"/>
  <c r="D13" i="14"/>
  <c r="C13" i="14"/>
  <c r="B13" i="14"/>
  <c r="N12" i="14"/>
  <c r="M12" i="14"/>
  <c r="J12" i="14"/>
  <c r="I12" i="14"/>
  <c r="E12" i="14"/>
  <c r="D12" i="14"/>
  <c r="C12" i="14"/>
  <c r="B12" i="14"/>
  <c r="N11" i="14"/>
  <c r="M11" i="14"/>
  <c r="J11" i="14"/>
  <c r="I11" i="14"/>
  <c r="E11" i="14"/>
  <c r="D11" i="14"/>
  <c r="C11" i="14"/>
  <c r="B11" i="14"/>
  <c r="N10" i="14"/>
  <c r="M10" i="14"/>
  <c r="J10" i="14"/>
  <c r="I10" i="14"/>
  <c r="E10" i="14"/>
  <c r="D10" i="14"/>
  <c r="C10" i="14"/>
  <c r="B10" i="14"/>
  <c r="N9" i="14"/>
  <c r="M9" i="14"/>
  <c r="J9" i="14"/>
  <c r="I9" i="14"/>
  <c r="E9" i="14"/>
  <c r="D9" i="14"/>
  <c r="C9" i="14"/>
  <c r="B9" i="14"/>
  <c r="N8" i="14"/>
  <c r="M8" i="14"/>
  <c r="J8" i="14"/>
  <c r="I8" i="14"/>
  <c r="E8" i="14"/>
  <c r="D8" i="14"/>
  <c r="C8" i="14"/>
  <c r="B8" i="14"/>
  <c r="N7" i="14"/>
  <c r="M7" i="14"/>
  <c r="J7" i="14"/>
  <c r="I7" i="14"/>
  <c r="E7" i="14"/>
  <c r="D7" i="14"/>
  <c r="C7" i="14"/>
  <c r="B7" i="14"/>
  <c r="N6" i="14"/>
  <c r="M6" i="14"/>
  <c r="J6" i="14"/>
  <c r="I6" i="14"/>
  <c r="E6" i="14"/>
  <c r="D6" i="14"/>
  <c r="C6" i="14"/>
  <c r="B6" i="14"/>
  <c r="N5" i="14"/>
  <c r="M5" i="14"/>
  <c r="J5" i="14"/>
  <c r="I5" i="14"/>
  <c r="E5" i="14"/>
  <c r="D5" i="14"/>
  <c r="C5" i="14"/>
  <c r="B5" i="14"/>
  <c r="N4" i="14"/>
  <c r="M4" i="14"/>
  <c r="J4" i="14"/>
  <c r="I4" i="14"/>
  <c r="E4" i="14"/>
  <c r="D4" i="14"/>
  <c r="C4" i="14"/>
  <c r="B4" i="14"/>
  <c r="N3" i="14"/>
  <c r="M3" i="14"/>
  <c r="J3" i="14"/>
  <c r="I3" i="14"/>
  <c r="E3" i="14"/>
  <c r="D3" i="14"/>
  <c r="C3" i="14"/>
  <c r="B3" i="14"/>
  <c r="N2" i="14"/>
  <c r="M2" i="14"/>
  <c r="J2" i="14"/>
  <c r="I2" i="14"/>
  <c r="E2" i="14"/>
  <c r="D2" i="14"/>
  <c r="C2" i="14"/>
  <c r="B2" i="14"/>
  <c r="N43" i="13"/>
  <c r="M43" i="13"/>
  <c r="J43" i="13"/>
  <c r="I43" i="13"/>
  <c r="E43" i="13"/>
  <c r="D43" i="13"/>
  <c r="C43" i="13"/>
  <c r="B43" i="13"/>
  <c r="N42" i="13"/>
  <c r="M42" i="13"/>
  <c r="J42" i="13"/>
  <c r="I42" i="13"/>
  <c r="E42" i="13"/>
  <c r="D42" i="13"/>
  <c r="C42" i="13"/>
  <c r="B42" i="13"/>
  <c r="N41" i="13"/>
  <c r="M41" i="13"/>
  <c r="J41" i="13"/>
  <c r="I41" i="13"/>
  <c r="E41" i="13"/>
  <c r="D41" i="13"/>
  <c r="C41" i="13"/>
  <c r="B41" i="13"/>
  <c r="N40" i="13"/>
  <c r="M40" i="13"/>
  <c r="J40" i="13"/>
  <c r="I40" i="13"/>
  <c r="E40" i="13"/>
  <c r="D40" i="13"/>
  <c r="C40" i="13"/>
  <c r="B40" i="13"/>
  <c r="N39" i="13"/>
  <c r="M39" i="13"/>
  <c r="J39" i="13"/>
  <c r="I39" i="13"/>
  <c r="E39" i="13"/>
  <c r="D39" i="13"/>
  <c r="C39" i="13"/>
  <c r="B39" i="13"/>
  <c r="N38" i="13"/>
  <c r="M38" i="13"/>
  <c r="J38" i="13"/>
  <c r="I38" i="13"/>
  <c r="E38" i="13"/>
  <c r="D38" i="13"/>
  <c r="C38" i="13"/>
  <c r="B38" i="13"/>
  <c r="N37" i="13"/>
  <c r="M37" i="13"/>
  <c r="J37" i="13"/>
  <c r="I37" i="13"/>
  <c r="E37" i="13"/>
  <c r="D37" i="13"/>
  <c r="C37" i="13"/>
  <c r="B37" i="13"/>
  <c r="N36" i="13"/>
  <c r="M36" i="13"/>
  <c r="J36" i="13"/>
  <c r="I36" i="13"/>
  <c r="E36" i="13"/>
  <c r="D36" i="13"/>
  <c r="C36" i="13"/>
  <c r="B36" i="13"/>
  <c r="N35" i="13"/>
  <c r="M35" i="13"/>
  <c r="J35" i="13"/>
  <c r="I35" i="13"/>
  <c r="E35" i="13"/>
  <c r="D35" i="13"/>
  <c r="C35" i="13"/>
  <c r="B35" i="13"/>
  <c r="N34" i="13"/>
  <c r="M34" i="13"/>
  <c r="J34" i="13"/>
  <c r="I34" i="13"/>
  <c r="E34" i="13"/>
  <c r="D34" i="13"/>
  <c r="C34" i="13"/>
  <c r="B34" i="13"/>
  <c r="N33" i="13"/>
  <c r="M33" i="13"/>
  <c r="J33" i="13"/>
  <c r="I33" i="13"/>
  <c r="E33" i="13"/>
  <c r="D33" i="13"/>
  <c r="C33" i="13"/>
  <c r="B33" i="13"/>
  <c r="N32" i="13"/>
  <c r="M32" i="13"/>
  <c r="J32" i="13"/>
  <c r="I32" i="13"/>
  <c r="E32" i="13"/>
  <c r="D32" i="13"/>
  <c r="C32" i="13"/>
  <c r="B32" i="13"/>
  <c r="N31" i="13"/>
  <c r="M31" i="13"/>
  <c r="J31" i="13"/>
  <c r="I31" i="13"/>
  <c r="E31" i="13"/>
  <c r="D31" i="13"/>
  <c r="C31" i="13"/>
  <c r="B31" i="13"/>
  <c r="N30" i="13"/>
  <c r="M30" i="13"/>
  <c r="J30" i="13"/>
  <c r="I30" i="13"/>
  <c r="E30" i="13"/>
  <c r="D30" i="13"/>
  <c r="C30" i="13"/>
  <c r="B30" i="13"/>
  <c r="N29" i="13"/>
  <c r="M29" i="13"/>
  <c r="J29" i="13"/>
  <c r="I29" i="13"/>
  <c r="E29" i="13"/>
  <c r="D29" i="13"/>
  <c r="C29" i="13"/>
  <c r="B29" i="13"/>
  <c r="N28" i="13"/>
  <c r="M28" i="13"/>
  <c r="J28" i="13"/>
  <c r="I28" i="13"/>
  <c r="E28" i="13"/>
  <c r="D28" i="13"/>
  <c r="C28" i="13"/>
  <c r="B28" i="13"/>
  <c r="N27" i="13"/>
  <c r="M27" i="13"/>
  <c r="J27" i="13"/>
  <c r="I27" i="13"/>
  <c r="E27" i="13"/>
  <c r="D27" i="13"/>
  <c r="C27" i="13"/>
  <c r="B27" i="13"/>
  <c r="N26" i="13"/>
  <c r="M26" i="13"/>
  <c r="J26" i="13"/>
  <c r="I26" i="13"/>
  <c r="E26" i="13"/>
  <c r="D26" i="13"/>
  <c r="C26" i="13"/>
  <c r="B26" i="13"/>
  <c r="N25" i="13"/>
  <c r="M25" i="13"/>
  <c r="J25" i="13"/>
  <c r="I25" i="13"/>
  <c r="E25" i="13"/>
  <c r="D25" i="13"/>
  <c r="C25" i="13"/>
  <c r="B25" i="13"/>
  <c r="N24" i="13"/>
  <c r="M24" i="13"/>
  <c r="J24" i="13"/>
  <c r="I24" i="13"/>
  <c r="E24" i="13"/>
  <c r="D24" i="13"/>
  <c r="C24" i="13"/>
  <c r="B24" i="13"/>
  <c r="N23" i="13"/>
  <c r="M23" i="13"/>
  <c r="J23" i="13"/>
  <c r="I23" i="13"/>
  <c r="E23" i="13"/>
  <c r="D23" i="13"/>
  <c r="C23" i="13"/>
  <c r="B23" i="13"/>
  <c r="N22" i="13"/>
  <c r="M22" i="13"/>
  <c r="J22" i="13"/>
  <c r="I22" i="13"/>
  <c r="E22" i="13"/>
  <c r="D22" i="13"/>
  <c r="C22" i="13"/>
  <c r="B22" i="13"/>
  <c r="N21" i="13"/>
  <c r="M21" i="13"/>
  <c r="J21" i="13"/>
  <c r="I21" i="13"/>
  <c r="E21" i="13"/>
  <c r="D21" i="13"/>
  <c r="C21" i="13"/>
  <c r="B21" i="13"/>
  <c r="N20" i="13"/>
  <c r="M20" i="13"/>
  <c r="J20" i="13"/>
  <c r="I20" i="13"/>
  <c r="E20" i="13"/>
  <c r="D20" i="13"/>
  <c r="C20" i="13"/>
  <c r="B20" i="13"/>
  <c r="N19" i="13"/>
  <c r="M19" i="13"/>
  <c r="J19" i="13"/>
  <c r="I19" i="13"/>
  <c r="E19" i="13"/>
  <c r="D19" i="13"/>
  <c r="C19" i="13"/>
  <c r="B19" i="13"/>
  <c r="N18" i="13"/>
  <c r="M18" i="13"/>
  <c r="J18" i="13"/>
  <c r="I18" i="13"/>
  <c r="E18" i="13"/>
  <c r="D18" i="13"/>
  <c r="C18" i="13"/>
  <c r="B18" i="13"/>
  <c r="N17" i="13"/>
  <c r="M17" i="13"/>
  <c r="J17" i="13"/>
  <c r="I17" i="13"/>
  <c r="E17" i="13"/>
  <c r="D17" i="13"/>
  <c r="C17" i="13"/>
  <c r="B17" i="13"/>
  <c r="N16" i="13"/>
  <c r="M16" i="13"/>
  <c r="J16" i="13"/>
  <c r="I16" i="13"/>
  <c r="E16" i="13"/>
  <c r="D16" i="13"/>
  <c r="C16" i="13"/>
  <c r="B16" i="13"/>
  <c r="N15" i="13"/>
  <c r="M15" i="13"/>
  <c r="J15" i="13"/>
  <c r="I15" i="13"/>
  <c r="E15" i="13"/>
  <c r="D15" i="13"/>
  <c r="C15" i="13"/>
  <c r="B15" i="13"/>
  <c r="N14" i="13"/>
  <c r="M14" i="13"/>
  <c r="J14" i="13"/>
  <c r="I14" i="13"/>
  <c r="E14" i="13"/>
  <c r="D14" i="13"/>
  <c r="C14" i="13"/>
  <c r="B14" i="13"/>
  <c r="N13" i="13"/>
  <c r="M13" i="13"/>
  <c r="J13" i="13"/>
  <c r="I13" i="13"/>
  <c r="E13" i="13"/>
  <c r="D13" i="13"/>
  <c r="C13" i="13"/>
  <c r="B13" i="13"/>
  <c r="N12" i="13"/>
  <c r="M12" i="13"/>
  <c r="J12" i="13"/>
  <c r="I12" i="13"/>
  <c r="E12" i="13"/>
  <c r="D12" i="13"/>
  <c r="C12" i="13"/>
  <c r="B12" i="13"/>
  <c r="N11" i="13"/>
  <c r="M11" i="13"/>
  <c r="J11" i="13"/>
  <c r="I11" i="13"/>
  <c r="E11" i="13"/>
  <c r="D11" i="13"/>
  <c r="C11" i="13"/>
  <c r="B11" i="13"/>
  <c r="N10" i="13"/>
  <c r="M10" i="13"/>
  <c r="J10" i="13"/>
  <c r="I10" i="13"/>
  <c r="E10" i="13"/>
  <c r="D10" i="13"/>
  <c r="C10" i="13"/>
  <c r="B10" i="13"/>
  <c r="N9" i="13"/>
  <c r="M9" i="13"/>
  <c r="J9" i="13"/>
  <c r="I9" i="13"/>
  <c r="E9" i="13"/>
  <c r="D9" i="13"/>
  <c r="C9" i="13"/>
  <c r="B9" i="13"/>
  <c r="N8" i="13"/>
  <c r="M8" i="13"/>
  <c r="J8" i="13"/>
  <c r="I8" i="13"/>
  <c r="E8" i="13"/>
  <c r="D8" i="13"/>
  <c r="C8" i="13"/>
  <c r="B8" i="13"/>
  <c r="N7" i="13"/>
  <c r="M7" i="13"/>
  <c r="J7" i="13"/>
  <c r="I7" i="13"/>
  <c r="E7" i="13"/>
  <c r="D7" i="13"/>
  <c r="C7" i="13"/>
  <c r="B7" i="13"/>
  <c r="N6" i="13"/>
  <c r="M6" i="13"/>
  <c r="J6" i="13"/>
  <c r="I6" i="13"/>
  <c r="E6" i="13"/>
  <c r="D6" i="13"/>
  <c r="C6" i="13"/>
  <c r="B6" i="13"/>
  <c r="N5" i="13"/>
  <c r="M5" i="13"/>
  <c r="J5" i="13"/>
  <c r="I5" i="13"/>
  <c r="E5" i="13"/>
  <c r="D5" i="13"/>
  <c r="C5" i="13"/>
  <c r="B5" i="13"/>
  <c r="N4" i="13"/>
  <c r="M4" i="13"/>
  <c r="J4" i="13"/>
  <c r="I4" i="13"/>
  <c r="E4" i="13"/>
  <c r="D4" i="13"/>
  <c r="C4" i="13"/>
  <c r="B4" i="13"/>
  <c r="N3" i="13"/>
  <c r="M3" i="13"/>
  <c r="J3" i="13"/>
  <c r="I3" i="13"/>
  <c r="E3" i="13"/>
  <c r="D3" i="13"/>
  <c r="C3" i="13"/>
  <c r="B3" i="13"/>
  <c r="N2" i="13"/>
  <c r="M2" i="13"/>
  <c r="J2" i="13"/>
  <c r="I2" i="13"/>
  <c r="E2" i="13"/>
  <c r="D2" i="13"/>
  <c r="C2" i="13"/>
  <c r="B2" i="13"/>
  <c r="N44" i="12"/>
  <c r="M44" i="12"/>
  <c r="J44" i="12"/>
  <c r="I44" i="12"/>
  <c r="E44" i="12"/>
  <c r="D44" i="12"/>
  <c r="C44" i="12"/>
  <c r="B44" i="12"/>
  <c r="N43" i="12"/>
  <c r="M43" i="12"/>
  <c r="J43" i="12"/>
  <c r="I43" i="12"/>
  <c r="E43" i="12"/>
  <c r="D43" i="12"/>
  <c r="C43" i="12"/>
  <c r="B43" i="12"/>
  <c r="N42" i="12"/>
  <c r="M42" i="12"/>
  <c r="J42" i="12"/>
  <c r="I42" i="12"/>
  <c r="E42" i="12"/>
  <c r="D42" i="12"/>
  <c r="C42" i="12"/>
  <c r="B42" i="12"/>
  <c r="N41" i="12"/>
  <c r="M41" i="12"/>
  <c r="J41" i="12"/>
  <c r="I41" i="12"/>
  <c r="E41" i="12"/>
  <c r="D41" i="12"/>
  <c r="C41" i="12"/>
  <c r="B41" i="12"/>
  <c r="N40" i="12"/>
  <c r="M40" i="12"/>
  <c r="J40" i="12"/>
  <c r="I40" i="12"/>
  <c r="E40" i="12"/>
  <c r="D40" i="12"/>
  <c r="C40" i="12"/>
  <c r="B40" i="12"/>
  <c r="N39" i="12"/>
  <c r="M39" i="12"/>
  <c r="J39" i="12"/>
  <c r="I39" i="12"/>
  <c r="E39" i="12"/>
  <c r="D39" i="12"/>
  <c r="C39" i="12"/>
  <c r="B39" i="12"/>
  <c r="N38" i="12"/>
  <c r="M38" i="12"/>
  <c r="J38" i="12"/>
  <c r="I38" i="12"/>
  <c r="E38" i="12"/>
  <c r="D38" i="12"/>
  <c r="C38" i="12"/>
  <c r="B38" i="12"/>
  <c r="N37" i="12"/>
  <c r="M37" i="12"/>
  <c r="J37" i="12"/>
  <c r="I37" i="12"/>
  <c r="E37" i="12"/>
  <c r="D37" i="12"/>
  <c r="C37" i="12"/>
  <c r="B37" i="12"/>
  <c r="N36" i="12"/>
  <c r="M36" i="12"/>
  <c r="J36" i="12"/>
  <c r="I36" i="12"/>
  <c r="E36" i="12"/>
  <c r="D36" i="12"/>
  <c r="C36" i="12"/>
  <c r="B36" i="12"/>
  <c r="N35" i="12"/>
  <c r="M35" i="12"/>
  <c r="J35" i="12"/>
  <c r="I35" i="12"/>
  <c r="E35" i="12"/>
  <c r="D35" i="12"/>
  <c r="C35" i="12"/>
  <c r="B35" i="12"/>
  <c r="N34" i="12"/>
  <c r="M34" i="12"/>
  <c r="J34" i="12"/>
  <c r="I34" i="12"/>
  <c r="E34" i="12"/>
  <c r="D34" i="12"/>
  <c r="C34" i="12"/>
  <c r="B34" i="12"/>
  <c r="N33" i="12"/>
  <c r="M33" i="12"/>
  <c r="J33" i="12"/>
  <c r="I33" i="12"/>
  <c r="E33" i="12"/>
  <c r="D33" i="12"/>
  <c r="C33" i="12"/>
  <c r="B33" i="12"/>
  <c r="N32" i="12"/>
  <c r="M32" i="12"/>
  <c r="J32" i="12"/>
  <c r="I32" i="12"/>
  <c r="E32" i="12"/>
  <c r="D32" i="12"/>
  <c r="C32" i="12"/>
  <c r="B32" i="12"/>
  <c r="N31" i="12"/>
  <c r="M31" i="12"/>
  <c r="J31" i="12"/>
  <c r="I31" i="12"/>
  <c r="E31" i="12"/>
  <c r="D31" i="12"/>
  <c r="C31" i="12"/>
  <c r="B31" i="12"/>
  <c r="N30" i="12"/>
  <c r="M30" i="12"/>
  <c r="J30" i="12"/>
  <c r="I30" i="12"/>
  <c r="E30" i="12"/>
  <c r="D30" i="12"/>
  <c r="C30" i="12"/>
  <c r="B30" i="12"/>
  <c r="N29" i="12"/>
  <c r="M29" i="12"/>
  <c r="J29" i="12"/>
  <c r="I29" i="12"/>
  <c r="E29" i="12"/>
  <c r="D29" i="12"/>
  <c r="C29" i="12"/>
  <c r="B29" i="12"/>
  <c r="N28" i="12"/>
  <c r="M28" i="12"/>
  <c r="J28" i="12"/>
  <c r="I28" i="12"/>
  <c r="E28" i="12"/>
  <c r="D28" i="12"/>
  <c r="C28" i="12"/>
  <c r="B28" i="12"/>
  <c r="N27" i="12"/>
  <c r="M27" i="12"/>
  <c r="J27" i="12"/>
  <c r="I27" i="12"/>
  <c r="E27" i="12"/>
  <c r="D27" i="12"/>
  <c r="C27" i="12"/>
  <c r="B27" i="12"/>
  <c r="N26" i="12"/>
  <c r="M26" i="12"/>
  <c r="J26" i="12"/>
  <c r="I26" i="12"/>
  <c r="E26" i="12"/>
  <c r="D26" i="12"/>
  <c r="C26" i="12"/>
  <c r="B26" i="12"/>
  <c r="N25" i="12"/>
  <c r="M25" i="12"/>
  <c r="J25" i="12"/>
  <c r="I25" i="12"/>
  <c r="E25" i="12"/>
  <c r="D25" i="12"/>
  <c r="C25" i="12"/>
  <c r="B25" i="12"/>
  <c r="N24" i="12"/>
  <c r="M24" i="12"/>
  <c r="J24" i="12"/>
  <c r="I24" i="12"/>
  <c r="E24" i="12"/>
  <c r="D24" i="12"/>
  <c r="C24" i="12"/>
  <c r="B24" i="12"/>
  <c r="N23" i="12"/>
  <c r="M23" i="12"/>
  <c r="J23" i="12"/>
  <c r="I23" i="12"/>
  <c r="E23" i="12"/>
  <c r="D23" i="12"/>
  <c r="C23" i="12"/>
  <c r="B23" i="12"/>
  <c r="N22" i="12"/>
  <c r="M22" i="12"/>
  <c r="J22" i="12"/>
  <c r="I22" i="12"/>
  <c r="E22" i="12"/>
  <c r="D22" i="12"/>
  <c r="C22" i="12"/>
  <c r="B22" i="12"/>
  <c r="N21" i="12"/>
  <c r="M21" i="12"/>
  <c r="J21" i="12"/>
  <c r="I21" i="12"/>
  <c r="E21" i="12"/>
  <c r="D21" i="12"/>
  <c r="C21" i="12"/>
  <c r="B21" i="12"/>
  <c r="N20" i="12"/>
  <c r="M20" i="12"/>
  <c r="J20" i="12"/>
  <c r="I20" i="12"/>
  <c r="E20" i="12"/>
  <c r="D20" i="12"/>
  <c r="C20" i="12"/>
  <c r="B20" i="12"/>
  <c r="N19" i="12"/>
  <c r="M19" i="12"/>
  <c r="J19" i="12"/>
  <c r="I19" i="12"/>
  <c r="E19" i="12"/>
  <c r="D19" i="12"/>
  <c r="C19" i="12"/>
  <c r="B19" i="12"/>
  <c r="N18" i="12"/>
  <c r="M18" i="12"/>
  <c r="J18" i="12"/>
  <c r="I18" i="12"/>
  <c r="E18" i="12"/>
  <c r="D18" i="12"/>
  <c r="C18" i="12"/>
  <c r="B18" i="12"/>
  <c r="N17" i="12"/>
  <c r="M17" i="12"/>
  <c r="J17" i="12"/>
  <c r="I17" i="12"/>
  <c r="E17" i="12"/>
  <c r="D17" i="12"/>
  <c r="C17" i="12"/>
  <c r="B17" i="12"/>
  <c r="N16" i="12"/>
  <c r="M16" i="12"/>
  <c r="J16" i="12"/>
  <c r="I16" i="12"/>
  <c r="E16" i="12"/>
  <c r="D16" i="12"/>
  <c r="C16" i="12"/>
  <c r="B16" i="12"/>
  <c r="N15" i="12"/>
  <c r="M15" i="12"/>
  <c r="J15" i="12"/>
  <c r="I15" i="12"/>
  <c r="E15" i="12"/>
  <c r="D15" i="12"/>
  <c r="C15" i="12"/>
  <c r="B15" i="12"/>
  <c r="N14" i="12"/>
  <c r="M14" i="12"/>
  <c r="J14" i="12"/>
  <c r="I14" i="12"/>
  <c r="E14" i="12"/>
  <c r="D14" i="12"/>
  <c r="C14" i="12"/>
  <c r="B14" i="12"/>
  <c r="N13" i="12"/>
  <c r="M13" i="12"/>
  <c r="J13" i="12"/>
  <c r="I13" i="12"/>
  <c r="E13" i="12"/>
  <c r="D13" i="12"/>
  <c r="C13" i="12"/>
  <c r="B13" i="12"/>
  <c r="N12" i="12"/>
  <c r="M12" i="12"/>
  <c r="J12" i="12"/>
  <c r="I12" i="12"/>
  <c r="E12" i="12"/>
  <c r="D12" i="12"/>
  <c r="C12" i="12"/>
  <c r="B12" i="12"/>
  <c r="N11" i="12"/>
  <c r="M11" i="12"/>
  <c r="J11" i="12"/>
  <c r="I11" i="12"/>
  <c r="E11" i="12"/>
  <c r="D11" i="12"/>
  <c r="C11" i="12"/>
  <c r="B11" i="12"/>
  <c r="N10" i="12"/>
  <c r="M10" i="12"/>
  <c r="J10" i="12"/>
  <c r="I10" i="12"/>
  <c r="E10" i="12"/>
  <c r="D10" i="12"/>
  <c r="C10" i="12"/>
  <c r="B10" i="12"/>
  <c r="N9" i="12"/>
  <c r="M9" i="12"/>
  <c r="J9" i="12"/>
  <c r="I9" i="12"/>
  <c r="E9" i="12"/>
  <c r="D9" i="12"/>
  <c r="C9" i="12"/>
  <c r="B9" i="12"/>
  <c r="N8" i="12"/>
  <c r="M8" i="12"/>
  <c r="J8" i="12"/>
  <c r="I8" i="12"/>
  <c r="E8" i="12"/>
  <c r="D8" i="12"/>
  <c r="C8" i="12"/>
  <c r="B8" i="12"/>
  <c r="N7" i="12"/>
  <c r="M7" i="12"/>
  <c r="J7" i="12"/>
  <c r="I7" i="12"/>
  <c r="E7" i="12"/>
  <c r="D7" i="12"/>
  <c r="C7" i="12"/>
  <c r="B7" i="12"/>
  <c r="N6" i="12"/>
  <c r="M6" i="12"/>
  <c r="J6" i="12"/>
  <c r="I6" i="12"/>
  <c r="E6" i="12"/>
  <c r="D6" i="12"/>
  <c r="C6" i="12"/>
  <c r="B6" i="12"/>
  <c r="N5" i="12"/>
  <c r="M5" i="12"/>
  <c r="J5" i="12"/>
  <c r="I5" i="12"/>
  <c r="E5" i="12"/>
  <c r="D5" i="12"/>
  <c r="C5" i="12"/>
  <c r="B5" i="12"/>
  <c r="N4" i="12"/>
  <c r="M4" i="12"/>
  <c r="J4" i="12"/>
  <c r="I4" i="12"/>
  <c r="E4" i="12"/>
  <c r="D4" i="12"/>
  <c r="C4" i="12"/>
  <c r="B4" i="12"/>
  <c r="N3" i="12"/>
  <c r="M3" i="12"/>
  <c r="J3" i="12"/>
  <c r="I3" i="12"/>
  <c r="E3" i="12"/>
  <c r="D3" i="12"/>
  <c r="C3" i="12"/>
  <c r="B3" i="12"/>
  <c r="N2" i="12"/>
  <c r="M2" i="12"/>
  <c r="J2" i="12"/>
  <c r="I2" i="12"/>
  <c r="E2" i="12"/>
  <c r="D2" i="12"/>
  <c r="C2" i="12"/>
  <c r="B2" i="12"/>
  <c r="N42" i="11"/>
  <c r="M42" i="11"/>
  <c r="J42" i="11"/>
  <c r="I42" i="11"/>
  <c r="E42" i="11"/>
  <c r="D42" i="11"/>
  <c r="C42" i="11"/>
  <c r="B42" i="11"/>
  <c r="N41" i="11"/>
  <c r="M41" i="11"/>
  <c r="J41" i="11"/>
  <c r="I41" i="11"/>
  <c r="E41" i="11"/>
  <c r="D41" i="11"/>
  <c r="C41" i="11"/>
  <c r="B41" i="11"/>
  <c r="N40" i="11"/>
  <c r="M40" i="11"/>
  <c r="J40" i="11"/>
  <c r="I40" i="11"/>
  <c r="E40" i="11"/>
  <c r="D40" i="11"/>
  <c r="C40" i="11"/>
  <c r="B40" i="11"/>
  <c r="N39" i="11"/>
  <c r="M39" i="11"/>
  <c r="J39" i="11"/>
  <c r="I39" i="11"/>
  <c r="E39" i="11"/>
  <c r="D39" i="11"/>
  <c r="C39" i="11"/>
  <c r="B39" i="11"/>
  <c r="N38" i="11"/>
  <c r="M38" i="11"/>
  <c r="J38" i="11"/>
  <c r="I38" i="11"/>
  <c r="E38" i="11"/>
  <c r="D38" i="11"/>
  <c r="C38" i="11"/>
  <c r="B38" i="11"/>
  <c r="N37" i="11"/>
  <c r="M37" i="11"/>
  <c r="J37" i="11"/>
  <c r="I37" i="11"/>
  <c r="E37" i="11"/>
  <c r="D37" i="11"/>
  <c r="C37" i="11"/>
  <c r="B37" i="11"/>
  <c r="N36" i="11"/>
  <c r="M36" i="11"/>
  <c r="J36" i="11"/>
  <c r="I36" i="11"/>
  <c r="E36" i="11"/>
  <c r="D36" i="11"/>
  <c r="C36" i="11"/>
  <c r="B36" i="11"/>
  <c r="N35" i="11"/>
  <c r="M35" i="11"/>
  <c r="J35" i="11"/>
  <c r="I35" i="11"/>
  <c r="E35" i="11"/>
  <c r="D35" i="11"/>
  <c r="C35" i="11"/>
  <c r="B35" i="11"/>
  <c r="N34" i="11"/>
  <c r="M34" i="11"/>
  <c r="J34" i="11"/>
  <c r="I34" i="11"/>
  <c r="E34" i="11"/>
  <c r="D34" i="11"/>
  <c r="C34" i="11"/>
  <c r="B34" i="11"/>
  <c r="N33" i="11"/>
  <c r="M33" i="11"/>
  <c r="J33" i="11"/>
  <c r="I33" i="11"/>
  <c r="E33" i="11"/>
  <c r="D33" i="11"/>
  <c r="C33" i="11"/>
  <c r="B33" i="11"/>
  <c r="N32" i="11"/>
  <c r="M32" i="11"/>
  <c r="J32" i="11"/>
  <c r="I32" i="11"/>
  <c r="E32" i="11"/>
  <c r="D32" i="11"/>
  <c r="C32" i="11"/>
  <c r="B32" i="11"/>
  <c r="N31" i="11"/>
  <c r="M31" i="11"/>
  <c r="J31" i="11"/>
  <c r="I31" i="11"/>
  <c r="E31" i="11"/>
  <c r="D31" i="11"/>
  <c r="C31" i="11"/>
  <c r="B31" i="11"/>
  <c r="N30" i="11"/>
  <c r="M30" i="11"/>
  <c r="J30" i="11"/>
  <c r="I30" i="11"/>
  <c r="E30" i="11"/>
  <c r="D30" i="11"/>
  <c r="C30" i="11"/>
  <c r="B30" i="11"/>
  <c r="N29" i="11"/>
  <c r="M29" i="11"/>
  <c r="J29" i="11"/>
  <c r="I29" i="11"/>
  <c r="E29" i="11"/>
  <c r="D29" i="11"/>
  <c r="C29" i="11"/>
  <c r="B29" i="11"/>
  <c r="N28" i="11"/>
  <c r="M28" i="11"/>
  <c r="J28" i="11"/>
  <c r="I28" i="11"/>
  <c r="E28" i="11"/>
  <c r="D28" i="11"/>
  <c r="C28" i="11"/>
  <c r="B28" i="11"/>
  <c r="N27" i="11"/>
  <c r="M27" i="11"/>
  <c r="J27" i="11"/>
  <c r="I27" i="11"/>
  <c r="E27" i="11"/>
  <c r="D27" i="11"/>
  <c r="C27" i="11"/>
  <c r="B27" i="11"/>
  <c r="N26" i="11"/>
  <c r="M26" i="11"/>
  <c r="J26" i="11"/>
  <c r="I26" i="11"/>
  <c r="E26" i="11"/>
  <c r="D26" i="11"/>
  <c r="C26" i="11"/>
  <c r="B26" i="11"/>
  <c r="N25" i="11"/>
  <c r="M25" i="11"/>
  <c r="J25" i="11"/>
  <c r="I25" i="11"/>
  <c r="E25" i="11"/>
  <c r="D25" i="11"/>
  <c r="C25" i="11"/>
  <c r="B25" i="11"/>
  <c r="N24" i="11"/>
  <c r="M24" i="11"/>
  <c r="J24" i="11"/>
  <c r="I24" i="11"/>
  <c r="E24" i="11"/>
  <c r="D24" i="11"/>
  <c r="C24" i="11"/>
  <c r="B24" i="11"/>
  <c r="N23" i="11"/>
  <c r="M23" i="11"/>
  <c r="J23" i="11"/>
  <c r="I23" i="11"/>
  <c r="E23" i="11"/>
  <c r="D23" i="11"/>
  <c r="C23" i="11"/>
  <c r="B23" i="11"/>
  <c r="N22" i="11"/>
  <c r="M22" i="11"/>
  <c r="J22" i="11"/>
  <c r="I22" i="11"/>
  <c r="E22" i="11"/>
  <c r="D22" i="11"/>
  <c r="C22" i="11"/>
  <c r="B22" i="11"/>
  <c r="N21" i="11"/>
  <c r="M21" i="11"/>
  <c r="J21" i="11"/>
  <c r="I21" i="11"/>
  <c r="E21" i="11"/>
  <c r="D21" i="11"/>
  <c r="C21" i="11"/>
  <c r="B21" i="11"/>
  <c r="N20" i="11"/>
  <c r="M20" i="11"/>
  <c r="J20" i="11"/>
  <c r="I20" i="11"/>
  <c r="E20" i="11"/>
  <c r="D20" i="11"/>
  <c r="C20" i="11"/>
  <c r="B20" i="11"/>
  <c r="N19" i="11"/>
  <c r="M19" i="11"/>
  <c r="J19" i="11"/>
  <c r="I19" i="11"/>
  <c r="E19" i="11"/>
  <c r="D19" i="11"/>
  <c r="C19" i="11"/>
  <c r="B19" i="11"/>
  <c r="N18" i="11"/>
  <c r="M18" i="11"/>
  <c r="J18" i="11"/>
  <c r="I18" i="11"/>
  <c r="E18" i="11"/>
  <c r="D18" i="11"/>
  <c r="C18" i="11"/>
  <c r="B18" i="11"/>
  <c r="N17" i="11"/>
  <c r="M17" i="11"/>
  <c r="J17" i="11"/>
  <c r="I17" i="11"/>
  <c r="E17" i="11"/>
  <c r="D17" i="11"/>
  <c r="C17" i="11"/>
  <c r="B17" i="11"/>
  <c r="N16" i="11"/>
  <c r="M16" i="11"/>
  <c r="J16" i="11"/>
  <c r="I16" i="11"/>
  <c r="E16" i="11"/>
  <c r="D16" i="11"/>
  <c r="C16" i="11"/>
  <c r="B16" i="11"/>
  <c r="N15" i="11"/>
  <c r="M15" i="11"/>
  <c r="J15" i="11"/>
  <c r="I15" i="11"/>
  <c r="E15" i="11"/>
  <c r="D15" i="11"/>
  <c r="C15" i="11"/>
  <c r="B15" i="11"/>
  <c r="N14" i="11"/>
  <c r="M14" i="11"/>
  <c r="J14" i="11"/>
  <c r="I14" i="11"/>
  <c r="E14" i="11"/>
  <c r="D14" i="11"/>
  <c r="C14" i="11"/>
  <c r="B14" i="11"/>
  <c r="N13" i="11"/>
  <c r="M13" i="11"/>
  <c r="J13" i="11"/>
  <c r="I13" i="11"/>
  <c r="E13" i="11"/>
  <c r="D13" i="11"/>
  <c r="C13" i="11"/>
  <c r="B13" i="11"/>
  <c r="N12" i="11"/>
  <c r="M12" i="11"/>
  <c r="J12" i="11"/>
  <c r="I12" i="11"/>
  <c r="E12" i="11"/>
  <c r="D12" i="11"/>
  <c r="C12" i="11"/>
  <c r="B12" i="11"/>
  <c r="N11" i="11"/>
  <c r="M11" i="11"/>
  <c r="J11" i="11"/>
  <c r="I11" i="11"/>
  <c r="E11" i="11"/>
  <c r="D11" i="11"/>
  <c r="C11" i="11"/>
  <c r="B11" i="11"/>
  <c r="N10" i="11"/>
  <c r="M10" i="11"/>
  <c r="J10" i="11"/>
  <c r="I10" i="11"/>
  <c r="E10" i="11"/>
  <c r="D10" i="11"/>
  <c r="C10" i="11"/>
  <c r="B10" i="11"/>
  <c r="N9" i="11"/>
  <c r="M9" i="11"/>
  <c r="J9" i="11"/>
  <c r="I9" i="11"/>
  <c r="E9" i="11"/>
  <c r="D9" i="11"/>
  <c r="C9" i="11"/>
  <c r="B9" i="11"/>
  <c r="N8" i="11"/>
  <c r="M8" i="11"/>
  <c r="J8" i="11"/>
  <c r="I8" i="11"/>
  <c r="E8" i="11"/>
  <c r="D8" i="11"/>
  <c r="C8" i="11"/>
  <c r="B8" i="11"/>
  <c r="N7" i="11"/>
  <c r="M7" i="11"/>
  <c r="J7" i="11"/>
  <c r="I7" i="11"/>
  <c r="E7" i="11"/>
  <c r="D7" i="11"/>
  <c r="C7" i="11"/>
  <c r="B7" i="11"/>
  <c r="N6" i="11"/>
  <c r="M6" i="11"/>
  <c r="J6" i="11"/>
  <c r="I6" i="11"/>
  <c r="E6" i="11"/>
  <c r="D6" i="11"/>
  <c r="C6" i="11"/>
  <c r="B6" i="11"/>
  <c r="N5" i="11"/>
  <c r="M5" i="11"/>
  <c r="J5" i="11"/>
  <c r="I5" i="11"/>
  <c r="E5" i="11"/>
  <c r="D5" i="11"/>
  <c r="C5" i="11"/>
  <c r="B5" i="11"/>
  <c r="N4" i="11"/>
  <c r="M4" i="11"/>
  <c r="J4" i="11"/>
  <c r="I4" i="11"/>
  <c r="E4" i="11"/>
  <c r="D4" i="11"/>
  <c r="C4" i="11"/>
  <c r="B4" i="11"/>
  <c r="N3" i="11"/>
  <c r="M3" i="11"/>
  <c r="J3" i="11"/>
  <c r="I3" i="11"/>
  <c r="E3" i="11"/>
  <c r="D3" i="11"/>
  <c r="C3" i="11"/>
  <c r="B3" i="11"/>
  <c r="N2" i="11"/>
  <c r="M2" i="11"/>
  <c r="J2" i="11"/>
  <c r="I2" i="11"/>
  <c r="E2" i="11"/>
  <c r="D2" i="11"/>
  <c r="C2" i="11"/>
  <c r="B2" i="11"/>
  <c r="N42" i="10"/>
  <c r="M42" i="10"/>
  <c r="J42" i="10"/>
  <c r="I42" i="10"/>
  <c r="E42" i="10"/>
  <c r="D42" i="10"/>
  <c r="C42" i="10"/>
  <c r="B42" i="10"/>
  <c r="N41" i="10"/>
  <c r="M41" i="10"/>
  <c r="J41" i="10"/>
  <c r="I41" i="10"/>
  <c r="E41" i="10"/>
  <c r="D41" i="10"/>
  <c r="C41" i="10"/>
  <c r="B41" i="10"/>
  <c r="N40" i="10"/>
  <c r="M40" i="10"/>
  <c r="J40" i="10"/>
  <c r="I40" i="10"/>
  <c r="E40" i="10"/>
  <c r="D40" i="10"/>
  <c r="C40" i="10"/>
  <c r="B40" i="10"/>
  <c r="N39" i="10"/>
  <c r="M39" i="10"/>
  <c r="J39" i="10"/>
  <c r="I39" i="10"/>
  <c r="E39" i="10"/>
  <c r="D39" i="10"/>
  <c r="C39" i="10"/>
  <c r="B39" i="10"/>
  <c r="N38" i="10"/>
  <c r="M38" i="10"/>
  <c r="J38" i="10"/>
  <c r="I38" i="10"/>
  <c r="E38" i="10"/>
  <c r="D38" i="10"/>
  <c r="C38" i="10"/>
  <c r="B38" i="10"/>
  <c r="N37" i="10"/>
  <c r="M37" i="10"/>
  <c r="J37" i="10"/>
  <c r="I37" i="10"/>
  <c r="E37" i="10"/>
  <c r="D37" i="10"/>
  <c r="C37" i="10"/>
  <c r="B37" i="10"/>
  <c r="N36" i="10"/>
  <c r="M36" i="10"/>
  <c r="J36" i="10"/>
  <c r="I36" i="10"/>
  <c r="E36" i="10"/>
  <c r="D36" i="10"/>
  <c r="C36" i="10"/>
  <c r="B36" i="10"/>
  <c r="N35" i="10"/>
  <c r="M35" i="10"/>
  <c r="J35" i="10"/>
  <c r="I35" i="10"/>
  <c r="E35" i="10"/>
  <c r="D35" i="10"/>
  <c r="C35" i="10"/>
  <c r="B35" i="10"/>
  <c r="N34" i="10"/>
  <c r="M34" i="10"/>
  <c r="J34" i="10"/>
  <c r="I34" i="10"/>
  <c r="E34" i="10"/>
  <c r="D34" i="10"/>
  <c r="C34" i="10"/>
  <c r="B34" i="10"/>
  <c r="N33" i="10"/>
  <c r="M33" i="10"/>
  <c r="J33" i="10"/>
  <c r="I33" i="10"/>
  <c r="E33" i="10"/>
  <c r="D33" i="10"/>
  <c r="C33" i="10"/>
  <c r="B33" i="10"/>
  <c r="N32" i="10"/>
  <c r="M32" i="10"/>
  <c r="J32" i="10"/>
  <c r="I32" i="10"/>
  <c r="E32" i="10"/>
  <c r="D32" i="10"/>
  <c r="C32" i="10"/>
  <c r="B32" i="10"/>
  <c r="N31" i="10"/>
  <c r="M31" i="10"/>
  <c r="J31" i="10"/>
  <c r="I31" i="10"/>
  <c r="E31" i="10"/>
  <c r="D31" i="10"/>
  <c r="C31" i="10"/>
  <c r="B31" i="10"/>
  <c r="N30" i="10"/>
  <c r="M30" i="10"/>
  <c r="J30" i="10"/>
  <c r="I30" i="10"/>
  <c r="E30" i="10"/>
  <c r="D30" i="10"/>
  <c r="C30" i="10"/>
  <c r="B30" i="10"/>
  <c r="N29" i="10"/>
  <c r="M29" i="10"/>
  <c r="J29" i="10"/>
  <c r="I29" i="10"/>
  <c r="E29" i="10"/>
  <c r="D29" i="10"/>
  <c r="C29" i="10"/>
  <c r="B29" i="10"/>
  <c r="N28" i="10"/>
  <c r="M28" i="10"/>
  <c r="J28" i="10"/>
  <c r="I28" i="10"/>
  <c r="E28" i="10"/>
  <c r="D28" i="10"/>
  <c r="C28" i="10"/>
  <c r="B28" i="10"/>
  <c r="N27" i="10"/>
  <c r="M27" i="10"/>
  <c r="J27" i="10"/>
  <c r="I27" i="10"/>
  <c r="E27" i="10"/>
  <c r="D27" i="10"/>
  <c r="C27" i="10"/>
  <c r="B27" i="10"/>
  <c r="N26" i="10"/>
  <c r="M26" i="10"/>
  <c r="J26" i="10"/>
  <c r="I26" i="10"/>
  <c r="E26" i="10"/>
  <c r="D26" i="10"/>
  <c r="C26" i="10"/>
  <c r="B26" i="10"/>
  <c r="N25" i="10"/>
  <c r="M25" i="10"/>
  <c r="J25" i="10"/>
  <c r="I25" i="10"/>
  <c r="E25" i="10"/>
  <c r="D25" i="10"/>
  <c r="C25" i="10"/>
  <c r="B25" i="10"/>
  <c r="N24" i="10"/>
  <c r="M24" i="10"/>
  <c r="J24" i="10"/>
  <c r="I24" i="10"/>
  <c r="E24" i="10"/>
  <c r="D24" i="10"/>
  <c r="C24" i="10"/>
  <c r="B24" i="10"/>
  <c r="N23" i="10"/>
  <c r="M23" i="10"/>
  <c r="J23" i="10"/>
  <c r="I23" i="10"/>
  <c r="E23" i="10"/>
  <c r="D23" i="10"/>
  <c r="C23" i="10"/>
  <c r="B23" i="10"/>
  <c r="N22" i="10"/>
  <c r="M22" i="10"/>
  <c r="J22" i="10"/>
  <c r="I22" i="10"/>
  <c r="E22" i="10"/>
  <c r="D22" i="10"/>
  <c r="C22" i="10"/>
  <c r="B22" i="10"/>
  <c r="N21" i="10"/>
  <c r="M21" i="10"/>
  <c r="J21" i="10"/>
  <c r="I21" i="10"/>
  <c r="E21" i="10"/>
  <c r="D21" i="10"/>
  <c r="C21" i="10"/>
  <c r="B21" i="10"/>
  <c r="N20" i="10"/>
  <c r="M20" i="10"/>
  <c r="J20" i="10"/>
  <c r="I20" i="10"/>
  <c r="E20" i="10"/>
  <c r="D20" i="10"/>
  <c r="C20" i="10"/>
  <c r="B20" i="10"/>
  <c r="N19" i="10"/>
  <c r="M19" i="10"/>
  <c r="J19" i="10"/>
  <c r="I19" i="10"/>
  <c r="E19" i="10"/>
  <c r="D19" i="10"/>
  <c r="C19" i="10"/>
  <c r="B19" i="10"/>
  <c r="N18" i="10"/>
  <c r="M18" i="10"/>
  <c r="J18" i="10"/>
  <c r="I18" i="10"/>
  <c r="E18" i="10"/>
  <c r="D18" i="10"/>
  <c r="C18" i="10"/>
  <c r="B18" i="10"/>
  <c r="N17" i="10"/>
  <c r="M17" i="10"/>
  <c r="J17" i="10"/>
  <c r="I17" i="10"/>
  <c r="E17" i="10"/>
  <c r="D17" i="10"/>
  <c r="C17" i="10"/>
  <c r="B17" i="10"/>
  <c r="N16" i="10"/>
  <c r="M16" i="10"/>
  <c r="J16" i="10"/>
  <c r="I16" i="10"/>
  <c r="E16" i="10"/>
  <c r="D16" i="10"/>
  <c r="C16" i="10"/>
  <c r="B16" i="10"/>
  <c r="N15" i="10"/>
  <c r="M15" i="10"/>
  <c r="J15" i="10"/>
  <c r="I15" i="10"/>
  <c r="E15" i="10"/>
  <c r="D15" i="10"/>
  <c r="C15" i="10"/>
  <c r="B15" i="10"/>
  <c r="N14" i="10"/>
  <c r="M14" i="10"/>
  <c r="J14" i="10"/>
  <c r="I14" i="10"/>
  <c r="E14" i="10"/>
  <c r="D14" i="10"/>
  <c r="C14" i="10"/>
  <c r="B14" i="10"/>
  <c r="N13" i="10"/>
  <c r="M13" i="10"/>
  <c r="J13" i="10"/>
  <c r="I13" i="10"/>
  <c r="E13" i="10"/>
  <c r="D13" i="10"/>
  <c r="C13" i="10"/>
  <c r="B13" i="10"/>
  <c r="N12" i="10"/>
  <c r="M12" i="10"/>
  <c r="J12" i="10"/>
  <c r="I12" i="10"/>
  <c r="E12" i="10"/>
  <c r="D12" i="10"/>
  <c r="C12" i="10"/>
  <c r="B12" i="10"/>
  <c r="N11" i="10"/>
  <c r="M11" i="10"/>
  <c r="J11" i="10"/>
  <c r="I11" i="10"/>
  <c r="E11" i="10"/>
  <c r="D11" i="10"/>
  <c r="C11" i="10"/>
  <c r="B11" i="10"/>
  <c r="N10" i="10"/>
  <c r="M10" i="10"/>
  <c r="J10" i="10"/>
  <c r="I10" i="10"/>
  <c r="E10" i="10"/>
  <c r="D10" i="10"/>
  <c r="C10" i="10"/>
  <c r="B10" i="10"/>
  <c r="N9" i="10"/>
  <c r="M9" i="10"/>
  <c r="J9" i="10"/>
  <c r="I9" i="10"/>
  <c r="E9" i="10"/>
  <c r="D9" i="10"/>
  <c r="C9" i="10"/>
  <c r="B9" i="10"/>
  <c r="N8" i="10"/>
  <c r="M8" i="10"/>
  <c r="J8" i="10"/>
  <c r="I8" i="10"/>
  <c r="E8" i="10"/>
  <c r="D8" i="10"/>
  <c r="C8" i="10"/>
  <c r="B8" i="10"/>
  <c r="N7" i="10"/>
  <c r="M7" i="10"/>
  <c r="J7" i="10"/>
  <c r="I7" i="10"/>
  <c r="E7" i="10"/>
  <c r="D7" i="10"/>
  <c r="C7" i="10"/>
  <c r="B7" i="10"/>
  <c r="N6" i="10"/>
  <c r="M6" i="10"/>
  <c r="J6" i="10"/>
  <c r="I6" i="10"/>
  <c r="E6" i="10"/>
  <c r="D6" i="10"/>
  <c r="C6" i="10"/>
  <c r="B6" i="10"/>
  <c r="N5" i="10"/>
  <c r="M5" i="10"/>
  <c r="J5" i="10"/>
  <c r="I5" i="10"/>
  <c r="E5" i="10"/>
  <c r="D5" i="10"/>
  <c r="C5" i="10"/>
  <c r="B5" i="10"/>
  <c r="N4" i="10"/>
  <c r="M4" i="10"/>
  <c r="J4" i="10"/>
  <c r="I4" i="10"/>
  <c r="E4" i="10"/>
  <c r="D4" i="10"/>
  <c r="C4" i="10"/>
  <c r="B4" i="10"/>
  <c r="N3" i="10"/>
  <c r="M3" i="10"/>
  <c r="J3" i="10"/>
  <c r="I3" i="10"/>
  <c r="E3" i="10"/>
  <c r="D3" i="10"/>
  <c r="C3" i="10"/>
  <c r="B3" i="10"/>
  <c r="N2" i="10"/>
  <c r="M2" i="10"/>
  <c r="J2" i="10"/>
  <c r="I2" i="10"/>
  <c r="E2" i="10"/>
  <c r="D2" i="10"/>
  <c r="C2" i="10"/>
  <c r="B2" i="10"/>
  <c r="N38" i="9"/>
  <c r="M38" i="9"/>
  <c r="J38" i="9"/>
  <c r="I38" i="9"/>
  <c r="E38" i="9"/>
  <c r="D38" i="9"/>
  <c r="C38" i="9"/>
  <c r="B38" i="9"/>
  <c r="N37" i="9"/>
  <c r="M37" i="9"/>
  <c r="J37" i="9"/>
  <c r="I37" i="9"/>
  <c r="E37" i="9"/>
  <c r="D37" i="9"/>
  <c r="C37" i="9"/>
  <c r="B37" i="9"/>
  <c r="N36" i="9"/>
  <c r="M36" i="9"/>
  <c r="J36" i="9"/>
  <c r="I36" i="9"/>
  <c r="E36" i="9"/>
  <c r="D36" i="9"/>
  <c r="C36" i="9"/>
  <c r="B36" i="9"/>
  <c r="N35" i="9"/>
  <c r="M35" i="9"/>
  <c r="J35" i="9"/>
  <c r="I35" i="9"/>
  <c r="E35" i="9"/>
  <c r="D35" i="9"/>
  <c r="C35" i="9"/>
  <c r="B35" i="9"/>
  <c r="N34" i="9"/>
  <c r="M34" i="9"/>
  <c r="J34" i="9"/>
  <c r="I34" i="9"/>
  <c r="E34" i="9"/>
  <c r="D34" i="9"/>
  <c r="C34" i="9"/>
  <c r="B34" i="9"/>
  <c r="N33" i="9"/>
  <c r="M33" i="9"/>
  <c r="J33" i="9"/>
  <c r="I33" i="9"/>
  <c r="E33" i="9"/>
  <c r="D33" i="9"/>
  <c r="C33" i="9"/>
  <c r="B33" i="9"/>
  <c r="N32" i="9"/>
  <c r="M32" i="9"/>
  <c r="J32" i="9"/>
  <c r="I32" i="9"/>
  <c r="E32" i="9"/>
  <c r="D32" i="9"/>
  <c r="C32" i="9"/>
  <c r="B32" i="9"/>
  <c r="N31" i="9"/>
  <c r="M31" i="9"/>
  <c r="J31" i="9"/>
  <c r="I31" i="9"/>
  <c r="E31" i="9"/>
  <c r="D31" i="9"/>
  <c r="C31" i="9"/>
  <c r="B31" i="9"/>
  <c r="N30" i="9"/>
  <c r="M30" i="9"/>
  <c r="J30" i="9"/>
  <c r="I30" i="9"/>
  <c r="E30" i="9"/>
  <c r="D30" i="9"/>
  <c r="C30" i="9"/>
  <c r="B30" i="9"/>
  <c r="N29" i="9"/>
  <c r="M29" i="9"/>
  <c r="J29" i="9"/>
  <c r="I29" i="9"/>
  <c r="E29" i="9"/>
  <c r="D29" i="9"/>
  <c r="C29" i="9"/>
  <c r="B29" i="9"/>
  <c r="N28" i="9"/>
  <c r="M28" i="9"/>
  <c r="J28" i="9"/>
  <c r="I28" i="9"/>
  <c r="E28" i="9"/>
  <c r="D28" i="9"/>
  <c r="C28" i="9"/>
  <c r="B28" i="9"/>
  <c r="N27" i="9"/>
  <c r="M27" i="9"/>
  <c r="J27" i="9"/>
  <c r="I27" i="9"/>
  <c r="E27" i="9"/>
  <c r="D27" i="9"/>
  <c r="C27" i="9"/>
  <c r="B27" i="9"/>
  <c r="N26" i="9"/>
  <c r="M26" i="9"/>
  <c r="J26" i="9"/>
  <c r="I26" i="9"/>
  <c r="E26" i="9"/>
  <c r="D26" i="9"/>
  <c r="C26" i="9"/>
  <c r="B26" i="9"/>
  <c r="N25" i="9"/>
  <c r="M25" i="9"/>
  <c r="J25" i="9"/>
  <c r="I25" i="9"/>
  <c r="E25" i="9"/>
  <c r="D25" i="9"/>
  <c r="C25" i="9"/>
  <c r="B25" i="9"/>
  <c r="N24" i="9"/>
  <c r="M24" i="9"/>
  <c r="J24" i="9"/>
  <c r="I24" i="9"/>
  <c r="E24" i="9"/>
  <c r="D24" i="9"/>
  <c r="C24" i="9"/>
  <c r="B24" i="9"/>
  <c r="N23" i="9"/>
  <c r="M23" i="9"/>
  <c r="J23" i="9"/>
  <c r="I23" i="9"/>
  <c r="E23" i="9"/>
  <c r="D23" i="9"/>
  <c r="C23" i="9"/>
  <c r="B23" i="9"/>
  <c r="N22" i="9"/>
  <c r="M22" i="9"/>
  <c r="J22" i="9"/>
  <c r="I22" i="9"/>
  <c r="E22" i="9"/>
  <c r="D22" i="9"/>
  <c r="C22" i="9"/>
  <c r="B22" i="9"/>
  <c r="N21" i="9"/>
  <c r="M21" i="9"/>
  <c r="J21" i="9"/>
  <c r="I21" i="9"/>
  <c r="E21" i="9"/>
  <c r="D21" i="9"/>
  <c r="C21" i="9"/>
  <c r="B21" i="9"/>
  <c r="N20" i="9"/>
  <c r="M20" i="9"/>
  <c r="J20" i="9"/>
  <c r="I20" i="9"/>
  <c r="E20" i="9"/>
  <c r="D20" i="9"/>
  <c r="C20" i="9"/>
  <c r="B20" i="9"/>
  <c r="N19" i="9"/>
  <c r="M19" i="9"/>
  <c r="J19" i="9"/>
  <c r="I19" i="9"/>
  <c r="E19" i="9"/>
  <c r="D19" i="9"/>
  <c r="C19" i="9"/>
  <c r="B19" i="9"/>
  <c r="N18" i="9"/>
  <c r="M18" i="9"/>
  <c r="J18" i="9"/>
  <c r="I18" i="9"/>
  <c r="E18" i="9"/>
  <c r="D18" i="9"/>
  <c r="C18" i="9"/>
  <c r="B18" i="9"/>
  <c r="N17" i="9"/>
  <c r="M17" i="9"/>
  <c r="J17" i="9"/>
  <c r="I17" i="9"/>
  <c r="E17" i="9"/>
  <c r="D17" i="9"/>
  <c r="C17" i="9"/>
  <c r="B17" i="9"/>
  <c r="N16" i="9"/>
  <c r="M16" i="9"/>
  <c r="J16" i="9"/>
  <c r="I16" i="9"/>
  <c r="E16" i="9"/>
  <c r="D16" i="9"/>
  <c r="C16" i="9"/>
  <c r="B16" i="9"/>
  <c r="N15" i="9"/>
  <c r="M15" i="9"/>
  <c r="J15" i="9"/>
  <c r="I15" i="9"/>
  <c r="E15" i="9"/>
  <c r="D15" i="9"/>
  <c r="C15" i="9"/>
  <c r="B15" i="9"/>
  <c r="N14" i="9"/>
  <c r="M14" i="9"/>
  <c r="J14" i="9"/>
  <c r="I14" i="9"/>
  <c r="E14" i="9"/>
  <c r="D14" i="9"/>
  <c r="C14" i="9"/>
  <c r="B14" i="9"/>
  <c r="N13" i="9"/>
  <c r="M13" i="9"/>
  <c r="J13" i="9"/>
  <c r="I13" i="9"/>
  <c r="E13" i="9"/>
  <c r="D13" i="9"/>
  <c r="C13" i="9"/>
  <c r="B13" i="9"/>
  <c r="N12" i="9"/>
  <c r="M12" i="9"/>
  <c r="J12" i="9"/>
  <c r="I12" i="9"/>
  <c r="E12" i="9"/>
  <c r="D12" i="9"/>
  <c r="C12" i="9"/>
  <c r="B12" i="9"/>
  <c r="N11" i="9"/>
  <c r="M11" i="9"/>
  <c r="J11" i="9"/>
  <c r="I11" i="9"/>
  <c r="E11" i="9"/>
  <c r="D11" i="9"/>
  <c r="C11" i="9"/>
  <c r="B11" i="9"/>
  <c r="N10" i="9"/>
  <c r="M10" i="9"/>
  <c r="J10" i="9"/>
  <c r="I10" i="9"/>
  <c r="E10" i="9"/>
  <c r="D10" i="9"/>
  <c r="C10" i="9"/>
  <c r="B10" i="9"/>
  <c r="N9" i="9"/>
  <c r="M9" i="9"/>
  <c r="J9" i="9"/>
  <c r="I9" i="9"/>
  <c r="E9" i="9"/>
  <c r="D9" i="9"/>
  <c r="C9" i="9"/>
  <c r="B9" i="9"/>
  <c r="N8" i="9"/>
  <c r="M8" i="9"/>
  <c r="J8" i="9"/>
  <c r="I8" i="9"/>
  <c r="E8" i="9"/>
  <c r="D8" i="9"/>
  <c r="C8" i="9"/>
  <c r="B8" i="9"/>
  <c r="N7" i="9"/>
  <c r="M7" i="9"/>
  <c r="J7" i="9"/>
  <c r="I7" i="9"/>
  <c r="E7" i="9"/>
  <c r="D7" i="9"/>
  <c r="C7" i="9"/>
  <c r="B7" i="9"/>
  <c r="N6" i="9"/>
  <c r="M6" i="9"/>
  <c r="J6" i="9"/>
  <c r="I6" i="9"/>
  <c r="E6" i="9"/>
  <c r="D6" i="9"/>
  <c r="C6" i="9"/>
  <c r="B6" i="9"/>
  <c r="N5" i="9"/>
  <c r="M5" i="9"/>
  <c r="J5" i="9"/>
  <c r="I5" i="9"/>
  <c r="E5" i="9"/>
  <c r="D5" i="9"/>
  <c r="C5" i="9"/>
  <c r="B5" i="9"/>
  <c r="N4" i="9"/>
  <c r="M4" i="9"/>
  <c r="J4" i="9"/>
  <c r="I4" i="9"/>
  <c r="E4" i="9"/>
  <c r="D4" i="9"/>
  <c r="C4" i="9"/>
  <c r="B4" i="9"/>
  <c r="N3" i="9"/>
  <c r="M3" i="9"/>
  <c r="J3" i="9"/>
  <c r="I3" i="9"/>
  <c r="E3" i="9"/>
  <c r="D3" i="9"/>
  <c r="C3" i="9"/>
  <c r="B3" i="9"/>
  <c r="N2" i="9"/>
  <c r="M2" i="9"/>
  <c r="J2" i="9"/>
  <c r="I2" i="9"/>
  <c r="E2" i="9"/>
  <c r="D2" i="9"/>
  <c r="C2" i="9"/>
  <c r="B2" i="9"/>
  <c r="N42" i="8"/>
  <c r="M42" i="8"/>
  <c r="J42" i="8"/>
  <c r="I42" i="8"/>
  <c r="E42" i="8"/>
  <c r="D42" i="8"/>
  <c r="C42" i="8"/>
  <c r="B42" i="8"/>
  <c r="N41" i="8"/>
  <c r="M41" i="8"/>
  <c r="J41" i="8"/>
  <c r="I41" i="8"/>
  <c r="E41" i="8"/>
  <c r="D41" i="8"/>
  <c r="C41" i="8"/>
  <c r="B41" i="8"/>
  <c r="N40" i="8"/>
  <c r="M40" i="8"/>
  <c r="J40" i="8"/>
  <c r="I40" i="8"/>
  <c r="E40" i="8"/>
  <c r="D40" i="8"/>
  <c r="C40" i="8"/>
  <c r="B40" i="8"/>
  <c r="N39" i="8"/>
  <c r="M39" i="8"/>
  <c r="J39" i="8"/>
  <c r="I39" i="8"/>
  <c r="E39" i="8"/>
  <c r="D39" i="8"/>
  <c r="C39" i="8"/>
  <c r="B39" i="8"/>
  <c r="N38" i="8"/>
  <c r="M38" i="8"/>
  <c r="J38" i="8"/>
  <c r="I38" i="8"/>
  <c r="E38" i="8"/>
  <c r="D38" i="8"/>
  <c r="C38" i="8"/>
  <c r="B38" i="8"/>
  <c r="N37" i="8"/>
  <c r="M37" i="8"/>
  <c r="J37" i="8"/>
  <c r="I37" i="8"/>
  <c r="E37" i="8"/>
  <c r="D37" i="8"/>
  <c r="C37" i="8"/>
  <c r="B37" i="8"/>
  <c r="N36" i="8"/>
  <c r="M36" i="8"/>
  <c r="J36" i="8"/>
  <c r="I36" i="8"/>
  <c r="E36" i="8"/>
  <c r="D36" i="8"/>
  <c r="C36" i="8"/>
  <c r="B36" i="8"/>
  <c r="N35" i="8"/>
  <c r="M35" i="8"/>
  <c r="J35" i="8"/>
  <c r="I35" i="8"/>
  <c r="E35" i="8"/>
  <c r="D35" i="8"/>
  <c r="C35" i="8"/>
  <c r="B35" i="8"/>
  <c r="N34" i="8"/>
  <c r="M34" i="8"/>
  <c r="J34" i="8"/>
  <c r="I34" i="8"/>
  <c r="E34" i="8"/>
  <c r="D34" i="8"/>
  <c r="C34" i="8"/>
  <c r="B34" i="8"/>
  <c r="N33" i="8"/>
  <c r="M33" i="8"/>
  <c r="J33" i="8"/>
  <c r="I33" i="8"/>
  <c r="E33" i="8"/>
  <c r="D33" i="8"/>
  <c r="C33" i="8"/>
  <c r="B33" i="8"/>
  <c r="N32" i="8"/>
  <c r="M32" i="8"/>
  <c r="J32" i="8"/>
  <c r="I32" i="8"/>
  <c r="E32" i="8"/>
  <c r="D32" i="8"/>
  <c r="C32" i="8"/>
  <c r="B32" i="8"/>
  <c r="N31" i="8"/>
  <c r="M31" i="8"/>
  <c r="J31" i="8"/>
  <c r="I31" i="8"/>
  <c r="E31" i="8"/>
  <c r="D31" i="8"/>
  <c r="C31" i="8"/>
  <c r="B31" i="8"/>
  <c r="N30" i="8"/>
  <c r="M30" i="8"/>
  <c r="J30" i="8"/>
  <c r="I30" i="8"/>
  <c r="E30" i="8"/>
  <c r="D30" i="8"/>
  <c r="C30" i="8"/>
  <c r="B30" i="8"/>
  <c r="N29" i="8"/>
  <c r="M29" i="8"/>
  <c r="J29" i="8"/>
  <c r="I29" i="8"/>
  <c r="E29" i="8"/>
  <c r="D29" i="8"/>
  <c r="C29" i="8"/>
  <c r="B29" i="8"/>
  <c r="N28" i="8"/>
  <c r="M28" i="8"/>
  <c r="J28" i="8"/>
  <c r="I28" i="8"/>
  <c r="E28" i="8"/>
  <c r="D28" i="8"/>
  <c r="C28" i="8"/>
  <c r="B28" i="8"/>
  <c r="N27" i="8"/>
  <c r="M27" i="8"/>
  <c r="J27" i="8"/>
  <c r="I27" i="8"/>
  <c r="E27" i="8"/>
  <c r="D27" i="8"/>
  <c r="C27" i="8"/>
  <c r="B27" i="8"/>
  <c r="N26" i="8"/>
  <c r="M26" i="8"/>
  <c r="J26" i="8"/>
  <c r="I26" i="8"/>
  <c r="E26" i="8"/>
  <c r="D26" i="8"/>
  <c r="C26" i="8"/>
  <c r="B26" i="8"/>
  <c r="N25" i="8"/>
  <c r="M25" i="8"/>
  <c r="J25" i="8"/>
  <c r="I25" i="8"/>
  <c r="E25" i="8"/>
  <c r="D25" i="8"/>
  <c r="C25" i="8"/>
  <c r="B25" i="8"/>
  <c r="N24" i="8"/>
  <c r="M24" i="8"/>
  <c r="J24" i="8"/>
  <c r="I24" i="8"/>
  <c r="E24" i="8"/>
  <c r="D24" i="8"/>
  <c r="C24" i="8"/>
  <c r="B24" i="8"/>
  <c r="N23" i="8"/>
  <c r="M23" i="8"/>
  <c r="J23" i="8"/>
  <c r="I23" i="8"/>
  <c r="E23" i="8"/>
  <c r="D23" i="8"/>
  <c r="C23" i="8"/>
  <c r="B23" i="8"/>
  <c r="N22" i="8"/>
  <c r="M22" i="8"/>
  <c r="J22" i="8"/>
  <c r="I22" i="8"/>
  <c r="E22" i="8"/>
  <c r="D22" i="8"/>
  <c r="C22" i="8"/>
  <c r="B22" i="8"/>
  <c r="N21" i="8"/>
  <c r="M21" i="8"/>
  <c r="J21" i="8"/>
  <c r="I21" i="8"/>
  <c r="E21" i="8"/>
  <c r="D21" i="8"/>
  <c r="C21" i="8"/>
  <c r="B21" i="8"/>
  <c r="N20" i="8"/>
  <c r="M20" i="8"/>
  <c r="J20" i="8"/>
  <c r="I20" i="8"/>
  <c r="E20" i="8"/>
  <c r="D20" i="8"/>
  <c r="C20" i="8"/>
  <c r="B20" i="8"/>
  <c r="N19" i="8"/>
  <c r="M19" i="8"/>
  <c r="J19" i="8"/>
  <c r="I19" i="8"/>
  <c r="E19" i="8"/>
  <c r="D19" i="8"/>
  <c r="C19" i="8"/>
  <c r="B19" i="8"/>
  <c r="N18" i="8"/>
  <c r="M18" i="8"/>
  <c r="J18" i="8"/>
  <c r="I18" i="8"/>
  <c r="E18" i="8"/>
  <c r="D18" i="8"/>
  <c r="C18" i="8"/>
  <c r="B18" i="8"/>
  <c r="N17" i="8"/>
  <c r="M17" i="8"/>
  <c r="J17" i="8"/>
  <c r="I17" i="8"/>
  <c r="E17" i="8"/>
  <c r="D17" i="8"/>
  <c r="C17" i="8"/>
  <c r="B17" i="8"/>
  <c r="N16" i="8"/>
  <c r="M16" i="8"/>
  <c r="J16" i="8"/>
  <c r="I16" i="8"/>
  <c r="E16" i="8"/>
  <c r="D16" i="8"/>
  <c r="C16" i="8"/>
  <c r="B16" i="8"/>
  <c r="N15" i="8"/>
  <c r="M15" i="8"/>
  <c r="J15" i="8"/>
  <c r="I15" i="8"/>
  <c r="E15" i="8"/>
  <c r="D15" i="8"/>
  <c r="C15" i="8"/>
  <c r="B15" i="8"/>
  <c r="N14" i="8"/>
  <c r="M14" i="8"/>
  <c r="J14" i="8"/>
  <c r="I14" i="8"/>
  <c r="E14" i="8"/>
  <c r="D14" i="8"/>
  <c r="C14" i="8"/>
  <c r="B14" i="8"/>
  <c r="N13" i="8"/>
  <c r="M13" i="8"/>
  <c r="J13" i="8"/>
  <c r="I13" i="8"/>
  <c r="E13" i="8"/>
  <c r="D13" i="8"/>
  <c r="C13" i="8"/>
  <c r="B13" i="8"/>
  <c r="N12" i="8"/>
  <c r="M12" i="8"/>
  <c r="J12" i="8"/>
  <c r="I12" i="8"/>
  <c r="E12" i="8"/>
  <c r="D12" i="8"/>
  <c r="C12" i="8"/>
  <c r="B12" i="8"/>
  <c r="N11" i="8"/>
  <c r="M11" i="8"/>
  <c r="J11" i="8"/>
  <c r="I11" i="8"/>
  <c r="E11" i="8"/>
  <c r="D11" i="8"/>
  <c r="C11" i="8"/>
  <c r="B11" i="8"/>
  <c r="N10" i="8"/>
  <c r="M10" i="8"/>
  <c r="J10" i="8"/>
  <c r="I10" i="8"/>
  <c r="E10" i="8"/>
  <c r="D10" i="8"/>
  <c r="C10" i="8"/>
  <c r="B10" i="8"/>
  <c r="N9" i="8"/>
  <c r="M9" i="8"/>
  <c r="J9" i="8"/>
  <c r="I9" i="8"/>
  <c r="E9" i="8"/>
  <c r="D9" i="8"/>
  <c r="C9" i="8"/>
  <c r="B9" i="8"/>
  <c r="N8" i="8"/>
  <c r="M8" i="8"/>
  <c r="J8" i="8"/>
  <c r="I8" i="8"/>
  <c r="E8" i="8"/>
  <c r="D8" i="8"/>
  <c r="C8" i="8"/>
  <c r="B8" i="8"/>
  <c r="N7" i="8"/>
  <c r="M7" i="8"/>
  <c r="J7" i="8"/>
  <c r="I7" i="8"/>
  <c r="E7" i="8"/>
  <c r="D7" i="8"/>
  <c r="C7" i="8"/>
  <c r="B7" i="8"/>
  <c r="N6" i="8"/>
  <c r="M6" i="8"/>
  <c r="J6" i="8"/>
  <c r="I6" i="8"/>
  <c r="E6" i="8"/>
  <c r="D6" i="8"/>
  <c r="C6" i="8"/>
  <c r="B6" i="8"/>
  <c r="N5" i="8"/>
  <c r="M5" i="8"/>
  <c r="J5" i="8"/>
  <c r="I5" i="8"/>
  <c r="E5" i="8"/>
  <c r="D5" i="8"/>
  <c r="C5" i="8"/>
  <c r="B5" i="8"/>
  <c r="N4" i="8"/>
  <c r="M4" i="8"/>
  <c r="J4" i="8"/>
  <c r="I4" i="8"/>
  <c r="E4" i="8"/>
  <c r="D4" i="8"/>
  <c r="C4" i="8"/>
  <c r="B4" i="8"/>
  <c r="N3" i="8"/>
  <c r="M3" i="8"/>
  <c r="J3" i="8"/>
  <c r="I3" i="8"/>
  <c r="E3" i="8"/>
  <c r="D3" i="8"/>
  <c r="C3" i="8"/>
  <c r="B3" i="8"/>
  <c r="N2" i="8"/>
  <c r="M2" i="8"/>
  <c r="J2" i="8"/>
  <c r="I2" i="8"/>
  <c r="E2" i="8"/>
  <c r="D2" i="8"/>
  <c r="C2" i="8"/>
  <c r="B2" i="8"/>
  <c r="N42" i="7"/>
  <c r="M42" i="7"/>
  <c r="J42" i="7"/>
  <c r="I42" i="7"/>
  <c r="E42" i="7"/>
  <c r="D42" i="7"/>
  <c r="C42" i="7"/>
  <c r="B42" i="7"/>
  <c r="N41" i="7"/>
  <c r="M41" i="7"/>
  <c r="J41" i="7"/>
  <c r="I41" i="7"/>
  <c r="E41" i="7"/>
  <c r="D41" i="7"/>
  <c r="C41" i="7"/>
  <c r="B41" i="7"/>
  <c r="N40" i="7"/>
  <c r="M40" i="7"/>
  <c r="J40" i="7"/>
  <c r="I40" i="7"/>
  <c r="E40" i="7"/>
  <c r="D40" i="7"/>
  <c r="C40" i="7"/>
  <c r="B40" i="7"/>
  <c r="N39" i="7"/>
  <c r="M39" i="7"/>
  <c r="J39" i="7"/>
  <c r="I39" i="7"/>
  <c r="E39" i="7"/>
  <c r="D39" i="7"/>
  <c r="C39" i="7"/>
  <c r="B39" i="7"/>
  <c r="N38" i="7"/>
  <c r="M38" i="7"/>
  <c r="J38" i="7"/>
  <c r="I38" i="7"/>
  <c r="E38" i="7"/>
  <c r="D38" i="7"/>
  <c r="C38" i="7"/>
  <c r="B38" i="7"/>
  <c r="N37" i="7"/>
  <c r="M37" i="7"/>
  <c r="J37" i="7"/>
  <c r="I37" i="7"/>
  <c r="E37" i="7"/>
  <c r="D37" i="7"/>
  <c r="C37" i="7"/>
  <c r="B37" i="7"/>
  <c r="N36" i="7"/>
  <c r="M36" i="7"/>
  <c r="J36" i="7"/>
  <c r="I36" i="7"/>
  <c r="E36" i="7"/>
  <c r="D36" i="7"/>
  <c r="C36" i="7"/>
  <c r="B36" i="7"/>
  <c r="N35" i="7"/>
  <c r="M35" i="7"/>
  <c r="J35" i="7"/>
  <c r="I35" i="7"/>
  <c r="E35" i="7"/>
  <c r="D35" i="7"/>
  <c r="C35" i="7"/>
  <c r="B35" i="7"/>
  <c r="N34" i="7"/>
  <c r="M34" i="7"/>
  <c r="J34" i="7"/>
  <c r="I34" i="7"/>
  <c r="E34" i="7"/>
  <c r="D34" i="7"/>
  <c r="C34" i="7"/>
  <c r="B34" i="7"/>
  <c r="N33" i="7"/>
  <c r="M33" i="7"/>
  <c r="J33" i="7"/>
  <c r="I33" i="7"/>
  <c r="E33" i="7"/>
  <c r="D33" i="7"/>
  <c r="C33" i="7"/>
  <c r="B33" i="7"/>
  <c r="N32" i="7"/>
  <c r="M32" i="7"/>
  <c r="J32" i="7"/>
  <c r="I32" i="7"/>
  <c r="E32" i="7"/>
  <c r="D32" i="7"/>
  <c r="C32" i="7"/>
  <c r="B32" i="7"/>
  <c r="N31" i="7"/>
  <c r="M31" i="7"/>
  <c r="J31" i="7"/>
  <c r="I31" i="7"/>
  <c r="E31" i="7"/>
  <c r="D31" i="7"/>
  <c r="C31" i="7"/>
  <c r="B31" i="7"/>
  <c r="N30" i="7"/>
  <c r="M30" i="7"/>
  <c r="J30" i="7"/>
  <c r="I30" i="7"/>
  <c r="E30" i="7"/>
  <c r="D30" i="7"/>
  <c r="C30" i="7"/>
  <c r="B30" i="7"/>
  <c r="N29" i="7"/>
  <c r="M29" i="7"/>
  <c r="J29" i="7"/>
  <c r="I29" i="7"/>
  <c r="E29" i="7"/>
  <c r="D29" i="7"/>
  <c r="C29" i="7"/>
  <c r="B29" i="7"/>
  <c r="N28" i="7"/>
  <c r="M28" i="7"/>
  <c r="J28" i="7"/>
  <c r="I28" i="7"/>
  <c r="E28" i="7"/>
  <c r="D28" i="7"/>
  <c r="C28" i="7"/>
  <c r="B28" i="7"/>
  <c r="N27" i="7"/>
  <c r="M27" i="7"/>
  <c r="J27" i="7"/>
  <c r="I27" i="7"/>
  <c r="E27" i="7"/>
  <c r="D27" i="7"/>
  <c r="C27" i="7"/>
  <c r="B27" i="7"/>
  <c r="N26" i="7"/>
  <c r="M26" i="7"/>
  <c r="J26" i="7"/>
  <c r="I26" i="7"/>
  <c r="E26" i="7"/>
  <c r="D26" i="7"/>
  <c r="C26" i="7"/>
  <c r="B26" i="7"/>
  <c r="N25" i="7"/>
  <c r="M25" i="7"/>
  <c r="J25" i="7"/>
  <c r="I25" i="7"/>
  <c r="E25" i="7"/>
  <c r="D25" i="7"/>
  <c r="C25" i="7"/>
  <c r="B25" i="7"/>
  <c r="N24" i="7"/>
  <c r="M24" i="7"/>
  <c r="J24" i="7"/>
  <c r="I24" i="7"/>
  <c r="E24" i="7"/>
  <c r="D24" i="7"/>
  <c r="C24" i="7"/>
  <c r="B24" i="7"/>
  <c r="N23" i="7"/>
  <c r="M23" i="7"/>
  <c r="J23" i="7"/>
  <c r="I23" i="7"/>
  <c r="E23" i="7"/>
  <c r="D23" i="7"/>
  <c r="C23" i="7"/>
  <c r="B23" i="7"/>
  <c r="N22" i="7"/>
  <c r="M22" i="7"/>
  <c r="J22" i="7"/>
  <c r="I22" i="7"/>
  <c r="E22" i="7"/>
  <c r="D22" i="7"/>
  <c r="C22" i="7"/>
  <c r="B22" i="7"/>
  <c r="N21" i="7"/>
  <c r="M21" i="7"/>
  <c r="J21" i="7"/>
  <c r="I21" i="7"/>
  <c r="E21" i="7"/>
  <c r="D21" i="7"/>
  <c r="C21" i="7"/>
  <c r="B21" i="7"/>
  <c r="N20" i="7"/>
  <c r="M20" i="7"/>
  <c r="J20" i="7"/>
  <c r="I20" i="7"/>
  <c r="E20" i="7"/>
  <c r="D20" i="7"/>
  <c r="C20" i="7"/>
  <c r="B20" i="7"/>
  <c r="N19" i="7"/>
  <c r="M19" i="7"/>
  <c r="J19" i="7"/>
  <c r="I19" i="7"/>
  <c r="E19" i="7"/>
  <c r="D19" i="7"/>
  <c r="C19" i="7"/>
  <c r="B19" i="7"/>
  <c r="N18" i="7"/>
  <c r="M18" i="7"/>
  <c r="J18" i="7"/>
  <c r="I18" i="7"/>
  <c r="E18" i="7"/>
  <c r="D18" i="7"/>
  <c r="C18" i="7"/>
  <c r="B18" i="7"/>
  <c r="N17" i="7"/>
  <c r="M17" i="7"/>
  <c r="J17" i="7"/>
  <c r="I17" i="7"/>
  <c r="E17" i="7"/>
  <c r="D17" i="7"/>
  <c r="C17" i="7"/>
  <c r="B17" i="7"/>
  <c r="N16" i="7"/>
  <c r="M16" i="7"/>
  <c r="J16" i="7"/>
  <c r="I16" i="7"/>
  <c r="E16" i="7"/>
  <c r="D16" i="7"/>
  <c r="C16" i="7"/>
  <c r="B16" i="7"/>
  <c r="N15" i="7"/>
  <c r="M15" i="7"/>
  <c r="J15" i="7"/>
  <c r="I15" i="7"/>
  <c r="E15" i="7"/>
  <c r="D15" i="7"/>
  <c r="C15" i="7"/>
  <c r="B15" i="7"/>
  <c r="N14" i="7"/>
  <c r="M14" i="7"/>
  <c r="J14" i="7"/>
  <c r="I14" i="7"/>
  <c r="E14" i="7"/>
  <c r="D14" i="7"/>
  <c r="C14" i="7"/>
  <c r="B14" i="7"/>
  <c r="N13" i="7"/>
  <c r="M13" i="7"/>
  <c r="J13" i="7"/>
  <c r="I13" i="7"/>
  <c r="E13" i="7"/>
  <c r="D13" i="7"/>
  <c r="C13" i="7"/>
  <c r="B13" i="7"/>
  <c r="N12" i="7"/>
  <c r="M12" i="7"/>
  <c r="J12" i="7"/>
  <c r="I12" i="7"/>
  <c r="E12" i="7"/>
  <c r="D12" i="7"/>
  <c r="C12" i="7"/>
  <c r="B12" i="7"/>
  <c r="N11" i="7"/>
  <c r="M11" i="7"/>
  <c r="J11" i="7"/>
  <c r="I11" i="7"/>
  <c r="E11" i="7"/>
  <c r="D11" i="7"/>
  <c r="C11" i="7"/>
  <c r="B11" i="7"/>
  <c r="N10" i="7"/>
  <c r="M10" i="7"/>
  <c r="J10" i="7"/>
  <c r="I10" i="7"/>
  <c r="E10" i="7"/>
  <c r="D10" i="7"/>
  <c r="C10" i="7"/>
  <c r="B10" i="7"/>
  <c r="N9" i="7"/>
  <c r="M9" i="7"/>
  <c r="J9" i="7"/>
  <c r="I9" i="7"/>
  <c r="E9" i="7"/>
  <c r="D9" i="7"/>
  <c r="C9" i="7"/>
  <c r="B9" i="7"/>
  <c r="N8" i="7"/>
  <c r="M8" i="7"/>
  <c r="J8" i="7"/>
  <c r="I8" i="7"/>
  <c r="E8" i="7"/>
  <c r="D8" i="7"/>
  <c r="C8" i="7"/>
  <c r="B8" i="7"/>
  <c r="N7" i="7"/>
  <c r="M7" i="7"/>
  <c r="J7" i="7"/>
  <c r="I7" i="7"/>
  <c r="E7" i="7"/>
  <c r="D7" i="7"/>
  <c r="C7" i="7"/>
  <c r="B7" i="7"/>
  <c r="N6" i="7"/>
  <c r="M6" i="7"/>
  <c r="J6" i="7"/>
  <c r="I6" i="7"/>
  <c r="E6" i="7"/>
  <c r="D6" i="7"/>
  <c r="C6" i="7"/>
  <c r="B6" i="7"/>
  <c r="N5" i="7"/>
  <c r="M5" i="7"/>
  <c r="J5" i="7"/>
  <c r="I5" i="7"/>
  <c r="E5" i="7"/>
  <c r="D5" i="7"/>
  <c r="C5" i="7"/>
  <c r="B5" i="7"/>
  <c r="N4" i="7"/>
  <c r="M4" i="7"/>
  <c r="J4" i="7"/>
  <c r="I4" i="7"/>
  <c r="E4" i="7"/>
  <c r="D4" i="7"/>
  <c r="C4" i="7"/>
  <c r="B4" i="7"/>
  <c r="N3" i="7"/>
  <c r="M3" i="7"/>
  <c r="J3" i="7"/>
  <c r="I3" i="7"/>
  <c r="E3" i="7"/>
  <c r="D3" i="7"/>
  <c r="C3" i="7"/>
  <c r="B3" i="7"/>
  <c r="N2" i="7"/>
  <c r="M2" i="7"/>
  <c r="J2" i="7"/>
  <c r="I2" i="7"/>
  <c r="E2" i="7"/>
  <c r="D2" i="7"/>
  <c r="C2" i="7"/>
  <c r="B2" i="7"/>
  <c r="N40" i="6"/>
  <c r="M40" i="6"/>
  <c r="J40" i="6"/>
  <c r="I40" i="6"/>
  <c r="E40" i="6"/>
  <c r="D40" i="6"/>
  <c r="C40" i="6"/>
  <c r="B40" i="6"/>
  <c r="N39" i="6"/>
  <c r="M39" i="6"/>
  <c r="J39" i="6"/>
  <c r="I39" i="6"/>
  <c r="E39" i="6"/>
  <c r="D39" i="6"/>
  <c r="C39" i="6"/>
  <c r="B39" i="6"/>
  <c r="N38" i="6"/>
  <c r="M38" i="6"/>
  <c r="J38" i="6"/>
  <c r="I38" i="6"/>
  <c r="E38" i="6"/>
  <c r="D38" i="6"/>
  <c r="C38" i="6"/>
  <c r="B38" i="6"/>
  <c r="N37" i="6"/>
  <c r="M37" i="6"/>
  <c r="J37" i="6"/>
  <c r="I37" i="6"/>
  <c r="E37" i="6"/>
  <c r="D37" i="6"/>
  <c r="C37" i="6"/>
  <c r="B37" i="6"/>
  <c r="N36" i="6"/>
  <c r="M36" i="6"/>
  <c r="J36" i="6"/>
  <c r="I36" i="6"/>
  <c r="E36" i="6"/>
  <c r="D36" i="6"/>
  <c r="C36" i="6"/>
  <c r="B36" i="6"/>
  <c r="N35" i="6"/>
  <c r="M35" i="6"/>
  <c r="J35" i="6"/>
  <c r="I35" i="6"/>
  <c r="E35" i="6"/>
  <c r="D35" i="6"/>
  <c r="C35" i="6"/>
  <c r="B35" i="6"/>
  <c r="N34" i="6"/>
  <c r="M34" i="6"/>
  <c r="J34" i="6"/>
  <c r="I34" i="6"/>
  <c r="E34" i="6"/>
  <c r="D34" i="6"/>
  <c r="C34" i="6"/>
  <c r="B34" i="6"/>
  <c r="N33" i="6"/>
  <c r="M33" i="6"/>
  <c r="J33" i="6"/>
  <c r="I33" i="6"/>
  <c r="E33" i="6"/>
  <c r="D33" i="6"/>
  <c r="C33" i="6"/>
  <c r="B33" i="6"/>
  <c r="N32" i="6"/>
  <c r="M32" i="6"/>
  <c r="J32" i="6"/>
  <c r="I32" i="6"/>
  <c r="E32" i="6"/>
  <c r="D32" i="6"/>
  <c r="C32" i="6"/>
  <c r="B32" i="6"/>
  <c r="N31" i="6"/>
  <c r="M31" i="6"/>
  <c r="J31" i="6"/>
  <c r="I31" i="6"/>
  <c r="E31" i="6"/>
  <c r="D31" i="6"/>
  <c r="C31" i="6"/>
  <c r="B31" i="6"/>
  <c r="N30" i="6"/>
  <c r="M30" i="6"/>
  <c r="J30" i="6"/>
  <c r="I30" i="6"/>
  <c r="E30" i="6"/>
  <c r="D30" i="6"/>
  <c r="C30" i="6"/>
  <c r="B30" i="6"/>
  <c r="N29" i="6"/>
  <c r="M29" i="6"/>
  <c r="J29" i="6"/>
  <c r="I29" i="6"/>
  <c r="E29" i="6"/>
  <c r="D29" i="6"/>
  <c r="C29" i="6"/>
  <c r="B29" i="6"/>
  <c r="N28" i="6"/>
  <c r="M28" i="6"/>
  <c r="J28" i="6"/>
  <c r="I28" i="6"/>
  <c r="E28" i="6"/>
  <c r="D28" i="6"/>
  <c r="C28" i="6"/>
  <c r="B28" i="6"/>
  <c r="N27" i="6"/>
  <c r="M27" i="6"/>
  <c r="J27" i="6"/>
  <c r="I27" i="6"/>
  <c r="E27" i="6"/>
  <c r="D27" i="6"/>
  <c r="C27" i="6"/>
  <c r="B27" i="6"/>
  <c r="N26" i="6"/>
  <c r="M26" i="6"/>
  <c r="J26" i="6"/>
  <c r="I26" i="6"/>
  <c r="E26" i="6"/>
  <c r="D26" i="6"/>
  <c r="C26" i="6"/>
  <c r="B26" i="6"/>
  <c r="N25" i="6"/>
  <c r="M25" i="6"/>
  <c r="J25" i="6"/>
  <c r="I25" i="6"/>
  <c r="E25" i="6"/>
  <c r="D25" i="6"/>
  <c r="C25" i="6"/>
  <c r="B25" i="6"/>
  <c r="N24" i="6"/>
  <c r="M24" i="6"/>
  <c r="J24" i="6"/>
  <c r="I24" i="6"/>
  <c r="E24" i="6"/>
  <c r="D24" i="6"/>
  <c r="C24" i="6"/>
  <c r="B24" i="6"/>
  <c r="N23" i="6"/>
  <c r="M23" i="6"/>
  <c r="J23" i="6"/>
  <c r="I23" i="6"/>
  <c r="E23" i="6"/>
  <c r="D23" i="6"/>
  <c r="C23" i="6"/>
  <c r="B23" i="6"/>
  <c r="N22" i="6"/>
  <c r="M22" i="6"/>
  <c r="J22" i="6"/>
  <c r="I22" i="6"/>
  <c r="E22" i="6"/>
  <c r="D22" i="6"/>
  <c r="C22" i="6"/>
  <c r="B22" i="6"/>
  <c r="N21" i="6"/>
  <c r="M21" i="6"/>
  <c r="J21" i="6"/>
  <c r="I21" i="6"/>
  <c r="E21" i="6"/>
  <c r="D21" i="6"/>
  <c r="C21" i="6"/>
  <c r="B21" i="6"/>
  <c r="N20" i="6"/>
  <c r="M20" i="6"/>
  <c r="J20" i="6"/>
  <c r="I20" i="6"/>
  <c r="E20" i="6"/>
  <c r="D20" i="6"/>
  <c r="C20" i="6"/>
  <c r="B20" i="6"/>
  <c r="N19" i="6"/>
  <c r="M19" i="6"/>
  <c r="J19" i="6"/>
  <c r="I19" i="6"/>
  <c r="E19" i="6"/>
  <c r="D19" i="6"/>
  <c r="C19" i="6"/>
  <c r="B19" i="6"/>
  <c r="N18" i="6"/>
  <c r="M18" i="6"/>
  <c r="J18" i="6"/>
  <c r="I18" i="6"/>
  <c r="E18" i="6"/>
  <c r="D18" i="6"/>
  <c r="C18" i="6"/>
  <c r="B18" i="6"/>
  <c r="N17" i="6"/>
  <c r="M17" i="6"/>
  <c r="J17" i="6"/>
  <c r="I17" i="6"/>
  <c r="E17" i="6"/>
  <c r="D17" i="6"/>
  <c r="C17" i="6"/>
  <c r="B17" i="6"/>
  <c r="N16" i="6"/>
  <c r="M16" i="6"/>
  <c r="J16" i="6"/>
  <c r="I16" i="6"/>
  <c r="E16" i="6"/>
  <c r="D16" i="6"/>
  <c r="C16" i="6"/>
  <c r="B16" i="6"/>
  <c r="N15" i="6"/>
  <c r="M15" i="6"/>
  <c r="J15" i="6"/>
  <c r="I15" i="6"/>
  <c r="E15" i="6"/>
  <c r="D15" i="6"/>
  <c r="C15" i="6"/>
  <c r="B15" i="6"/>
  <c r="N14" i="6"/>
  <c r="M14" i="6"/>
  <c r="J14" i="6"/>
  <c r="I14" i="6"/>
  <c r="E14" i="6"/>
  <c r="D14" i="6"/>
  <c r="C14" i="6"/>
  <c r="B14" i="6"/>
  <c r="N13" i="6"/>
  <c r="M13" i="6"/>
  <c r="J13" i="6"/>
  <c r="I13" i="6"/>
  <c r="E13" i="6"/>
  <c r="D13" i="6"/>
  <c r="C13" i="6"/>
  <c r="B13" i="6"/>
  <c r="N12" i="6"/>
  <c r="M12" i="6"/>
  <c r="J12" i="6"/>
  <c r="I12" i="6"/>
  <c r="E12" i="6"/>
  <c r="D12" i="6"/>
  <c r="C12" i="6"/>
  <c r="B12" i="6"/>
  <c r="N11" i="6"/>
  <c r="M11" i="6"/>
  <c r="J11" i="6"/>
  <c r="I11" i="6"/>
  <c r="E11" i="6"/>
  <c r="D11" i="6"/>
  <c r="C11" i="6"/>
  <c r="B11" i="6"/>
  <c r="N10" i="6"/>
  <c r="M10" i="6"/>
  <c r="J10" i="6"/>
  <c r="I10" i="6"/>
  <c r="E10" i="6"/>
  <c r="D10" i="6"/>
  <c r="C10" i="6"/>
  <c r="B10" i="6"/>
  <c r="N9" i="6"/>
  <c r="M9" i="6"/>
  <c r="J9" i="6"/>
  <c r="I9" i="6"/>
  <c r="E9" i="6"/>
  <c r="D9" i="6"/>
  <c r="C9" i="6"/>
  <c r="B9" i="6"/>
  <c r="N8" i="6"/>
  <c r="M8" i="6"/>
  <c r="J8" i="6"/>
  <c r="I8" i="6"/>
  <c r="E8" i="6"/>
  <c r="D8" i="6"/>
  <c r="C8" i="6"/>
  <c r="B8" i="6"/>
  <c r="N7" i="6"/>
  <c r="M7" i="6"/>
  <c r="J7" i="6"/>
  <c r="I7" i="6"/>
  <c r="E7" i="6"/>
  <c r="D7" i="6"/>
  <c r="C7" i="6"/>
  <c r="B7" i="6"/>
  <c r="N6" i="6"/>
  <c r="M6" i="6"/>
  <c r="J6" i="6"/>
  <c r="I6" i="6"/>
  <c r="E6" i="6"/>
  <c r="D6" i="6"/>
  <c r="C6" i="6"/>
  <c r="B6" i="6"/>
  <c r="N5" i="6"/>
  <c r="M5" i="6"/>
  <c r="J5" i="6"/>
  <c r="I5" i="6"/>
  <c r="E5" i="6"/>
  <c r="D5" i="6"/>
  <c r="C5" i="6"/>
  <c r="B5" i="6"/>
  <c r="N4" i="6"/>
  <c r="M4" i="6"/>
  <c r="J4" i="6"/>
  <c r="I4" i="6"/>
  <c r="E4" i="6"/>
  <c r="D4" i="6"/>
  <c r="C4" i="6"/>
  <c r="B4" i="6"/>
  <c r="N3" i="6"/>
  <c r="M3" i="6"/>
  <c r="J3" i="6"/>
  <c r="I3" i="6"/>
  <c r="E3" i="6"/>
  <c r="D3" i="6"/>
  <c r="C3" i="6"/>
  <c r="B3" i="6"/>
  <c r="N2" i="6"/>
  <c r="M2" i="6"/>
  <c r="J2" i="6"/>
  <c r="I2" i="6"/>
  <c r="E2" i="6"/>
  <c r="D2" i="6"/>
  <c r="C2" i="6"/>
  <c r="B2" i="6"/>
  <c r="N29" i="5"/>
  <c r="M29" i="5"/>
  <c r="J29" i="5"/>
  <c r="I29" i="5"/>
  <c r="E29" i="5"/>
  <c r="D29" i="5"/>
  <c r="C29" i="5"/>
  <c r="B29" i="5"/>
  <c r="N28" i="5"/>
  <c r="M28" i="5"/>
  <c r="J28" i="5"/>
  <c r="I28" i="5"/>
  <c r="E28" i="5"/>
  <c r="D28" i="5"/>
  <c r="C28" i="5"/>
  <c r="B28" i="5"/>
  <c r="N27" i="5"/>
  <c r="M27" i="5"/>
  <c r="J27" i="5"/>
  <c r="I27" i="5"/>
  <c r="E27" i="5"/>
  <c r="D27" i="5"/>
  <c r="C27" i="5"/>
  <c r="B27" i="5"/>
  <c r="N26" i="5"/>
  <c r="M26" i="5"/>
  <c r="J26" i="5"/>
  <c r="I26" i="5"/>
  <c r="E26" i="5"/>
  <c r="D26" i="5"/>
  <c r="C26" i="5"/>
  <c r="B26" i="5"/>
  <c r="N25" i="5"/>
  <c r="M25" i="5"/>
  <c r="J25" i="5"/>
  <c r="I25" i="5"/>
  <c r="E25" i="5"/>
  <c r="D25" i="5"/>
  <c r="C25" i="5"/>
  <c r="B25" i="5"/>
  <c r="N24" i="5"/>
  <c r="M24" i="5"/>
  <c r="J24" i="5"/>
  <c r="I24" i="5"/>
  <c r="E24" i="5"/>
  <c r="D24" i="5"/>
  <c r="C24" i="5"/>
  <c r="B24" i="5"/>
  <c r="N23" i="5"/>
  <c r="M23" i="5"/>
  <c r="J23" i="5"/>
  <c r="I23" i="5"/>
  <c r="E23" i="5"/>
  <c r="D23" i="5"/>
  <c r="C23" i="5"/>
  <c r="B23" i="5"/>
  <c r="N22" i="5"/>
  <c r="M22" i="5"/>
  <c r="J22" i="5"/>
  <c r="I22" i="5"/>
  <c r="E22" i="5"/>
  <c r="D22" i="5"/>
  <c r="C22" i="5"/>
  <c r="B22" i="5"/>
  <c r="N21" i="5"/>
  <c r="M21" i="5"/>
  <c r="J21" i="5"/>
  <c r="I21" i="5"/>
  <c r="E21" i="5"/>
  <c r="D21" i="5"/>
  <c r="C21" i="5"/>
  <c r="B21" i="5"/>
  <c r="N20" i="5"/>
  <c r="M20" i="5"/>
  <c r="J20" i="5"/>
  <c r="I20" i="5"/>
  <c r="E20" i="5"/>
  <c r="D20" i="5"/>
  <c r="C20" i="5"/>
  <c r="B20" i="5"/>
  <c r="N19" i="5"/>
  <c r="M19" i="5"/>
  <c r="J19" i="5"/>
  <c r="I19" i="5"/>
  <c r="E19" i="5"/>
  <c r="D19" i="5"/>
  <c r="C19" i="5"/>
  <c r="B19" i="5"/>
  <c r="N18" i="5"/>
  <c r="M18" i="5"/>
  <c r="J18" i="5"/>
  <c r="I18" i="5"/>
  <c r="E18" i="5"/>
  <c r="D18" i="5"/>
  <c r="C18" i="5"/>
  <c r="B18" i="5"/>
  <c r="N17" i="5"/>
  <c r="M17" i="5"/>
  <c r="J17" i="5"/>
  <c r="I17" i="5"/>
  <c r="E17" i="5"/>
  <c r="D17" i="5"/>
  <c r="C17" i="5"/>
  <c r="B17" i="5"/>
  <c r="N16" i="5"/>
  <c r="M16" i="5"/>
  <c r="J16" i="5"/>
  <c r="I16" i="5"/>
  <c r="E16" i="5"/>
  <c r="D16" i="5"/>
  <c r="C16" i="5"/>
  <c r="B16" i="5"/>
  <c r="N15" i="5"/>
  <c r="M15" i="5"/>
  <c r="J15" i="5"/>
  <c r="I15" i="5"/>
  <c r="E15" i="5"/>
  <c r="D15" i="5"/>
  <c r="C15" i="5"/>
  <c r="B15" i="5"/>
  <c r="N14" i="5"/>
  <c r="M14" i="5"/>
  <c r="J14" i="5"/>
  <c r="I14" i="5"/>
  <c r="E14" i="5"/>
  <c r="D14" i="5"/>
  <c r="C14" i="5"/>
  <c r="B14" i="5"/>
  <c r="N13" i="5"/>
  <c r="M13" i="5"/>
  <c r="J13" i="5"/>
  <c r="I13" i="5"/>
  <c r="E13" i="5"/>
  <c r="D13" i="5"/>
  <c r="C13" i="5"/>
  <c r="B13" i="5"/>
  <c r="N12" i="5"/>
  <c r="M12" i="5"/>
  <c r="J12" i="5"/>
  <c r="I12" i="5"/>
  <c r="E12" i="5"/>
  <c r="D12" i="5"/>
  <c r="C12" i="5"/>
  <c r="B12" i="5"/>
  <c r="N11" i="5"/>
  <c r="M11" i="5"/>
  <c r="J11" i="5"/>
  <c r="I11" i="5"/>
  <c r="E11" i="5"/>
  <c r="D11" i="5"/>
  <c r="C11" i="5"/>
  <c r="B11" i="5"/>
  <c r="N10" i="5"/>
  <c r="M10" i="5"/>
  <c r="J10" i="5"/>
  <c r="I10" i="5"/>
  <c r="E10" i="5"/>
  <c r="D10" i="5"/>
  <c r="C10" i="5"/>
  <c r="B10" i="5"/>
  <c r="N9" i="5"/>
  <c r="M9" i="5"/>
  <c r="J9" i="5"/>
  <c r="I9" i="5"/>
  <c r="E9" i="5"/>
  <c r="D9" i="5"/>
  <c r="C9" i="5"/>
  <c r="B9" i="5"/>
  <c r="N8" i="5"/>
  <c r="M8" i="5"/>
  <c r="J8" i="5"/>
  <c r="I8" i="5"/>
  <c r="E8" i="5"/>
  <c r="D8" i="5"/>
  <c r="C8" i="5"/>
  <c r="B8" i="5"/>
  <c r="N7" i="5"/>
  <c r="M7" i="5"/>
  <c r="J7" i="5"/>
  <c r="I7" i="5"/>
  <c r="E7" i="5"/>
  <c r="D7" i="5"/>
  <c r="C7" i="5"/>
  <c r="B7" i="5"/>
  <c r="N6" i="5"/>
  <c r="M6" i="5"/>
  <c r="J6" i="5"/>
  <c r="I6" i="5"/>
  <c r="E6" i="5"/>
  <c r="D6" i="5"/>
  <c r="C6" i="5"/>
  <c r="B6" i="5"/>
  <c r="N5" i="5"/>
  <c r="M5" i="5"/>
  <c r="J5" i="5"/>
  <c r="I5" i="5"/>
  <c r="E5" i="5"/>
  <c r="D5" i="5"/>
  <c r="C5" i="5"/>
  <c r="B5" i="5"/>
  <c r="N4" i="5"/>
  <c r="M4" i="5"/>
  <c r="J4" i="5"/>
  <c r="I4" i="5"/>
  <c r="E4" i="5"/>
  <c r="D4" i="5"/>
  <c r="C4" i="5"/>
  <c r="B4" i="5"/>
  <c r="N3" i="5"/>
  <c r="M3" i="5"/>
  <c r="J3" i="5"/>
  <c r="I3" i="5"/>
  <c r="E3" i="5"/>
  <c r="D3" i="5"/>
  <c r="C3" i="5"/>
  <c r="B3" i="5"/>
  <c r="N2" i="5"/>
  <c r="M2" i="5"/>
  <c r="J2" i="5"/>
  <c r="I2" i="5"/>
  <c r="E2" i="5"/>
  <c r="D2" i="5"/>
  <c r="C2" i="5"/>
  <c r="B2" i="5"/>
  <c r="N27" i="4"/>
  <c r="M27" i="4"/>
  <c r="J27" i="4"/>
  <c r="I27" i="4"/>
  <c r="E27" i="4"/>
  <c r="D27" i="4"/>
  <c r="C27" i="4"/>
  <c r="B27" i="4"/>
  <c r="N26" i="4"/>
  <c r="M26" i="4"/>
  <c r="J26" i="4"/>
  <c r="I26" i="4"/>
  <c r="E26" i="4"/>
  <c r="D26" i="4"/>
  <c r="C26" i="4"/>
  <c r="B26" i="4"/>
  <c r="N25" i="4"/>
  <c r="M25" i="4"/>
  <c r="J25" i="4"/>
  <c r="I25" i="4"/>
  <c r="E25" i="4"/>
  <c r="D25" i="4"/>
  <c r="C25" i="4"/>
  <c r="B25" i="4"/>
  <c r="N24" i="4"/>
  <c r="M24" i="4"/>
  <c r="J24" i="4"/>
  <c r="I24" i="4"/>
  <c r="E24" i="4"/>
  <c r="D24" i="4"/>
  <c r="C24" i="4"/>
  <c r="B24" i="4"/>
  <c r="N23" i="4"/>
  <c r="M23" i="4"/>
  <c r="J23" i="4"/>
  <c r="I23" i="4"/>
  <c r="E23" i="4"/>
  <c r="D23" i="4"/>
  <c r="C23" i="4"/>
  <c r="B23" i="4"/>
  <c r="N22" i="4"/>
  <c r="M22" i="4"/>
  <c r="J22" i="4"/>
  <c r="I22" i="4"/>
  <c r="E22" i="4"/>
  <c r="D22" i="4"/>
  <c r="C22" i="4"/>
  <c r="B22" i="4"/>
  <c r="N21" i="4"/>
  <c r="M21" i="4"/>
  <c r="J21" i="4"/>
  <c r="I21" i="4"/>
  <c r="E21" i="4"/>
  <c r="D21" i="4"/>
  <c r="C21" i="4"/>
  <c r="B21" i="4"/>
  <c r="N20" i="4"/>
  <c r="M20" i="4"/>
  <c r="J20" i="4"/>
  <c r="I20" i="4"/>
  <c r="E20" i="4"/>
  <c r="D20" i="4"/>
  <c r="C20" i="4"/>
  <c r="B20" i="4"/>
  <c r="N19" i="4"/>
  <c r="M19" i="4"/>
  <c r="J19" i="4"/>
  <c r="I19" i="4"/>
  <c r="E19" i="4"/>
  <c r="D19" i="4"/>
  <c r="C19" i="4"/>
  <c r="B19" i="4"/>
  <c r="N18" i="4"/>
  <c r="M18" i="4"/>
  <c r="J18" i="4"/>
  <c r="I18" i="4"/>
  <c r="E18" i="4"/>
  <c r="D18" i="4"/>
  <c r="C18" i="4"/>
  <c r="B18" i="4"/>
  <c r="N17" i="4"/>
  <c r="M17" i="4"/>
  <c r="J17" i="4"/>
  <c r="I17" i="4"/>
  <c r="E17" i="4"/>
  <c r="D17" i="4"/>
  <c r="C17" i="4"/>
  <c r="B17" i="4"/>
  <c r="N16" i="4"/>
  <c r="M16" i="4"/>
  <c r="J16" i="4"/>
  <c r="I16" i="4"/>
  <c r="E16" i="4"/>
  <c r="D16" i="4"/>
  <c r="C16" i="4"/>
  <c r="B16" i="4"/>
  <c r="N15" i="4"/>
  <c r="M15" i="4"/>
  <c r="J15" i="4"/>
  <c r="I15" i="4"/>
  <c r="E15" i="4"/>
  <c r="D15" i="4"/>
  <c r="C15" i="4"/>
  <c r="B15" i="4"/>
  <c r="N14" i="4"/>
  <c r="M14" i="4"/>
  <c r="J14" i="4"/>
  <c r="I14" i="4"/>
  <c r="E14" i="4"/>
  <c r="D14" i="4"/>
  <c r="C14" i="4"/>
  <c r="B14" i="4"/>
  <c r="N13" i="4"/>
  <c r="M13" i="4"/>
  <c r="J13" i="4"/>
  <c r="I13" i="4"/>
  <c r="E13" i="4"/>
  <c r="D13" i="4"/>
  <c r="C13" i="4"/>
  <c r="B13" i="4"/>
  <c r="N12" i="4"/>
  <c r="M12" i="4"/>
  <c r="J12" i="4"/>
  <c r="I12" i="4"/>
  <c r="E12" i="4"/>
  <c r="D12" i="4"/>
  <c r="C12" i="4"/>
  <c r="B12" i="4"/>
  <c r="N11" i="4"/>
  <c r="M11" i="4"/>
  <c r="J11" i="4"/>
  <c r="I11" i="4"/>
  <c r="E11" i="4"/>
  <c r="D11" i="4"/>
  <c r="C11" i="4"/>
  <c r="B11" i="4"/>
  <c r="N10" i="4"/>
  <c r="M10" i="4"/>
  <c r="J10" i="4"/>
  <c r="I10" i="4"/>
  <c r="E10" i="4"/>
  <c r="D10" i="4"/>
  <c r="C10" i="4"/>
  <c r="B10" i="4"/>
  <c r="N9" i="4"/>
  <c r="M9" i="4"/>
  <c r="J9" i="4"/>
  <c r="I9" i="4"/>
  <c r="E9" i="4"/>
  <c r="D9" i="4"/>
  <c r="C9" i="4"/>
  <c r="B9" i="4"/>
  <c r="N8" i="4"/>
  <c r="M8" i="4"/>
  <c r="J8" i="4"/>
  <c r="I8" i="4"/>
  <c r="E8" i="4"/>
  <c r="D8" i="4"/>
  <c r="C8" i="4"/>
  <c r="B8" i="4"/>
  <c r="N7" i="4"/>
  <c r="M7" i="4"/>
  <c r="J7" i="4"/>
  <c r="I7" i="4"/>
  <c r="E7" i="4"/>
  <c r="D7" i="4"/>
  <c r="C7" i="4"/>
  <c r="B7" i="4"/>
  <c r="N6" i="4"/>
  <c r="M6" i="4"/>
  <c r="J6" i="4"/>
  <c r="I6" i="4"/>
  <c r="E6" i="4"/>
  <c r="D6" i="4"/>
  <c r="C6" i="4"/>
  <c r="B6" i="4"/>
  <c r="N5" i="4"/>
  <c r="M5" i="4"/>
  <c r="J5" i="4"/>
  <c r="I5" i="4"/>
  <c r="E5" i="4"/>
  <c r="D5" i="4"/>
  <c r="C5" i="4"/>
  <c r="B5" i="4"/>
  <c r="N4" i="4"/>
  <c r="M4" i="4"/>
  <c r="J4" i="4"/>
  <c r="I4" i="4"/>
  <c r="E4" i="4"/>
  <c r="D4" i="4"/>
  <c r="C4" i="4"/>
  <c r="B4" i="4"/>
  <c r="N3" i="4"/>
  <c r="M3" i="4"/>
  <c r="J3" i="4"/>
  <c r="I3" i="4"/>
  <c r="E3" i="4"/>
  <c r="D3" i="4"/>
  <c r="C3" i="4"/>
  <c r="B3" i="4"/>
  <c r="N2" i="4"/>
  <c r="M2" i="4"/>
  <c r="J2" i="4"/>
  <c r="I2" i="4"/>
  <c r="E2" i="4"/>
  <c r="D2" i="4"/>
  <c r="C2" i="4"/>
  <c r="B2" i="4"/>
  <c r="N27" i="3"/>
  <c r="M27" i="3"/>
  <c r="J27" i="3"/>
  <c r="I27" i="3"/>
  <c r="E27" i="3"/>
  <c r="D27" i="3"/>
  <c r="C27" i="3"/>
  <c r="B27" i="3"/>
  <c r="N26" i="3"/>
  <c r="M26" i="3"/>
  <c r="J26" i="3"/>
  <c r="I26" i="3"/>
  <c r="E26" i="3"/>
  <c r="D26" i="3"/>
  <c r="C26" i="3"/>
  <c r="B26" i="3"/>
  <c r="N25" i="3"/>
  <c r="M25" i="3"/>
  <c r="J25" i="3"/>
  <c r="I25" i="3"/>
  <c r="E25" i="3"/>
  <c r="D25" i="3"/>
  <c r="C25" i="3"/>
  <c r="B25" i="3"/>
  <c r="N24" i="3"/>
  <c r="M24" i="3"/>
  <c r="J24" i="3"/>
  <c r="I24" i="3"/>
  <c r="E24" i="3"/>
  <c r="D24" i="3"/>
  <c r="C24" i="3"/>
  <c r="B24" i="3"/>
  <c r="N23" i="3"/>
  <c r="M23" i="3"/>
  <c r="J23" i="3"/>
  <c r="I23" i="3"/>
  <c r="E23" i="3"/>
  <c r="D23" i="3"/>
  <c r="C23" i="3"/>
  <c r="B23" i="3"/>
  <c r="N22" i="3"/>
  <c r="M22" i="3"/>
  <c r="J22" i="3"/>
  <c r="I22" i="3"/>
  <c r="E22" i="3"/>
  <c r="D22" i="3"/>
  <c r="C22" i="3"/>
  <c r="B22" i="3"/>
  <c r="N21" i="3"/>
  <c r="M21" i="3"/>
  <c r="J21" i="3"/>
  <c r="I21" i="3"/>
  <c r="E21" i="3"/>
  <c r="D21" i="3"/>
  <c r="C21" i="3"/>
  <c r="B21" i="3"/>
  <c r="N20" i="3"/>
  <c r="M20" i="3"/>
  <c r="J20" i="3"/>
  <c r="I20" i="3"/>
  <c r="E20" i="3"/>
  <c r="D20" i="3"/>
  <c r="C20" i="3"/>
  <c r="B20" i="3"/>
  <c r="N19" i="3"/>
  <c r="M19" i="3"/>
  <c r="J19" i="3"/>
  <c r="I19" i="3"/>
  <c r="E19" i="3"/>
  <c r="D19" i="3"/>
  <c r="C19" i="3"/>
  <c r="B19" i="3"/>
  <c r="N18" i="3"/>
  <c r="M18" i="3"/>
  <c r="J18" i="3"/>
  <c r="I18" i="3"/>
  <c r="E18" i="3"/>
  <c r="D18" i="3"/>
  <c r="C18" i="3"/>
  <c r="B18" i="3"/>
  <c r="N17" i="3"/>
  <c r="M17" i="3"/>
  <c r="J17" i="3"/>
  <c r="I17" i="3"/>
  <c r="E17" i="3"/>
  <c r="D17" i="3"/>
  <c r="C17" i="3"/>
  <c r="B17" i="3"/>
  <c r="N16" i="3"/>
  <c r="M16" i="3"/>
  <c r="J16" i="3"/>
  <c r="I16" i="3"/>
  <c r="E16" i="3"/>
  <c r="D16" i="3"/>
  <c r="C16" i="3"/>
  <c r="B16" i="3"/>
  <c r="N15" i="3"/>
  <c r="M15" i="3"/>
  <c r="J15" i="3"/>
  <c r="I15" i="3"/>
  <c r="E15" i="3"/>
  <c r="D15" i="3"/>
  <c r="C15" i="3"/>
  <c r="B15" i="3"/>
  <c r="N14" i="3"/>
  <c r="M14" i="3"/>
  <c r="J14" i="3"/>
  <c r="I14" i="3"/>
  <c r="E14" i="3"/>
  <c r="D14" i="3"/>
  <c r="C14" i="3"/>
  <c r="B14" i="3"/>
  <c r="N13" i="3"/>
  <c r="M13" i="3"/>
  <c r="J13" i="3"/>
  <c r="I13" i="3"/>
  <c r="E13" i="3"/>
  <c r="D13" i="3"/>
  <c r="C13" i="3"/>
  <c r="B13" i="3"/>
  <c r="N12" i="3"/>
  <c r="M12" i="3"/>
  <c r="J12" i="3"/>
  <c r="I12" i="3"/>
  <c r="E12" i="3"/>
  <c r="D12" i="3"/>
  <c r="C12" i="3"/>
  <c r="B12" i="3"/>
  <c r="N11" i="3"/>
  <c r="M11" i="3"/>
  <c r="J11" i="3"/>
  <c r="I11" i="3"/>
  <c r="E11" i="3"/>
  <c r="D11" i="3"/>
  <c r="C11" i="3"/>
  <c r="B11" i="3"/>
  <c r="N10" i="3"/>
  <c r="M10" i="3"/>
  <c r="J10" i="3"/>
  <c r="I10" i="3"/>
  <c r="E10" i="3"/>
  <c r="D10" i="3"/>
  <c r="C10" i="3"/>
  <c r="B10" i="3"/>
  <c r="N9" i="3"/>
  <c r="M9" i="3"/>
  <c r="J9" i="3"/>
  <c r="I9" i="3"/>
  <c r="E9" i="3"/>
  <c r="D9" i="3"/>
  <c r="C9" i="3"/>
  <c r="B9" i="3"/>
  <c r="N8" i="3"/>
  <c r="M8" i="3"/>
  <c r="J8" i="3"/>
  <c r="I8" i="3"/>
  <c r="E8" i="3"/>
  <c r="D8" i="3"/>
  <c r="C8" i="3"/>
  <c r="B8" i="3"/>
  <c r="N7" i="3"/>
  <c r="M7" i="3"/>
  <c r="J7" i="3"/>
  <c r="I7" i="3"/>
  <c r="E7" i="3"/>
  <c r="D7" i="3"/>
  <c r="C7" i="3"/>
  <c r="B7" i="3"/>
  <c r="N6" i="3"/>
  <c r="M6" i="3"/>
  <c r="J6" i="3"/>
  <c r="I6" i="3"/>
  <c r="E6" i="3"/>
  <c r="D6" i="3"/>
  <c r="C6" i="3"/>
  <c r="B6" i="3"/>
  <c r="N5" i="3"/>
  <c r="M5" i="3"/>
  <c r="J5" i="3"/>
  <c r="I5" i="3"/>
  <c r="E5" i="3"/>
  <c r="D5" i="3"/>
  <c r="C5" i="3"/>
  <c r="B5" i="3"/>
  <c r="N4" i="3"/>
  <c r="M4" i="3"/>
  <c r="J4" i="3"/>
  <c r="I4" i="3"/>
  <c r="E4" i="3"/>
  <c r="D4" i="3"/>
  <c r="C4" i="3"/>
  <c r="B4" i="3"/>
  <c r="N3" i="3"/>
  <c r="M3" i="3"/>
  <c r="J3" i="3"/>
  <c r="I3" i="3"/>
  <c r="E3" i="3"/>
  <c r="D3" i="3"/>
  <c r="C3" i="3"/>
  <c r="B3" i="3"/>
  <c r="N2" i="3"/>
  <c r="M2" i="3"/>
  <c r="J2" i="3"/>
  <c r="I2" i="3"/>
  <c r="E2" i="3"/>
  <c r="D2" i="3"/>
  <c r="C2" i="3"/>
  <c r="B2" i="3"/>
  <c r="N30" i="2"/>
  <c r="M30" i="2"/>
  <c r="J30" i="2"/>
  <c r="I30" i="2"/>
  <c r="E30" i="2"/>
  <c r="D30" i="2"/>
  <c r="C30" i="2"/>
  <c r="B30" i="2"/>
  <c r="N29" i="2"/>
  <c r="M29" i="2"/>
  <c r="J29" i="2"/>
  <c r="I29" i="2"/>
  <c r="E29" i="2"/>
  <c r="D29" i="2"/>
  <c r="C29" i="2"/>
  <c r="B29" i="2"/>
  <c r="N28" i="2"/>
  <c r="M28" i="2"/>
  <c r="J28" i="2"/>
  <c r="I28" i="2"/>
  <c r="E28" i="2"/>
  <c r="D28" i="2"/>
  <c r="C28" i="2"/>
  <c r="B28" i="2"/>
  <c r="N27" i="2"/>
  <c r="M27" i="2"/>
  <c r="J27" i="2"/>
  <c r="I27" i="2"/>
  <c r="E27" i="2"/>
  <c r="D27" i="2"/>
  <c r="C27" i="2"/>
  <c r="B27" i="2"/>
  <c r="N26" i="2"/>
  <c r="M26" i="2"/>
  <c r="J26" i="2"/>
  <c r="I26" i="2"/>
  <c r="E26" i="2"/>
  <c r="D26" i="2"/>
  <c r="C26" i="2"/>
  <c r="B26" i="2"/>
  <c r="N25" i="2"/>
  <c r="M25" i="2"/>
  <c r="J25" i="2"/>
  <c r="I25" i="2"/>
  <c r="E25" i="2"/>
  <c r="D25" i="2"/>
  <c r="C25" i="2"/>
  <c r="B25" i="2"/>
  <c r="N24" i="2"/>
  <c r="M24" i="2"/>
  <c r="J24" i="2"/>
  <c r="I24" i="2"/>
  <c r="E24" i="2"/>
  <c r="D24" i="2"/>
  <c r="C24" i="2"/>
  <c r="B24" i="2"/>
  <c r="N23" i="2"/>
  <c r="M23" i="2"/>
  <c r="J23" i="2"/>
  <c r="I23" i="2"/>
  <c r="E23" i="2"/>
  <c r="D23" i="2"/>
  <c r="C23" i="2"/>
  <c r="B23" i="2"/>
  <c r="N22" i="2"/>
  <c r="M22" i="2"/>
  <c r="J22" i="2"/>
  <c r="I22" i="2"/>
  <c r="E22" i="2"/>
  <c r="D22" i="2"/>
  <c r="C22" i="2"/>
  <c r="B22" i="2"/>
  <c r="N21" i="2"/>
  <c r="M21" i="2"/>
  <c r="J21" i="2"/>
  <c r="I21" i="2"/>
  <c r="E21" i="2"/>
  <c r="D21" i="2"/>
  <c r="C21" i="2"/>
  <c r="B21" i="2"/>
  <c r="N20" i="2"/>
  <c r="M20" i="2"/>
  <c r="J20" i="2"/>
  <c r="I20" i="2"/>
  <c r="E20" i="2"/>
  <c r="D20" i="2"/>
  <c r="C20" i="2"/>
  <c r="B20" i="2"/>
  <c r="N19" i="2"/>
  <c r="M19" i="2"/>
  <c r="J19" i="2"/>
  <c r="I19" i="2"/>
  <c r="E19" i="2"/>
  <c r="D19" i="2"/>
  <c r="C19" i="2"/>
  <c r="B19" i="2"/>
  <c r="N18" i="2"/>
  <c r="M18" i="2"/>
  <c r="J18" i="2"/>
  <c r="I18" i="2"/>
  <c r="E18" i="2"/>
  <c r="D18" i="2"/>
  <c r="C18" i="2"/>
  <c r="B18" i="2"/>
  <c r="N17" i="2"/>
  <c r="M17" i="2"/>
  <c r="J17" i="2"/>
  <c r="I17" i="2"/>
  <c r="E17" i="2"/>
  <c r="D17" i="2"/>
  <c r="C17" i="2"/>
  <c r="B17" i="2"/>
  <c r="N16" i="2"/>
  <c r="M16" i="2"/>
  <c r="J16" i="2"/>
  <c r="I16" i="2"/>
  <c r="E16" i="2"/>
  <c r="D16" i="2"/>
  <c r="C16" i="2"/>
  <c r="B16" i="2"/>
  <c r="N15" i="2"/>
  <c r="M15" i="2"/>
  <c r="J15" i="2"/>
  <c r="I15" i="2"/>
  <c r="E15" i="2"/>
  <c r="D15" i="2"/>
  <c r="C15" i="2"/>
  <c r="B15" i="2"/>
  <c r="N14" i="2"/>
  <c r="M14" i="2"/>
  <c r="J14" i="2"/>
  <c r="I14" i="2"/>
  <c r="E14" i="2"/>
  <c r="D14" i="2"/>
  <c r="C14" i="2"/>
  <c r="B14" i="2"/>
  <c r="N13" i="2"/>
  <c r="M13" i="2"/>
  <c r="J13" i="2"/>
  <c r="I13" i="2"/>
  <c r="E13" i="2"/>
  <c r="D13" i="2"/>
  <c r="C13" i="2"/>
  <c r="B13" i="2"/>
  <c r="N12" i="2"/>
  <c r="M12" i="2"/>
  <c r="J12" i="2"/>
  <c r="I12" i="2"/>
  <c r="E12" i="2"/>
  <c r="D12" i="2"/>
  <c r="C12" i="2"/>
  <c r="B12" i="2"/>
  <c r="N11" i="2"/>
  <c r="M11" i="2"/>
  <c r="J11" i="2"/>
  <c r="I11" i="2"/>
  <c r="E11" i="2"/>
  <c r="D11" i="2"/>
  <c r="C11" i="2"/>
  <c r="B11" i="2"/>
  <c r="N10" i="2"/>
  <c r="M10" i="2"/>
  <c r="J10" i="2"/>
  <c r="I10" i="2"/>
  <c r="E10" i="2"/>
  <c r="D10" i="2"/>
  <c r="C10" i="2"/>
  <c r="B10" i="2"/>
  <c r="N9" i="2"/>
  <c r="M9" i="2"/>
  <c r="J9" i="2"/>
  <c r="I9" i="2"/>
  <c r="E9" i="2"/>
  <c r="D9" i="2"/>
  <c r="C9" i="2"/>
  <c r="B9" i="2"/>
  <c r="N8" i="2"/>
  <c r="M8" i="2"/>
  <c r="J8" i="2"/>
  <c r="I8" i="2"/>
  <c r="E8" i="2"/>
  <c r="D8" i="2"/>
  <c r="C8" i="2"/>
  <c r="B8" i="2"/>
  <c r="N7" i="2"/>
  <c r="M7" i="2"/>
  <c r="J7" i="2"/>
  <c r="I7" i="2"/>
  <c r="E7" i="2"/>
  <c r="D7" i="2"/>
  <c r="C7" i="2"/>
  <c r="B7" i="2"/>
  <c r="N6" i="2"/>
  <c r="M6" i="2"/>
  <c r="J6" i="2"/>
  <c r="I6" i="2"/>
  <c r="E6" i="2"/>
  <c r="D6" i="2"/>
  <c r="C6" i="2"/>
  <c r="B6" i="2"/>
  <c r="N5" i="2"/>
  <c r="M5" i="2"/>
  <c r="J5" i="2"/>
  <c r="I5" i="2"/>
  <c r="E5" i="2"/>
  <c r="D5" i="2"/>
  <c r="C5" i="2"/>
  <c r="B5" i="2"/>
  <c r="N4" i="2"/>
  <c r="M4" i="2"/>
  <c r="J4" i="2"/>
  <c r="I4" i="2"/>
  <c r="E4" i="2"/>
  <c r="D4" i="2"/>
  <c r="C4" i="2"/>
  <c r="B4" i="2"/>
  <c r="N3" i="2"/>
  <c r="M3" i="2"/>
  <c r="J3" i="2"/>
  <c r="I3" i="2"/>
  <c r="E3" i="2"/>
  <c r="D3" i="2"/>
  <c r="C3" i="2"/>
  <c r="B3" i="2"/>
  <c r="N2" i="2"/>
  <c r="M2" i="2"/>
  <c r="J2" i="2"/>
  <c r="I2" i="2"/>
  <c r="E2" i="2"/>
  <c r="D2" i="2"/>
  <c r="C2" i="2"/>
  <c r="B2" i="2"/>
  <c r="F28" i="32" l="1"/>
  <c r="F48" i="15"/>
  <c r="F50" i="18"/>
  <c r="F36" i="21"/>
  <c r="F44" i="21"/>
  <c r="Q6" i="42"/>
  <c r="C39" i="37"/>
  <c r="Q10" i="42"/>
  <c r="H39" i="37"/>
  <c r="K39" i="37" s="1"/>
  <c r="Q4" i="42"/>
  <c r="Q12" i="42"/>
  <c r="F53" i="14"/>
  <c r="F15" i="11"/>
  <c r="F10" i="13"/>
  <c r="F27" i="13"/>
  <c r="F30" i="13"/>
  <c r="F38" i="13"/>
  <c r="F22" i="14"/>
  <c r="F25" i="14"/>
  <c r="F26" i="14"/>
  <c r="F30" i="14"/>
  <c r="F32" i="14"/>
  <c r="F37" i="14"/>
  <c r="F17" i="15"/>
  <c r="F26" i="15"/>
  <c r="F27" i="15"/>
  <c r="F32" i="15"/>
  <c r="F7" i="23"/>
  <c r="F16" i="23"/>
  <c r="F24" i="23"/>
  <c r="H8" i="7"/>
  <c r="G33" i="34"/>
  <c r="G30" i="35"/>
  <c r="G33" i="35"/>
  <c r="G34" i="35"/>
  <c r="G35" i="35"/>
  <c r="G27" i="36"/>
  <c r="G30" i="36"/>
  <c r="G31" i="36"/>
  <c r="F30" i="3"/>
  <c r="F32" i="3"/>
  <c r="G33" i="3"/>
  <c r="G39" i="5"/>
  <c r="G51" i="10"/>
  <c r="G53" i="10"/>
  <c r="G43" i="11"/>
  <c r="G44" i="11"/>
  <c r="G47" i="11"/>
  <c r="G48" i="11"/>
  <c r="G49" i="11"/>
  <c r="H21" i="6"/>
  <c r="H36" i="28"/>
  <c r="L36" i="28" s="1"/>
  <c r="G21" i="14"/>
  <c r="G36" i="15"/>
  <c r="G6" i="20"/>
  <c r="G13" i="20"/>
  <c r="F54" i="12"/>
  <c r="G28" i="13"/>
  <c r="G34" i="13"/>
  <c r="G10" i="14"/>
  <c r="G16" i="14"/>
  <c r="G38" i="15"/>
  <c r="G2" i="16"/>
  <c r="G19" i="17"/>
  <c r="G2" i="21"/>
  <c r="G19" i="21"/>
  <c r="F8" i="11"/>
  <c r="F14" i="11"/>
  <c r="H21" i="11"/>
  <c r="K21" i="11" s="1"/>
  <c r="H27" i="19"/>
  <c r="H33" i="19"/>
  <c r="K33" i="19" s="1"/>
  <c r="H5" i="30"/>
  <c r="H8" i="30"/>
  <c r="H10" i="30"/>
  <c r="H11" i="30"/>
  <c r="H14" i="30"/>
  <c r="L14" i="30" s="1"/>
  <c r="H23" i="31"/>
  <c r="L23" i="31" s="1"/>
  <c r="G47" i="9"/>
  <c r="G49" i="10"/>
  <c r="G26" i="13"/>
  <c r="G43" i="13"/>
  <c r="G9" i="20"/>
  <c r="G15" i="36"/>
  <c r="G31" i="5"/>
  <c r="G55" i="12"/>
  <c r="G44" i="13"/>
  <c r="G45" i="13"/>
  <c r="G50" i="14"/>
  <c r="F49" i="16"/>
  <c r="H9" i="7"/>
  <c r="H10" i="7"/>
  <c r="H11" i="7"/>
  <c r="K11" i="7" s="1"/>
  <c r="H23" i="7"/>
  <c r="L23" i="7" s="1"/>
  <c r="H10" i="9"/>
  <c r="K10" i="9" s="1"/>
  <c r="H17" i="9"/>
  <c r="K17" i="9" s="1"/>
  <c r="H4" i="10"/>
  <c r="K4" i="10" s="1"/>
  <c r="H7" i="15"/>
  <c r="H39" i="15"/>
  <c r="L39" i="15" s="1"/>
  <c r="H15" i="18"/>
  <c r="H36" i="18"/>
  <c r="H24" i="19"/>
  <c r="L24" i="19" s="1"/>
  <c r="H9" i="24"/>
  <c r="H4" i="30"/>
  <c r="L4" i="30" s="1"/>
  <c r="K50" i="11"/>
  <c r="F48" i="14"/>
  <c r="G51" i="14"/>
  <c r="F18" i="32"/>
  <c r="G15" i="11"/>
  <c r="G10" i="28"/>
  <c r="G19" i="29"/>
  <c r="G52" i="12"/>
  <c r="G45" i="18"/>
  <c r="G52" i="18"/>
  <c r="G53" i="18"/>
  <c r="G46" i="19"/>
  <c r="H40" i="21"/>
  <c r="K40" i="21" s="1"/>
  <c r="H31" i="33"/>
  <c r="L31" i="33" s="1"/>
  <c r="H32" i="33"/>
  <c r="K32" i="33" s="1"/>
  <c r="H30" i="34"/>
  <c r="H31" i="34"/>
  <c r="F35" i="11"/>
  <c r="F36" i="11"/>
  <c r="F30" i="12"/>
  <c r="G13" i="12"/>
  <c r="G27" i="12"/>
  <c r="G29" i="12"/>
  <c r="G43" i="12"/>
  <c r="G3" i="13"/>
  <c r="G4" i="13"/>
  <c r="G19" i="25"/>
  <c r="G3" i="36"/>
  <c r="G13" i="18"/>
  <c r="F13" i="22"/>
  <c r="G21" i="36"/>
  <c r="F9" i="28"/>
  <c r="F28" i="29"/>
  <c r="G27" i="2"/>
  <c r="F27" i="3"/>
  <c r="G8" i="4"/>
  <c r="F24" i="4"/>
  <c r="G8" i="5"/>
  <c r="F11" i="5"/>
  <c r="G22" i="5"/>
  <c r="G10" i="6"/>
  <c r="G12" i="6"/>
  <c r="G17" i="6"/>
  <c r="G19" i="6"/>
  <c r="G2" i="4"/>
  <c r="G3" i="4"/>
  <c r="G9" i="4"/>
  <c r="G23" i="4"/>
  <c r="G27" i="4"/>
  <c r="F16" i="5"/>
  <c r="G23" i="5"/>
  <c r="G9" i="6"/>
  <c r="G13" i="6"/>
  <c r="G15" i="6"/>
  <c r="G18" i="6"/>
  <c r="H29" i="6"/>
  <c r="L29" i="6" s="1"/>
  <c r="H10" i="8"/>
  <c r="K10" i="8" s="1"/>
  <c r="G14" i="30"/>
  <c r="H57" i="16"/>
  <c r="H58" i="16"/>
  <c r="H47" i="17"/>
  <c r="K47" i="17" s="1"/>
  <c r="H49" i="17"/>
  <c r="K49" i="17" s="1"/>
  <c r="H53" i="17"/>
  <c r="K53" i="17" s="1"/>
  <c r="H54" i="17"/>
  <c r="K54" i="17" s="1"/>
  <c r="H55" i="17"/>
  <c r="H57" i="17"/>
  <c r="H41" i="18"/>
  <c r="K41" i="18" s="1"/>
  <c r="H42" i="18"/>
  <c r="L42" i="18" s="1"/>
  <c r="H44" i="19"/>
  <c r="L44" i="19" s="1"/>
  <c r="H34" i="22"/>
  <c r="L34" i="22" s="1"/>
  <c r="H42" i="22"/>
  <c r="K42" i="22" s="1"/>
  <c r="H36" i="24"/>
  <c r="L36" i="24" s="1"/>
  <c r="H36" i="25"/>
  <c r="H52" i="11"/>
  <c r="L52" i="11" s="1"/>
  <c r="F36" i="23"/>
  <c r="F37" i="23"/>
  <c r="F38" i="23"/>
  <c r="H37" i="28"/>
  <c r="K37" i="28" s="1"/>
  <c r="H38" i="28"/>
  <c r="L38" i="28" s="1"/>
  <c r="H30" i="29"/>
  <c r="L30" i="29" s="1"/>
  <c r="H31" i="29"/>
  <c r="H34" i="29"/>
  <c r="K34" i="29" s="1"/>
  <c r="H36" i="29"/>
  <c r="L36" i="29" s="1"/>
  <c r="H38" i="29"/>
  <c r="L38" i="29" s="1"/>
  <c r="H39" i="29"/>
  <c r="K39" i="29" s="1"/>
  <c r="H29" i="30"/>
  <c r="K29" i="30" s="1"/>
  <c r="H27" i="31"/>
  <c r="K27" i="31" s="1"/>
  <c r="H28" i="31"/>
  <c r="K28" i="31" s="1"/>
  <c r="H29" i="31"/>
  <c r="H27" i="32"/>
  <c r="L27" i="32" s="1"/>
  <c r="G52" i="16"/>
  <c r="G57" i="17"/>
  <c r="G41" i="18"/>
  <c r="G34" i="22"/>
  <c r="G38" i="23"/>
  <c r="G36" i="24"/>
  <c r="F27" i="32"/>
  <c r="G52" i="11"/>
  <c r="G38" i="28"/>
  <c r="G34" i="29"/>
  <c r="G29" i="31"/>
  <c r="F27" i="34"/>
  <c r="F30" i="34"/>
  <c r="G28" i="4"/>
  <c r="G14" i="16"/>
  <c r="G22" i="16"/>
  <c r="G26" i="16"/>
  <c r="G34" i="16"/>
  <c r="G38" i="16"/>
  <c r="G42" i="16"/>
  <c r="G44" i="16"/>
  <c r="G8" i="17"/>
  <c r="H30" i="3"/>
  <c r="H32" i="3"/>
  <c r="L32" i="3" s="1"/>
  <c r="F43" i="8"/>
  <c r="F42" i="21"/>
  <c r="F29" i="30"/>
  <c r="H5" i="2"/>
  <c r="K5" i="2" s="1"/>
  <c r="G29" i="6"/>
  <c r="H16" i="7"/>
  <c r="L16" i="7" s="1"/>
  <c r="G37" i="7"/>
  <c r="G42" i="7"/>
  <c r="G8" i="8"/>
  <c r="G9" i="8"/>
  <c r="G32" i="8"/>
  <c r="H13" i="23"/>
  <c r="K13" i="23" s="1"/>
  <c r="H15" i="23"/>
  <c r="G18" i="23"/>
  <c r="G23" i="23"/>
  <c r="G28" i="23"/>
  <c r="G4" i="24"/>
  <c r="G8" i="24"/>
  <c r="G18" i="24"/>
  <c r="G2" i="25"/>
  <c r="G34" i="3"/>
  <c r="G35" i="3"/>
  <c r="G49" i="6"/>
  <c r="G23" i="6"/>
  <c r="H24" i="7"/>
  <c r="L24" i="7" s="1"/>
  <c r="H32" i="7"/>
  <c r="L32" i="7" s="1"/>
  <c r="G34" i="8"/>
  <c r="G35" i="8"/>
  <c r="F37" i="8"/>
  <c r="F38" i="8"/>
  <c r="G2" i="9"/>
  <c r="G4" i="9"/>
  <c r="G5" i="9"/>
  <c r="F18" i="9"/>
  <c r="F26" i="9"/>
  <c r="G27" i="9"/>
  <c r="G33" i="9"/>
  <c r="G5" i="10"/>
  <c r="G11" i="10"/>
  <c r="F12" i="10"/>
  <c r="F21" i="10"/>
  <c r="G37" i="10"/>
  <c r="G27" i="21"/>
  <c r="G4" i="22"/>
  <c r="H15" i="24"/>
  <c r="F3" i="26"/>
  <c r="F7" i="26"/>
  <c r="F9" i="26"/>
  <c r="G12" i="26"/>
  <c r="G14" i="26"/>
  <c r="F20" i="26"/>
  <c r="G21" i="26"/>
  <c r="G24" i="26"/>
  <c r="G25" i="26"/>
  <c r="G26" i="26"/>
  <c r="F28" i="26"/>
  <c r="G33" i="26"/>
  <c r="G10" i="27"/>
  <c r="G11" i="27"/>
  <c r="F25" i="27"/>
  <c r="H4" i="36"/>
  <c r="H33" i="3"/>
  <c r="K33" i="3" s="1"/>
  <c r="H39" i="5"/>
  <c r="F56" i="12"/>
  <c r="G36" i="35"/>
  <c r="G4" i="3"/>
  <c r="G11" i="7"/>
  <c r="G18" i="7"/>
  <c r="F25" i="8"/>
  <c r="F31" i="8"/>
  <c r="F32" i="8"/>
  <c r="H7" i="11"/>
  <c r="H8" i="11"/>
  <c r="K8" i="11" s="1"/>
  <c r="H12" i="11"/>
  <c r="L12" i="11" s="1"/>
  <c r="H13" i="11"/>
  <c r="K13" i="11" s="1"/>
  <c r="H21" i="25"/>
  <c r="L21" i="25" s="1"/>
  <c r="H22" i="25"/>
  <c r="H23" i="25"/>
  <c r="K23" i="25" s="1"/>
  <c r="H24" i="25"/>
  <c r="K24" i="25" s="1"/>
  <c r="H25" i="25"/>
  <c r="H33" i="25"/>
  <c r="K33" i="25" s="1"/>
  <c r="H3" i="26"/>
  <c r="K3" i="26" s="1"/>
  <c r="H17" i="29"/>
  <c r="L17" i="29" s="1"/>
  <c r="G15" i="30"/>
  <c r="G16" i="30"/>
  <c r="G17" i="30"/>
  <c r="G18" i="30"/>
  <c r="F28" i="30"/>
  <c r="F6" i="31"/>
  <c r="F8" i="31"/>
  <c r="H9" i="31"/>
  <c r="K9" i="31" s="1"/>
  <c r="F12" i="31"/>
  <c r="H19" i="31"/>
  <c r="G23" i="32"/>
  <c r="G2" i="33"/>
  <c r="G7" i="33"/>
  <c r="G11" i="33"/>
  <c r="G13" i="33"/>
  <c r="G16" i="33"/>
  <c r="G17" i="33"/>
  <c r="G8" i="34"/>
  <c r="G9" i="34"/>
  <c r="G14" i="34"/>
  <c r="G15" i="34"/>
  <c r="G18" i="34"/>
  <c r="G25" i="34"/>
  <c r="G2" i="35"/>
  <c r="H5" i="35"/>
  <c r="H11" i="35"/>
  <c r="H35" i="2"/>
  <c r="G37" i="2"/>
  <c r="H31" i="5"/>
  <c r="L31" i="5" s="1"/>
  <c r="H54" i="12"/>
  <c r="L54" i="12" s="1"/>
  <c r="H46" i="14"/>
  <c r="K46" i="14" s="1"/>
  <c r="H59" i="15"/>
  <c r="L59" i="15" s="1"/>
  <c r="G61" i="15"/>
  <c r="H32" i="35"/>
  <c r="H33" i="35"/>
  <c r="L33" i="35" s="1"/>
  <c r="H34" i="35"/>
  <c r="L34" i="35" s="1"/>
  <c r="G30" i="34"/>
  <c r="H13" i="2"/>
  <c r="K13" i="2" s="1"/>
  <c r="H14" i="13"/>
  <c r="H19" i="13"/>
  <c r="K19" i="13" s="1"/>
  <c r="H20" i="13"/>
  <c r="H22" i="13"/>
  <c r="K22" i="13" s="1"/>
  <c r="H9" i="36"/>
  <c r="L9" i="36" s="1"/>
  <c r="F32" i="2"/>
  <c r="F33" i="2"/>
  <c r="F34" i="2"/>
  <c r="G54" i="12"/>
  <c r="F50" i="16"/>
  <c r="F42" i="18"/>
  <c r="H50" i="18"/>
  <c r="K50" i="18" s="1"/>
  <c r="H39" i="19"/>
  <c r="K39" i="19" s="1"/>
  <c r="H6" i="3"/>
  <c r="L6" i="3" s="1"/>
  <c r="H7" i="3"/>
  <c r="K7" i="3" s="1"/>
  <c r="H8" i="3"/>
  <c r="K8" i="3" s="1"/>
  <c r="H21" i="4"/>
  <c r="H22" i="4"/>
  <c r="L22" i="4" s="1"/>
  <c r="H5" i="5"/>
  <c r="H12" i="5"/>
  <c r="L12" i="5" s="1"/>
  <c r="H5" i="6"/>
  <c r="H8" i="6"/>
  <c r="L8" i="6" s="1"/>
  <c r="H22" i="6"/>
  <c r="K22" i="6" s="1"/>
  <c r="H23" i="6"/>
  <c r="L23" i="6" s="1"/>
  <c r="H27" i="6"/>
  <c r="H18" i="15"/>
  <c r="L18" i="15" s="1"/>
  <c r="H25" i="15"/>
  <c r="H14" i="16"/>
  <c r="K14" i="16" s="1"/>
  <c r="H16" i="16"/>
  <c r="L16" i="16" s="1"/>
  <c r="H17" i="16"/>
  <c r="K17" i="16" s="1"/>
  <c r="H19" i="16"/>
  <c r="K19" i="16" s="1"/>
  <c r="H22" i="16"/>
  <c r="K22" i="16" s="1"/>
  <c r="H23" i="16"/>
  <c r="H26" i="16"/>
  <c r="K26" i="16" s="1"/>
  <c r="H28" i="16"/>
  <c r="H35" i="16"/>
  <c r="H38" i="16"/>
  <c r="K38" i="16" s="1"/>
  <c r="H39" i="16"/>
  <c r="H42" i="16"/>
  <c r="L42" i="16" s="1"/>
  <c r="H44" i="16"/>
  <c r="K44" i="16" s="1"/>
  <c r="G37" i="17"/>
  <c r="G14" i="18"/>
  <c r="G17" i="18"/>
  <c r="F24" i="18"/>
  <c r="G32" i="18"/>
  <c r="G40" i="18"/>
  <c r="G32" i="20"/>
  <c r="G33" i="20"/>
  <c r="G34" i="20"/>
  <c r="G39" i="20"/>
  <c r="G40" i="20"/>
  <c r="G41" i="20"/>
  <c r="G35" i="21"/>
  <c r="G38" i="21"/>
  <c r="G42" i="21"/>
  <c r="G44" i="21"/>
  <c r="H6" i="2"/>
  <c r="H5" i="3"/>
  <c r="L5" i="3" s="1"/>
  <c r="H11" i="3"/>
  <c r="L11" i="3" s="1"/>
  <c r="H12" i="3"/>
  <c r="H15" i="3"/>
  <c r="L15" i="3" s="1"/>
  <c r="H17" i="3"/>
  <c r="L17" i="3" s="1"/>
  <c r="H25" i="3"/>
  <c r="L25" i="3" s="1"/>
  <c r="H13" i="4"/>
  <c r="K13" i="4" s="1"/>
  <c r="H19" i="4"/>
  <c r="K19" i="4" s="1"/>
  <c r="H20" i="4"/>
  <c r="K20" i="4" s="1"/>
  <c r="H4" i="5"/>
  <c r="K4" i="5" s="1"/>
  <c r="H9" i="5"/>
  <c r="L9" i="5" s="1"/>
  <c r="H4" i="6"/>
  <c r="K4" i="6" s="1"/>
  <c r="G6" i="2"/>
  <c r="F11" i="3"/>
  <c r="H30" i="6"/>
  <c r="K30" i="6" s="1"/>
  <c r="H31" i="6"/>
  <c r="L31" i="6" s="1"/>
  <c r="H32" i="6"/>
  <c r="K32" i="6" s="1"/>
  <c r="H30" i="17"/>
  <c r="H6" i="18"/>
  <c r="L6" i="18" s="1"/>
  <c r="H13" i="18"/>
  <c r="K13" i="18" s="1"/>
  <c r="F34" i="19"/>
  <c r="F7" i="20"/>
  <c r="F8" i="20"/>
  <c r="F12" i="20"/>
  <c r="F21" i="20"/>
  <c r="F25" i="20"/>
  <c r="F7" i="21"/>
  <c r="H28" i="4"/>
  <c r="L28" i="4" s="1"/>
  <c r="G51" i="8"/>
  <c r="G52" i="8"/>
  <c r="F53" i="8"/>
  <c r="G41" i="9"/>
  <c r="F42" i="9"/>
  <c r="F43" i="9"/>
  <c r="G44" i="9"/>
  <c r="G45" i="9"/>
  <c r="F48" i="10"/>
  <c r="H35" i="20"/>
  <c r="L35" i="20" s="1"/>
  <c r="H42" i="21"/>
  <c r="L42" i="21" s="1"/>
  <c r="G39" i="24"/>
  <c r="G42" i="24"/>
  <c r="F38" i="25"/>
  <c r="G39" i="25"/>
  <c r="F43" i="25"/>
  <c r="G34" i="26"/>
  <c r="H40" i="26"/>
  <c r="K40" i="26" s="1"/>
  <c r="G41" i="26"/>
  <c r="G42" i="26"/>
  <c r="H33" i="27"/>
  <c r="K33" i="27" s="1"/>
  <c r="G34" i="27"/>
  <c r="G35" i="27"/>
  <c r="G32" i="28"/>
  <c r="G33" i="28"/>
  <c r="F35" i="28"/>
  <c r="F36" i="7"/>
  <c r="H21" i="5"/>
  <c r="K21" i="5" s="1"/>
  <c r="H33" i="7"/>
  <c r="H34" i="7"/>
  <c r="H2" i="8"/>
  <c r="H16" i="8"/>
  <c r="H32" i="8"/>
  <c r="K32" i="8" s="1"/>
  <c r="H33" i="8"/>
  <c r="L33" i="8" s="1"/>
  <c r="H3" i="9"/>
  <c r="L3" i="9" s="1"/>
  <c r="H6" i="9"/>
  <c r="K6" i="9" s="1"/>
  <c r="H9" i="9"/>
  <c r="K9" i="9" s="1"/>
  <c r="G42" i="10"/>
  <c r="H42" i="10"/>
  <c r="K42" i="10" s="1"/>
  <c r="F16" i="4"/>
  <c r="F21" i="4"/>
  <c r="H9" i="6"/>
  <c r="L9" i="6" s="1"/>
  <c r="H12" i="6"/>
  <c r="L12" i="6" s="1"/>
  <c r="F25" i="9"/>
  <c r="G8" i="2"/>
  <c r="G13" i="2"/>
  <c r="G21" i="4"/>
  <c r="G29" i="5"/>
  <c r="F15" i="6"/>
  <c r="G4" i="7"/>
  <c r="G15" i="9"/>
  <c r="G26" i="2"/>
  <c r="G8" i="6"/>
  <c r="G19" i="2"/>
  <c r="H16" i="2"/>
  <c r="L16" i="2" s="1"/>
  <c r="G15" i="3"/>
  <c r="F19" i="3"/>
  <c r="G20" i="3"/>
  <c r="G21" i="3"/>
  <c r="G22" i="3"/>
  <c r="G25" i="3"/>
  <c r="G19" i="7"/>
  <c r="H16" i="14"/>
  <c r="K16" i="14" s="1"/>
  <c r="H37" i="11"/>
  <c r="L37" i="11" s="1"/>
  <c r="H38" i="11"/>
  <c r="L38" i="11" s="1"/>
  <c r="H40" i="11"/>
  <c r="H13" i="12"/>
  <c r="H20" i="12"/>
  <c r="K20" i="12" s="1"/>
  <c r="H21" i="12"/>
  <c r="H24" i="12"/>
  <c r="L24" i="12" s="1"/>
  <c r="H27" i="12"/>
  <c r="L27" i="12" s="1"/>
  <c r="H30" i="12"/>
  <c r="L30" i="12" s="1"/>
  <c r="H5" i="17"/>
  <c r="F22" i="17"/>
  <c r="H21" i="22"/>
  <c r="H22" i="22"/>
  <c r="L22" i="22" s="1"/>
  <c r="H4" i="23"/>
  <c r="H19" i="29"/>
  <c r="H22" i="29"/>
  <c r="K22" i="29" s="1"/>
  <c r="H12" i="36"/>
  <c r="L12" i="36" s="1"/>
  <c r="H13" i="36"/>
  <c r="G20" i="36"/>
  <c r="H32" i="4"/>
  <c r="H34" i="4"/>
  <c r="K34" i="4" s="1"/>
  <c r="F57" i="17"/>
  <c r="G46" i="18"/>
  <c r="F41" i="21"/>
  <c r="F36" i="22"/>
  <c r="G37" i="22"/>
  <c r="G38" i="22"/>
  <c r="G39" i="22"/>
  <c r="G40" i="22"/>
  <c r="F41" i="22"/>
  <c r="F32" i="23"/>
  <c r="F35" i="29"/>
  <c r="F25" i="31"/>
  <c r="F26" i="31"/>
  <c r="H28" i="32"/>
  <c r="K28" i="32" s="1"/>
  <c r="G29" i="32"/>
  <c r="H30" i="32"/>
  <c r="L30" i="32" s="1"/>
  <c r="G31" i="32"/>
  <c r="G26" i="33"/>
  <c r="G29" i="33"/>
  <c r="G30" i="33"/>
  <c r="F27" i="18"/>
  <c r="F20" i="24"/>
  <c r="F26" i="24"/>
  <c r="H22" i="30"/>
  <c r="K22" i="30" s="1"/>
  <c r="H23" i="30"/>
  <c r="F9" i="33"/>
  <c r="F12" i="33"/>
  <c r="F26" i="34"/>
  <c r="L50" i="10"/>
  <c r="H46" i="12"/>
  <c r="K46" i="12" s="1"/>
  <c r="H47" i="12"/>
  <c r="K47" i="12" s="1"/>
  <c r="H48" i="12"/>
  <c r="H49" i="12"/>
  <c r="L49" i="12" s="1"/>
  <c r="H50" i="13"/>
  <c r="K50" i="13" s="1"/>
  <c r="H52" i="13"/>
  <c r="L52" i="13" s="1"/>
  <c r="H53" i="13"/>
  <c r="H40" i="19"/>
  <c r="H41" i="19"/>
  <c r="K41" i="19" s="1"/>
  <c r="H37" i="24"/>
  <c r="K37" i="24" s="1"/>
  <c r="H38" i="24"/>
  <c r="K38" i="24" s="1"/>
  <c r="H25" i="9"/>
  <c r="K25" i="9" s="1"/>
  <c r="H35" i="9"/>
  <c r="L35" i="9" s="1"/>
  <c r="G22" i="13"/>
  <c r="F43" i="13"/>
  <c r="H17" i="14"/>
  <c r="H18" i="14"/>
  <c r="H20" i="14"/>
  <c r="H21" i="14"/>
  <c r="K21" i="14" s="1"/>
  <c r="H27" i="14"/>
  <c r="L27" i="14" s="1"/>
  <c r="H32" i="14"/>
  <c r="K32" i="14" s="1"/>
  <c r="H33" i="14"/>
  <c r="L33" i="14" s="1"/>
  <c r="H38" i="14"/>
  <c r="H39" i="14"/>
  <c r="H40" i="14"/>
  <c r="K40" i="14" s="1"/>
  <c r="H41" i="14"/>
  <c r="K41" i="14" s="1"/>
  <c r="H43" i="14"/>
  <c r="L43" i="14" s="1"/>
  <c r="H3" i="15"/>
  <c r="L3" i="15" s="1"/>
  <c r="H30" i="18"/>
  <c r="L30" i="18" s="1"/>
  <c r="H2" i="19"/>
  <c r="K2" i="19" s="1"/>
  <c r="H4" i="19"/>
  <c r="K4" i="19" s="1"/>
  <c r="H15" i="19"/>
  <c r="L15" i="19" s="1"/>
  <c r="H11" i="20"/>
  <c r="L11" i="20" s="1"/>
  <c r="H16" i="24"/>
  <c r="H18" i="24"/>
  <c r="K18" i="24" s="1"/>
  <c r="H2" i="25"/>
  <c r="H9" i="32"/>
  <c r="L9" i="32" s="1"/>
  <c r="H3" i="33"/>
  <c r="L3" i="33" s="1"/>
  <c r="H5" i="33"/>
  <c r="L5" i="33" s="1"/>
  <c r="H19" i="33"/>
  <c r="L19" i="33" s="1"/>
  <c r="H22" i="33"/>
  <c r="H7" i="34"/>
  <c r="H12" i="35"/>
  <c r="K12" i="35" s="1"/>
  <c r="H14" i="35"/>
  <c r="H16" i="35"/>
  <c r="K16" i="35" s="1"/>
  <c r="H24" i="35"/>
  <c r="K24" i="35" s="1"/>
  <c r="H26" i="36"/>
  <c r="H32" i="2"/>
  <c r="K32" i="2" s="1"/>
  <c r="H34" i="2"/>
  <c r="K34" i="2" s="1"/>
  <c r="H48" i="9"/>
  <c r="L48" i="9" s="1"/>
  <c r="H49" i="9"/>
  <c r="K49" i="9" s="1"/>
  <c r="H44" i="10"/>
  <c r="K44" i="10" s="1"/>
  <c r="H45" i="10"/>
  <c r="L45" i="10" s="1"/>
  <c r="H46" i="10"/>
  <c r="L46" i="10" s="1"/>
  <c r="H48" i="10"/>
  <c r="K48" i="10" s="1"/>
  <c r="F46" i="11"/>
  <c r="F49" i="13"/>
  <c r="F50" i="13"/>
  <c r="H49" i="14"/>
  <c r="K49" i="14" s="1"/>
  <c r="F41" i="19"/>
  <c r="F42" i="19"/>
  <c r="F43" i="19"/>
  <c r="H45" i="19"/>
  <c r="H46" i="19"/>
  <c r="H37" i="25"/>
  <c r="L37" i="25" s="1"/>
  <c r="H38" i="25"/>
  <c r="K38" i="25" s="1"/>
  <c r="H39" i="25"/>
  <c r="K39" i="25" s="1"/>
  <c r="H40" i="25"/>
  <c r="L40" i="25" s="1"/>
  <c r="H42" i="25"/>
  <c r="H43" i="25"/>
  <c r="L43" i="25" s="1"/>
  <c r="F32" i="35"/>
  <c r="G38" i="13"/>
  <c r="F4" i="15"/>
  <c r="G10" i="31"/>
  <c r="G47" i="12"/>
  <c r="G53" i="13"/>
  <c r="G42" i="19"/>
  <c r="F44" i="19"/>
  <c r="F37" i="26"/>
  <c r="H34" i="6"/>
  <c r="K34" i="6" s="1"/>
  <c r="F11" i="7"/>
  <c r="F11" i="10"/>
  <c r="G12" i="10"/>
  <c r="H15" i="10"/>
  <c r="K15" i="10" s="1"/>
  <c r="H16" i="10"/>
  <c r="K16" i="10" s="1"/>
  <c r="H17" i="10"/>
  <c r="K17" i="10" s="1"/>
  <c r="H18" i="10"/>
  <c r="K18" i="10" s="1"/>
  <c r="H26" i="10"/>
  <c r="K26" i="10" s="1"/>
  <c r="H35" i="10"/>
  <c r="L35" i="10" s="1"/>
  <c r="H37" i="10"/>
  <c r="L37" i="10" s="1"/>
  <c r="F25" i="15"/>
  <c r="G3" i="16"/>
  <c r="G4" i="16"/>
  <c r="F6" i="16"/>
  <c r="H10" i="16"/>
  <c r="K10" i="16" s="1"/>
  <c r="F13" i="16"/>
  <c r="F22" i="16"/>
  <c r="G28" i="16"/>
  <c r="G24" i="18"/>
  <c r="G10" i="19"/>
  <c r="G17" i="19"/>
  <c r="H22" i="20"/>
  <c r="L22" i="20" s="1"/>
  <c r="H26" i="20"/>
  <c r="K26" i="20" s="1"/>
  <c r="H27" i="20"/>
  <c r="H9" i="21"/>
  <c r="K9" i="21" s="1"/>
  <c r="H13" i="21"/>
  <c r="K13" i="21" s="1"/>
  <c r="F24" i="25"/>
  <c r="H28" i="26"/>
  <c r="K28" i="26" s="1"/>
  <c r="H10" i="27"/>
  <c r="K10" i="27" s="1"/>
  <c r="H8" i="36"/>
  <c r="L8" i="36" s="1"/>
  <c r="F17" i="36"/>
  <c r="G33" i="2"/>
  <c r="H43" i="6"/>
  <c r="H44" i="6"/>
  <c r="K44" i="6" s="1"/>
  <c r="H45" i="6"/>
  <c r="K45" i="6" s="1"/>
  <c r="H46" i="6"/>
  <c r="L46" i="6" s="1"/>
  <c r="H47" i="6"/>
  <c r="K47" i="6" s="1"/>
  <c r="G50" i="6"/>
  <c r="G43" i="7"/>
  <c r="G45" i="7"/>
  <c r="G46" i="7"/>
  <c r="G47" i="7"/>
  <c r="F48" i="7"/>
  <c r="G50" i="7"/>
  <c r="H51" i="7"/>
  <c r="L51" i="7" s="1"/>
  <c r="H52" i="7"/>
  <c r="L52" i="7" s="1"/>
  <c r="H53" i="7"/>
  <c r="L53" i="7" s="1"/>
  <c r="H43" i="8"/>
  <c r="H49" i="8"/>
  <c r="H50" i="8"/>
  <c r="K50" i="8" s="1"/>
  <c r="K46" i="9"/>
  <c r="G45" i="10"/>
  <c r="G47" i="10"/>
  <c r="G48" i="15"/>
  <c r="H51" i="15"/>
  <c r="L51" i="15" s="1"/>
  <c r="H52" i="15"/>
  <c r="H53" i="15"/>
  <c r="L53" i="15" s="1"/>
  <c r="H55" i="15"/>
  <c r="H56" i="15"/>
  <c r="K56" i="15" s="1"/>
  <c r="H47" i="16"/>
  <c r="K47" i="16" s="1"/>
  <c r="H36" i="20"/>
  <c r="H37" i="20"/>
  <c r="K37" i="20" s="1"/>
  <c r="H34" i="21"/>
  <c r="L34" i="21" s="1"/>
  <c r="H28" i="27"/>
  <c r="L28" i="27" s="1"/>
  <c r="H29" i="27"/>
  <c r="L29" i="27" s="1"/>
  <c r="H31" i="27"/>
  <c r="K31" i="27" s="1"/>
  <c r="H32" i="27"/>
  <c r="L32" i="27" s="1"/>
  <c r="H35" i="27"/>
  <c r="L35" i="27" s="1"/>
  <c r="H36" i="27"/>
  <c r="L36" i="27" s="1"/>
  <c r="H37" i="27"/>
  <c r="K37" i="27" s="1"/>
  <c r="H30" i="28"/>
  <c r="L30" i="28" s="1"/>
  <c r="H31" i="28"/>
  <c r="K31" i="28" s="1"/>
  <c r="H34" i="28"/>
  <c r="K34" i="28" s="1"/>
  <c r="H35" i="28"/>
  <c r="G36" i="28"/>
  <c r="F16" i="11"/>
  <c r="F19" i="11"/>
  <c r="G21" i="11"/>
  <c r="G29" i="11"/>
  <c r="G32" i="11"/>
  <c r="G36" i="11"/>
  <c r="F41" i="15"/>
  <c r="F44" i="15"/>
  <c r="H27" i="21"/>
  <c r="K27" i="21" s="1"/>
  <c r="G28" i="21"/>
  <c r="F31" i="21"/>
  <c r="F32" i="21"/>
  <c r="F3" i="22"/>
  <c r="F4" i="22"/>
  <c r="F9" i="22"/>
  <c r="G11" i="22"/>
  <c r="F10" i="27"/>
  <c r="H6" i="28"/>
  <c r="K6" i="28" s="1"/>
  <c r="H10" i="28"/>
  <c r="L10" i="28" s="1"/>
  <c r="G11" i="28"/>
  <c r="G12" i="28"/>
  <c r="G13" i="28"/>
  <c r="G17" i="28"/>
  <c r="G21" i="28"/>
  <c r="G22" i="28"/>
  <c r="G2" i="29"/>
  <c r="G5" i="29"/>
  <c r="G6" i="29"/>
  <c r="H10" i="29"/>
  <c r="L10" i="29" s="1"/>
  <c r="G11" i="29"/>
  <c r="G13" i="29"/>
  <c r="F8" i="36"/>
  <c r="F31" i="5"/>
  <c r="F37" i="5"/>
  <c r="F39" i="5"/>
  <c r="F49" i="6"/>
  <c r="G54" i="14"/>
  <c r="F51" i="15"/>
  <c r="F53" i="15"/>
  <c r="F56" i="15"/>
  <c r="F47" i="16"/>
  <c r="F48" i="16"/>
  <c r="G54" i="16"/>
  <c r="H56" i="16"/>
  <c r="K56" i="16" s="1"/>
  <c r="G58" i="16"/>
  <c r="G51" i="17"/>
  <c r="H52" i="17"/>
  <c r="K52" i="17" s="1"/>
  <c r="F37" i="20"/>
  <c r="F32" i="27"/>
  <c r="F34" i="28"/>
  <c r="H31" i="30"/>
  <c r="L31" i="30" s="1"/>
  <c r="G34" i="30"/>
  <c r="G27" i="32"/>
  <c r="G40" i="11"/>
  <c r="G41" i="11"/>
  <c r="G42" i="11"/>
  <c r="F2" i="12"/>
  <c r="G9" i="12"/>
  <c r="F11" i="12"/>
  <c r="F22" i="12"/>
  <c r="G46" i="16"/>
  <c r="F6" i="17"/>
  <c r="F8" i="17"/>
  <c r="F15" i="17"/>
  <c r="G16" i="17"/>
  <c r="G17" i="17"/>
  <c r="G18" i="17"/>
  <c r="F19" i="17"/>
  <c r="G24" i="20"/>
  <c r="G11" i="21"/>
  <c r="F14" i="22"/>
  <c r="F19" i="22"/>
  <c r="F20" i="22"/>
  <c r="F23" i="22"/>
  <c r="F27" i="22"/>
  <c r="F28" i="22"/>
  <c r="F5" i="36"/>
  <c r="G28" i="3"/>
  <c r="G29" i="3"/>
  <c r="G44" i="6"/>
  <c r="G46" i="6"/>
  <c r="G53" i="7"/>
  <c r="G50" i="8"/>
  <c r="G56" i="15"/>
  <c r="G48" i="16"/>
  <c r="L58" i="16"/>
  <c r="G34" i="21"/>
  <c r="F40" i="21"/>
  <c r="G43" i="21"/>
  <c r="L31" i="29"/>
  <c r="G16" i="2"/>
  <c r="G27" i="3"/>
  <c r="G21" i="5"/>
  <c r="F11" i="6"/>
  <c r="H25" i="7"/>
  <c r="K25" i="7" s="1"/>
  <c r="H26" i="7"/>
  <c r="L26" i="7" s="1"/>
  <c r="H31" i="7"/>
  <c r="K31" i="7" s="1"/>
  <c r="H38" i="7"/>
  <c r="L38" i="7" s="1"/>
  <c r="F6" i="18"/>
  <c r="H17" i="2"/>
  <c r="H19" i="2"/>
  <c r="K19" i="2" s="1"/>
  <c r="H2" i="4"/>
  <c r="H5" i="4"/>
  <c r="L5" i="4" s="1"/>
  <c r="H6" i="4"/>
  <c r="L6" i="4" s="1"/>
  <c r="H14" i="18"/>
  <c r="K14" i="18" s="1"/>
  <c r="F16" i="2"/>
  <c r="F26" i="2"/>
  <c r="H27" i="2"/>
  <c r="F29" i="2"/>
  <c r="F30" i="2"/>
  <c r="G2" i="3"/>
  <c r="F3" i="3"/>
  <c r="H4" i="3"/>
  <c r="L4" i="3" s="1"/>
  <c r="H9" i="4"/>
  <c r="L9" i="4" s="1"/>
  <c r="G11" i="4"/>
  <c r="G12" i="4"/>
  <c r="G13" i="4"/>
  <c r="G30" i="6"/>
  <c r="G34" i="6"/>
  <c r="F34" i="6"/>
  <c r="G34" i="7"/>
  <c r="G4" i="10"/>
  <c r="F4" i="10"/>
  <c r="G21" i="2"/>
  <c r="F8" i="4"/>
  <c r="G34" i="10"/>
  <c r="H34" i="10"/>
  <c r="K34" i="10" s="1"/>
  <c r="F5" i="2"/>
  <c r="G17" i="3"/>
  <c r="H23" i="4"/>
  <c r="L23" i="4" s="1"/>
  <c r="H24" i="4"/>
  <c r="L24" i="4" s="1"/>
  <c r="F20" i="7"/>
  <c r="H12" i="26"/>
  <c r="L12" i="26" s="1"/>
  <c r="H27" i="4"/>
  <c r="K27" i="4" s="1"/>
  <c r="G17" i="5"/>
  <c r="G18" i="5"/>
  <c r="F4" i="5"/>
  <c r="H13" i="5"/>
  <c r="H16" i="5"/>
  <c r="K16" i="5" s="1"/>
  <c r="H18" i="5"/>
  <c r="K18" i="5" s="1"/>
  <c r="F29" i="7"/>
  <c r="H2" i="29"/>
  <c r="G32" i="32"/>
  <c r="F32" i="32"/>
  <c r="H27" i="9"/>
  <c r="K27" i="9" s="1"/>
  <c r="H31" i="9"/>
  <c r="H32" i="9"/>
  <c r="H36" i="9"/>
  <c r="L36" i="9" s="1"/>
  <c r="H37" i="9"/>
  <c r="L37" i="9" s="1"/>
  <c r="H38" i="9"/>
  <c r="K38" i="9" s="1"/>
  <c r="H2" i="10"/>
  <c r="K2" i="10" s="1"/>
  <c r="H3" i="10"/>
  <c r="L3" i="10" s="1"/>
  <c r="G18" i="11"/>
  <c r="H32" i="13"/>
  <c r="G29" i="15"/>
  <c r="H2" i="17"/>
  <c r="L2" i="17" s="1"/>
  <c r="H2" i="20"/>
  <c r="H9" i="20"/>
  <c r="L9" i="20" s="1"/>
  <c r="H28" i="21"/>
  <c r="K28" i="21" s="1"/>
  <c r="H31" i="21"/>
  <c r="K31" i="21" s="1"/>
  <c r="H17" i="23"/>
  <c r="K17" i="23" s="1"/>
  <c r="H19" i="23"/>
  <c r="K19" i="23" s="1"/>
  <c r="H25" i="23"/>
  <c r="H28" i="23"/>
  <c r="K28" i="23" s="1"/>
  <c r="G29" i="23"/>
  <c r="H4" i="26"/>
  <c r="K4" i="26" s="1"/>
  <c r="H11" i="28"/>
  <c r="K11" i="28" s="1"/>
  <c r="H15" i="28"/>
  <c r="L15" i="28" s="1"/>
  <c r="H23" i="28"/>
  <c r="K23" i="28" s="1"/>
  <c r="H25" i="28"/>
  <c r="H27" i="28"/>
  <c r="K27" i="28" s="1"/>
  <c r="H5" i="8"/>
  <c r="L5" i="8" s="1"/>
  <c r="H6" i="8"/>
  <c r="K6" i="8" s="1"/>
  <c r="H7" i="8"/>
  <c r="K7" i="8" s="1"/>
  <c r="H8" i="8"/>
  <c r="K8" i="8" s="1"/>
  <c r="F22" i="8"/>
  <c r="F23" i="8"/>
  <c r="G18" i="9"/>
  <c r="H19" i="11"/>
  <c r="K19" i="11" s="1"/>
  <c r="F24" i="11"/>
  <c r="F27" i="11"/>
  <c r="L20" i="13"/>
  <c r="H35" i="13"/>
  <c r="L35" i="13" s="1"/>
  <c r="H36" i="13"/>
  <c r="K36" i="13" s="1"/>
  <c r="H37" i="13"/>
  <c r="K37" i="13" s="1"/>
  <c r="H38" i="13"/>
  <c r="K38" i="13" s="1"/>
  <c r="H39" i="13"/>
  <c r="K39" i="13" s="1"/>
  <c r="H40" i="13"/>
  <c r="K40" i="13" s="1"/>
  <c r="H42" i="13"/>
  <c r="H43" i="13"/>
  <c r="F6" i="14"/>
  <c r="F8" i="14"/>
  <c r="H30" i="15"/>
  <c r="L30" i="15" s="1"/>
  <c r="H32" i="15"/>
  <c r="L32" i="15" s="1"/>
  <c r="F37" i="15"/>
  <c r="H6" i="17"/>
  <c r="L6" i="17" s="1"/>
  <c r="H8" i="17"/>
  <c r="H10" i="17"/>
  <c r="K10" i="17" s="1"/>
  <c r="H11" i="17"/>
  <c r="L11" i="17" s="1"/>
  <c r="H12" i="17"/>
  <c r="L12" i="17" s="1"/>
  <c r="F19" i="18"/>
  <c r="F10" i="20"/>
  <c r="H13" i="20"/>
  <c r="L13" i="20" s="1"/>
  <c r="F14" i="20"/>
  <c r="F17" i="20"/>
  <c r="H33" i="21"/>
  <c r="H8" i="22"/>
  <c r="L8" i="22" s="1"/>
  <c r="H29" i="23"/>
  <c r="L29" i="23" s="1"/>
  <c r="H30" i="23"/>
  <c r="K30" i="23" s="1"/>
  <c r="H2" i="24"/>
  <c r="F7" i="24"/>
  <c r="H13" i="26"/>
  <c r="K13" i="26" s="1"/>
  <c r="H15" i="26"/>
  <c r="H18" i="26"/>
  <c r="H20" i="26"/>
  <c r="K20" i="26" s="1"/>
  <c r="F23" i="28"/>
  <c r="H40" i="6"/>
  <c r="K40" i="6" s="1"/>
  <c r="H3" i="7"/>
  <c r="L3" i="7" s="1"/>
  <c r="G26" i="7"/>
  <c r="F2" i="8"/>
  <c r="H19" i="8"/>
  <c r="L19" i="8" s="1"/>
  <c r="H24" i="8"/>
  <c r="H30" i="8"/>
  <c r="K30" i="8" s="1"/>
  <c r="G32" i="9"/>
  <c r="G38" i="9"/>
  <c r="G23" i="10"/>
  <c r="H27" i="11"/>
  <c r="K27" i="11" s="1"/>
  <c r="H29" i="11"/>
  <c r="L29" i="11" s="1"/>
  <c r="H35" i="11"/>
  <c r="K35" i="11" s="1"/>
  <c r="G37" i="11"/>
  <c r="H5" i="14"/>
  <c r="K5" i="14" s="1"/>
  <c r="H9" i="14"/>
  <c r="L9" i="14" s="1"/>
  <c r="G17" i="14"/>
  <c r="H33" i="15"/>
  <c r="K33" i="15" s="1"/>
  <c r="F10" i="17"/>
  <c r="F12" i="17"/>
  <c r="H16" i="17"/>
  <c r="H19" i="17"/>
  <c r="L19" i="17" s="1"/>
  <c r="G21" i="17"/>
  <c r="G29" i="17"/>
  <c r="F30" i="17"/>
  <c r="H21" i="18"/>
  <c r="L21" i="18" s="1"/>
  <c r="G26" i="18"/>
  <c r="H28" i="18"/>
  <c r="K28" i="18" s="1"/>
  <c r="H14" i="20"/>
  <c r="K14" i="20" s="1"/>
  <c r="H18" i="20"/>
  <c r="H19" i="20"/>
  <c r="L19" i="20" s="1"/>
  <c r="H28" i="20"/>
  <c r="K28" i="20" s="1"/>
  <c r="H31" i="20"/>
  <c r="L31" i="20" s="1"/>
  <c r="H10" i="22"/>
  <c r="L10" i="22" s="1"/>
  <c r="H12" i="22"/>
  <c r="L12" i="22" s="1"/>
  <c r="G15" i="22"/>
  <c r="G16" i="22"/>
  <c r="H13" i="24"/>
  <c r="G16" i="24"/>
  <c r="G9" i="26"/>
  <c r="G29" i="26"/>
  <c r="F31" i="26"/>
  <c r="H40" i="9"/>
  <c r="L40" i="9" s="1"/>
  <c r="G40" i="9"/>
  <c r="K50" i="10"/>
  <c r="F50" i="10"/>
  <c r="G30" i="22"/>
  <c r="H29" i="26"/>
  <c r="H31" i="26"/>
  <c r="L31" i="26" s="1"/>
  <c r="H3" i="27"/>
  <c r="K3" i="27" s="1"/>
  <c r="G10" i="29"/>
  <c r="H29" i="5"/>
  <c r="L29" i="5" s="1"/>
  <c r="G3" i="7"/>
  <c r="F12" i="7"/>
  <c r="H18" i="7"/>
  <c r="K18" i="7" s="1"/>
  <c r="G19" i="8"/>
  <c r="G27" i="8"/>
  <c r="G31" i="8"/>
  <c r="H40" i="8"/>
  <c r="K40" i="8" s="1"/>
  <c r="G12" i="9"/>
  <c r="F17" i="10"/>
  <c r="F18" i="10"/>
  <c r="F25" i="10"/>
  <c r="H27" i="10"/>
  <c r="L27" i="10" s="1"/>
  <c r="H29" i="10"/>
  <c r="K29" i="10" s="1"/>
  <c r="H2" i="12"/>
  <c r="L2" i="12" s="1"/>
  <c r="H11" i="12"/>
  <c r="K11" i="12" s="1"/>
  <c r="G21" i="12"/>
  <c r="F21" i="14"/>
  <c r="H26" i="14"/>
  <c r="L26" i="14" s="1"/>
  <c r="F2" i="16"/>
  <c r="H11" i="16"/>
  <c r="K11" i="16" s="1"/>
  <c r="H13" i="16"/>
  <c r="K13" i="16" s="1"/>
  <c r="G27" i="16"/>
  <c r="H31" i="17"/>
  <c r="L31" i="17" s="1"/>
  <c r="H32" i="17"/>
  <c r="H34" i="17"/>
  <c r="H37" i="17"/>
  <c r="K37" i="17" s="1"/>
  <c r="H39" i="17"/>
  <c r="L39" i="17" s="1"/>
  <c r="H40" i="17"/>
  <c r="H43" i="17"/>
  <c r="L43" i="17" s="1"/>
  <c r="F32" i="18"/>
  <c r="H37" i="18"/>
  <c r="K37" i="18" s="1"/>
  <c r="H8" i="19"/>
  <c r="G9" i="19"/>
  <c r="H10" i="19"/>
  <c r="K10" i="19" s="1"/>
  <c r="F24" i="19"/>
  <c r="F30" i="20"/>
  <c r="H3" i="21"/>
  <c r="L3" i="21" s="1"/>
  <c r="H29" i="22"/>
  <c r="H28" i="24"/>
  <c r="K28" i="24" s="1"/>
  <c r="H31" i="24"/>
  <c r="K31" i="24" s="1"/>
  <c r="G31" i="26"/>
  <c r="F22" i="29"/>
  <c r="G23" i="29"/>
  <c r="G4" i="30"/>
  <c r="F7" i="9"/>
  <c r="F33" i="10"/>
  <c r="G38" i="10"/>
  <c r="G39" i="10"/>
  <c r="F40" i="10"/>
  <c r="G31" i="12"/>
  <c r="G32" i="12"/>
  <c r="G35" i="12"/>
  <c r="G39" i="12"/>
  <c r="G40" i="12"/>
  <c r="F2" i="13"/>
  <c r="G7" i="13"/>
  <c r="G8" i="13"/>
  <c r="G4" i="15"/>
  <c r="L7" i="15"/>
  <c r="G9" i="15"/>
  <c r="G16" i="15"/>
  <c r="G30" i="16"/>
  <c r="G17" i="21"/>
  <c r="G18" i="21"/>
  <c r="H30" i="22"/>
  <c r="L30" i="22" s="1"/>
  <c r="G3" i="25"/>
  <c r="G5" i="25"/>
  <c r="F6" i="25"/>
  <c r="F9" i="25"/>
  <c r="F19" i="25"/>
  <c r="F13" i="27"/>
  <c r="F14" i="27"/>
  <c r="G17" i="27"/>
  <c r="G20" i="27"/>
  <c r="G22" i="27"/>
  <c r="H37" i="29"/>
  <c r="L37" i="29" s="1"/>
  <c r="G37" i="29"/>
  <c r="H13" i="6"/>
  <c r="H15" i="6"/>
  <c r="K15" i="6" s="1"/>
  <c r="F24" i="6"/>
  <c r="G25" i="6"/>
  <c r="H26" i="6"/>
  <c r="K26" i="6" s="1"/>
  <c r="H18" i="9"/>
  <c r="K18" i="9" s="1"/>
  <c r="H22" i="9"/>
  <c r="K22" i="9" s="1"/>
  <c r="G26" i="9"/>
  <c r="F34" i="10"/>
  <c r="G8" i="11"/>
  <c r="F9" i="11"/>
  <c r="F24" i="12"/>
  <c r="H32" i="12"/>
  <c r="L32" i="12" s="1"/>
  <c r="H37" i="12"/>
  <c r="L37" i="12" s="1"/>
  <c r="H38" i="12"/>
  <c r="K38" i="12" s="1"/>
  <c r="H7" i="13"/>
  <c r="L7" i="13" s="1"/>
  <c r="H10" i="13"/>
  <c r="F11" i="13"/>
  <c r="G14" i="13"/>
  <c r="G15" i="13"/>
  <c r="G16" i="13"/>
  <c r="G17" i="13"/>
  <c r="H18" i="13"/>
  <c r="L18" i="13" s="1"/>
  <c r="H26" i="13"/>
  <c r="L26" i="13" s="1"/>
  <c r="F41" i="14"/>
  <c r="H4" i="15"/>
  <c r="K4" i="15" s="1"/>
  <c r="H11" i="15"/>
  <c r="K11" i="15" s="1"/>
  <c r="H12" i="15"/>
  <c r="L12" i="15" s="1"/>
  <c r="H13" i="15"/>
  <c r="F18" i="15"/>
  <c r="F19" i="15"/>
  <c r="H31" i="16"/>
  <c r="L31" i="16" s="1"/>
  <c r="H34" i="16"/>
  <c r="K34" i="16" s="1"/>
  <c r="F38" i="16"/>
  <c r="G43" i="16"/>
  <c r="G43" i="17"/>
  <c r="G44" i="17"/>
  <c r="F12" i="18"/>
  <c r="F15" i="19"/>
  <c r="F17" i="19"/>
  <c r="F18" i="19"/>
  <c r="F21" i="19"/>
  <c r="F22" i="19"/>
  <c r="G24" i="19"/>
  <c r="F25" i="19"/>
  <c r="F26" i="19"/>
  <c r="F9" i="21"/>
  <c r="H15" i="21"/>
  <c r="L15" i="21" s="1"/>
  <c r="H16" i="21"/>
  <c r="K16" i="21" s="1"/>
  <c r="G22" i="21"/>
  <c r="F24" i="21"/>
  <c r="G25" i="21"/>
  <c r="H26" i="21"/>
  <c r="L26" i="21" s="1"/>
  <c r="H5" i="23"/>
  <c r="K5" i="23" s="1"/>
  <c r="G9" i="23"/>
  <c r="F11" i="23"/>
  <c r="H10" i="25"/>
  <c r="L10" i="25" s="1"/>
  <c r="G20" i="25"/>
  <c r="G21" i="25"/>
  <c r="G25" i="25"/>
  <c r="G28" i="25"/>
  <c r="G29" i="25"/>
  <c r="G30" i="25"/>
  <c r="H25" i="27"/>
  <c r="L25" i="27" s="1"/>
  <c r="G26" i="27"/>
  <c r="G2" i="28"/>
  <c r="G5" i="28"/>
  <c r="G9" i="28"/>
  <c r="K5" i="30"/>
  <c r="H21" i="30"/>
  <c r="G23" i="30"/>
  <c r="G23" i="31"/>
  <c r="H26" i="29"/>
  <c r="K26" i="29" s="1"/>
  <c r="G6" i="30"/>
  <c r="G10" i="30"/>
  <c r="G11" i="30"/>
  <c r="H16" i="33"/>
  <c r="K16" i="33" s="1"/>
  <c r="H4" i="34"/>
  <c r="F7" i="34"/>
  <c r="G4" i="36"/>
  <c r="G22" i="36"/>
  <c r="H50" i="6"/>
  <c r="L50" i="6" s="1"/>
  <c r="H44" i="7"/>
  <c r="K44" i="7" s="1"/>
  <c r="H45" i="7"/>
  <c r="H46" i="7"/>
  <c r="L46" i="7" s="1"/>
  <c r="H49" i="7"/>
  <c r="K49" i="7" s="1"/>
  <c r="F51" i="7"/>
  <c r="G44" i="8"/>
  <c r="H46" i="8"/>
  <c r="L46" i="8" s="1"/>
  <c r="G47" i="8"/>
  <c r="G48" i="8"/>
  <c r="F50" i="8"/>
  <c r="H39" i="9"/>
  <c r="L39" i="9" s="1"/>
  <c r="F52" i="11"/>
  <c r="F47" i="12"/>
  <c r="F48" i="12"/>
  <c r="H44" i="13"/>
  <c r="L44" i="13" s="1"/>
  <c r="H45" i="13"/>
  <c r="L45" i="13" s="1"/>
  <c r="F46" i="13"/>
  <c r="F47" i="13"/>
  <c r="H48" i="13"/>
  <c r="K48" i="13" s="1"/>
  <c r="G49" i="13"/>
  <c r="F51" i="14"/>
  <c r="G50" i="15"/>
  <c r="G51" i="15"/>
  <c r="G52" i="15"/>
  <c r="G53" i="15"/>
  <c r="G54" i="15"/>
  <c r="G53" i="16"/>
  <c r="G59" i="16"/>
  <c r="G45" i="17"/>
  <c r="G49" i="17"/>
  <c r="G48" i="18"/>
  <c r="G49" i="18"/>
  <c r="H52" i="18"/>
  <c r="H35" i="19"/>
  <c r="H38" i="19"/>
  <c r="L38" i="19" s="1"/>
  <c r="G40" i="19"/>
  <c r="G41" i="19"/>
  <c r="H38" i="20"/>
  <c r="K38" i="20" s="1"/>
  <c r="H39" i="20"/>
  <c r="L39" i="20" s="1"/>
  <c r="H40" i="20"/>
  <c r="L40" i="20" s="1"/>
  <c r="F34" i="22"/>
  <c r="H37" i="22"/>
  <c r="K37" i="22" s="1"/>
  <c r="G42" i="22"/>
  <c r="G43" i="24"/>
  <c r="K36" i="25"/>
  <c r="F36" i="28"/>
  <c r="H29" i="32"/>
  <c r="L29" i="32" s="1"/>
  <c r="F44" i="7"/>
  <c r="F45" i="7"/>
  <c r="F39" i="9"/>
  <c r="G39" i="21"/>
  <c r="F40" i="22"/>
  <c r="H28" i="33"/>
  <c r="K28" i="33" s="1"/>
  <c r="H29" i="33"/>
  <c r="L29" i="33" s="1"/>
  <c r="F32" i="33"/>
  <c r="G32" i="35"/>
  <c r="F36" i="35"/>
  <c r="H29" i="36"/>
  <c r="K29" i="36" s="1"/>
  <c r="H30" i="36"/>
  <c r="L30" i="36" s="1"/>
  <c r="H31" i="36"/>
  <c r="L31" i="36" s="1"/>
  <c r="G32" i="36"/>
  <c r="G33" i="36"/>
  <c r="G5" i="31"/>
  <c r="F17" i="33"/>
  <c r="H8" i="34"/>
  <c r="K8" i="34" s="1"/>
  <c r="H9" i="34"/>
  <c r="K9" i="34" s="1"/>
  <c r="H10" i="34"/>
  <c r="K10" i="34" s="1"/>
  <c r="H11" i="34"/>
  <c r="K11" i="34" s="1"/>
  <c r="H12" i="34"/>
  <c r="H18" i="34"/>
  <c r="L18" i="34" s="1"/>
  <c r="H19" i="34"/>
  <c r="K19" i="34" s="1"/>
  <c r="H20" i="34"/>
  <c r="H21" i="34"/>
  <c r="H22" i="34"/>
  <c r="H23" i="34"/>
  <c r="L23" i="34" s="1"/>
  <c r="H7" i="35"/>
  <c r="K7" i="35" s="1"/>
  <c r="H8" i="35"/>
  <c r="G15" i="35"/>
  <c r="F16" i="35"/>
  <c r="G17" i="35"/>
  <c r="G18" i="35"/>
  <c r="F20" i="35"/>
  <c r="F21" i="35"/>
  <c r="G23" i="35"/>
  <c r="G25" i="35"/>
  <c r="G26" i="35"/>
  <c r="F28" i="35"/>
  <c r="F29" i="35"/>
  <c r="G19" i="36"/>
  <c r="G49" i="7"/>
  <c r="H43" i="9"/>
  <c r="K43" i="9" s="1"/>
  <c r="H45" i="9"/>
  <c r="K45" i="9" s="1"/>
  <c r="H47" i="9"/>
  <c r="L47" i="9" s="1"/>
  <c r="G48" i="9"/>
  <c r="F49" i="9"/>
  <c r="G43" i="10"/>
  <c r="G44" i="10"/>
  <c r="F51" i="13"/>
  <c r="G52" i="13"/>
  <c r="H57" i="15"/>
  <c r="K57" i="15" s="1"/>
  <c r="H58" i="15"/>
  <c r="L58" i="15" s="1"/>
  <c r="H60" i="15"/>
  <c r="K60" i="15" s="1"/>
  <c r="H61" i="15"/>
  <c r="L61" i="15" s="1"/>
  <c r="G47" i="16"/>
  <c r="F49" i="17"/>
  <c r="F53" i="17"/>
  <c r="G54" i="17"/>
  <c r="G55" i="17"/>
  <c r="F41" i="18"/>
  <c r="H35" i="21"/>
  <c r="L35" i="21" s="1"/>
  <c r="H36" i="21"/>
  <c r="L36" i="21" s="1"/>
  <c r="H37" i="21"/>
  <c r="K37" i="21" s="1"/>
  <c r="H39" i="21"/>
  <c r="K39" i="21" s="1"/>
  <c r="G36" i="22"/>
  <c r="H43" i="22"/>
  <c r="L43" i="22" s="1"/>
  <c r="H44" i="22"/>
  <c r="L44" i="22" s="1"/>
  <c r="H32" i="23"/>
  <c r="L32" i="23" s="1"/>
  <c r="G34" i="23"/>
  <c r="G37" i="23"/>
  <c r="G43" i="25"/>
  <c r="H34" i="26"/>
  <c r="L34" i="26" s="1"/>
  <c r="G36" i="26"/>
  <c r="F35" i="27"/>
  <c r="H32" i="28"/>
  <c r="K32" i="28" s="1"/>
  <c r="H30" i="30"/>
  <c r="K30" i="30" s="1"/>
  <c r="H33" i="30"/>
  <c r="L33" i="30" s="1"/>
  <c r="H34" i="30"/>
  <c r="L34" i="30" s="1"/>
  <c r="G25" i="31"/>
  <c r="F28" i="33"/>
  <c r="F29" i="33"/>
  <c r="F29" i="36"/>
  <c r="H25" i="30"/>
  <c r="L25" i="30" s="1"/>
  <c r="H26" i="30"/>
  <c r="L26" i="30" s="1"/>
  <c r="H10" i="31"/>
  <c r="K10" i="31" s="1"/>
  <c r="H16" i="31"/>
  <c r="F22" i="34"/>
  <c r="F10" i="35"/>
  <c r="F10" i="36"/>
  <c r="F33" i="5"/>
  <c r="F34" i="5"/>
  <c r="F36" i="5"/>
  <c r="F40" i="9"/>
  <c r="F47" i="10"/>
  <c r="F54" i="13"/>
  <c r="G45" i="14"/>
  <c r="L55" i="17"/>
  <c r="H42" i="19"/>
  <c r="K42" i="19" s="1"/>
  <c r="H43" i="19"/>
  <c r="L43" i="19" s="1"/>
  <c r="G44" i="19"/>
  <c r="F34" i="21"/>
  <c r="F39" i="21"/>
  <c r="F42" i="22"/>
  <c r="G32" i="23"/>
  <c r="H33" i="23"/>
  <c r="K33" i="23" s="1"/>
  <c r="H38" i="23"/>
  <c r="L38" i="23" s="1"/>
  <c r="G39" i="23"/>
  <c r="G40" i="23"/>
  <c r="G34" i="24"/>
  <c r="F36" i="24"/>
  <c r="G38" i="25"/>
  <c r="H36" i="26"/>
  <c r="K36" i="26" s="1"/>
  <c r="H37" i="26"/>
  <c r="K37" i="26" s="1"/>
  <c r="G38" i="26"/>
  <c r="G33" i="27"/>
  <c r="G37" i="27"/>
  <c r="F33" i="28"/>
  <c r="G39" i="29"/>
  <c r="F30" i="30"/>
  <c r="F32" i="30"/>
  <c r="H25" i="31"/>
  <c r="K25" i="31" s="1"/>
  <c r="H26" i="31"/>
  <c r="L26" i="31" s="1"/>
  <c r="G27" i="31"/>
  <c r="G28" i="31"/>
  <c r="G32" i="33"/>
  <c r="H27" i="34"/>
  <c r="L27" i="34" s="1"/>
  <c r="F31" i="36"/>
  <c r="F33" i="36"/>
  <c r="F23" i="30"/>
  <c r="H24" i="31"/>
  <c r="K24" i="31" s="1"/>
  <c r="F3" i="32"/>
  <c r="F6" i="32"/>
  <c r="G7" i="32"/>
  <c r="G8" i="32"/>
  <c r="G11" i="32"/>
  <c r="H12" i="32"/>
  <c r="L12" i="32" s="1"/>
  <c r="F13" i="32"/>
  <c r="F15" i="32"/>
  <c r="G23" i="34"/>
  <c r="F11" i="35"/>
  <c r="G9" i="36"/>
  <c r="F31" i="2"/>
  <c r="H33" i="2"/>
  <c r="K33" i="2" s="1"/>
  <c r="H28" i="3"/>
  <c r="K28" i="3" s="1"/>
  <c r="G29" i="4"/>
  <c r="F30" i="4"/>
  <c r="G32" i="4"/>
  <c r="F34" i="4"/>
  <c r="H33" i="5"/>
  <c r="L33" i="5" s="1"/>
  <c r="H34" i="5"/>
  <c r="L34" i="5" s="1"/>
  <c r="H35" i="5"/>
  <c r="K35" i="5" s="1"/>
  <c r="H36" i="5"/>
  <c r="K36" i="5" s="1"/>
  <c r="H37" i="5"/>
  <c r="G41" i="6"/>
  <c r="G42" i="6"/>
  <c r="F47" i="9"/>
  <c r="F51" i="11"/>
  <c r="G47" i="14"/>
  <c r="G57" i="15"/>
  <c r="H48" i="16"/>
  <c r="K48" i="16" s="1"/>
  <c r="H49" i="16"/>
  <c r="L49" i="16" s="1"/>
  <c r="K55" i="17"/>
  <c r="H43" i="18"/>
  <c r="F45" i="18"/>
  <c r="G45" i="19"/>
  <c r="F46" i="19"/>
  <c r="G36" i="21"/>
  <c r="G41" i="21"/>
  <c r="G44" i="22"/>
  <c r="F38" i="24"/>
  <c r="F34" i="26"/>
  <c r="H33" i="28"/>
  <c r="K33" i="28" s="1"/>
  <c r="G32" i="30"/>
  <c r="L29" i="31"/>
  <c r="H30" i="31"/>
  <c r="F38" i="2"/>
  <c r="F52" i="10"/>
  <c r="F53" i="12"/>
  <c r="F53" i="16"/>
  <c r="F55" i="16"/>
  <c r="L45" i="19"/>
  <c r="F43" i="24"/>
  <c r="L40" i="26"/>
  <c r="F33" i="34"/>
  <c r="H19" i="32"/>
  <c r="L19" i="32" s="1"/>
  <c r="H20" i="32"/>
  <c r="L20" i="32" s="1"/>
  <c r="H21" i="32"/>
  <c r="L21" i="32" s="1"/>
  <c r="H22" i="32"/>
  <c r="K22" i="32" s="1"/>
  <c r="G4" i="33"/>
  <c r="G5" i="33"/>
  <c r="H16" i="36"/>
  <c r="L16" i="36" s="1"/>
  <c r="G36" i="5"/>
  <c r="G37" i="5"/>
  <c r="H48" i="6"/>
  <c r="K48" i="6" s="1"/>
  <c r="H49" i="6"/>
  <c r="L49" i="6" s="1"/>
  <c r="G51" i="7"/>
  <c r="H49" i="10"/>
  <c r="L49" i="10" s="1"/>
  <c r="H51" i="10"/>
  <c r="L51" i="10" s="1"/>
  <c r="H52" i="10"/>
  <c r="L52" i="10" s="1"/>
  <c r="H53" i="10"/>
  <c r="K53" i="10" s="1"/>
  <c r="H44" i="11"/>
  <c r="L44" i="11" s="1"/>
  <c r="H45" i="11"/>
  <c r="K45" i="11" s="1"/>
  <c r="H46" i="11"/>
  <c r="L46" i="11" s="1"/>
  <c r="H47" i="11"/>
  <c r="L47" i="11" s="1"/>
  <c r="G53" i="11"/>
  <c r="G54" i="11"/>
  <c r="G45" i="12"/>
  <c r="G46" i="12"/>
  <c r="G49" i="12"/>
  <c r="G50" i="12"/>
  <c r="G51" i="12"/>
  <c r="H51" i="14"/>
  <c r="L51" i="14" s="1"/>
  <c r="G52" i="14"/>
  <c r="H54" i="14"/>
  <c r="K54" i="14" s="1"/>
  <c r="G56" i="14"/>
  <c r="H48" i="15"/>
  <c r="K48" i="15" s="1"/>
  <c r="H53" i="16"/>
  <c r="K53" i="16" s="1"/>
  <c r="H46" i="18"/>
  <c r="L46" i="18" s="1"/>
  <c r="H47" i="18"/>
  <c r="K47" i="18" s="1"/>
  <c r="H49" i="18"/>
  <c r="K49" i="18" s="1"/>
  <c r="H32" i="20"/>
  <c r="L32" i="20" s="1"/>
  <c r="H33" i="20"/>
  <c r="H34" i="20"/>
  <c r="L34" i="20" s="1"/>
  <c r="H39" i="24"/>
  <c r="K39" i="24" s="1"/>
  <c r="H40" i="24"/>
  <c r="L40" i="24" s="1"/>
  <c r="H42" i="24"/>
  <c r="L42" i="24" s="1"/>
  <c r="H43" i="24"/>
  <c r="L43" i="24" s="1"/>
  <c r="H34" i="25"/>
  <c r="L34" i="25" s="1"/>
  <c r="H35" i="25"/>
  <c r="K35" i="25" s="1"/>
  <c r="H41" i="26"/>
  <c r="G37" i="28"/>
  <c r="F38" i="28"/>
  <c r="F30" i="29"/>
  <c r="G31" i="29"/>
  <c r="H32" i="29"/>
  <c r="K32" i="29" s="1"/>
  <c r="F33" i="29"/>
  <c r="F34" i="29"/>
  <c r="H32" i="34"/>
  <c r="H33" i="34"/>
  <c r="K33" i="34" s="1"/>
  <c r="F60" i="16"/>
  <c r="G60" i="16"/>
  <c r="G31" i="2"/>
  <c r="G34" i="2"/>
  <c r="G31" i="3"/>
  <c r="G30" i="5"/>
  <c r="F47" i="6"/>
  <c r="H43" i="7"/>
  <c r="K43" i="7" s="1"/>
  <c r="G53" i="8"/>
  <c r="H47" i="10"/>
  <c r="K47" i="10" s="1"/>
  <c r="F50" i="11"/>
  <c r="H51" i="11"/>
  <c r="L51" i="11" s="1"/>
  <c r="H53" i="12"/>
  <c r="L53" i="12" s="1"/>
  <c r="G47" i="13"/>
  <c r="H49" i="13"/>
  <c r="K49" i="13" s="1"/>
  <c r="G50" i="13"/>
  <c r="F45" i="14"/>
  <c r="F46" i="14"/>
  <c r="H56" i="14"/>
  <c r="K56" i="14" s="1"/>
  <c r="F61" i="15"/>
  <c r="G55" i="16"/>
  <c r="L52" i="17"/>
  <c r="G44" i="18"/>
  <c r="F44" i="18"/>
  <c r="G37" i="20"/>
  <c r="H39" i="22"/>
  <c r="K39" i="22" s="1"/>
  <c r="H41" i="24"/>
  <c r="L41" i="24" s="1"/>
  <c r="G41" i="24"/>
  <c r="H27" i="33"/>
  <c r="K27" i="33" s="1"/>
  <c r="G27" i="33"/>
  <c r="F27" i="33"/>
  <c r="L31" i="34"/>
  <c r="F33" i="35"/>
  <c r="H28" i="36"/>
  <c r="K28" i="36" s="1"/>
  <c r="G28" i="36"/>
  <c r="F28" i="36"/>
  <c r="L32" i="2"/>
  <c r="H31" i="3"/>
  <c r="K31" i="3" s="1"/>
  <c r="F33" i="3"/>
  <c r="H30" i="5"/>
  <c r="K30" i="5" s="1"/>
  <c r="F38" i="5"/>
  <c r="G48" i="6"/>
  <c r="G48" i="10"/>
  <c r="G46" i="11"/>
  <c r="G50" i="11"/>
  <c r="G48" i="12"/>
  <c r="H48" i="14"/>
  <c r="K48" i="14" s="1"/>
  <c r="G48" i="14"/>
  <c r="H44" i="18"/>
  <c r="L44" i="18" s="1"/>
  <c r="H48" i="18"/>
  <c r="K48" i="18" s="1"/>
  <c r="F48" i="18"/>
  <c r="F49" i="18"/>
  <c r="F39" i="22"/>
  <c r="F30" i="27"/>
  <c r="H30" i="27"/>
  <c r="L30" i="27" s="1"/>
  <c r="K30" i="3"/>
  <c r="F30" i="36"/>
  <c r="H36" i="2"/>
  <c r="K36" i="2" s="1"/>
  <c r="L30" i="3"/>
  <c r="H34" i="3"/>
  <c r="L34" i="3" s="1"/>
  <c r="H35" i="3"/>
  <c r="L35" i="3" s="1"/>
  <c r="H29" i="4"/>
  <c r="L29" i="4" s="1"/>
  <c r="H30" i="4"/>
  <c r="L30" i="4" s="1"/>
  <c r="H31" i="4"/>
  <c r="H33" i="4"/>
  <c r="L33" i="4" s="1"/>
  <c r="H32" i="5"/>
  <c r="K32" i="5" s="1"/>
  <c r="H41" i="6"/>
  <c r="K41" i="6" s="1"/>
  <c r="K43" i="8"/>
  <c r="H44" i="8"/>
  <c r="K44" i="8" s="1"/>
  <c r="H45" i="8"/>
  <c r="L45" i="8" s="1"/>
  <c r="H41" i="9"/>
  <c r="L41" i="9" s="1"/>
  <c r="H42" i="9"/>
  <c r="L42" i="9" s="1"/>
  <c r="H53" i="11"/>
  <c r="L53" i="11" s="1"/>
  <c r="H54" i="11"/>
  <c r="L54" i="11" s="1"/>
  <c r="H55" i="12"/>
  <c r="L55" i="12" s="1"/>
  <c r="H56" i="12"/>
  <c r="L56" i="12" s="1"/>
  <c r="H51" i="13"/>
  <c r="K51" i="13" s="1"/>
  <c r="H59" i="16"/>
  <c r="L59" i="16" s="1"/>
  <c r="H60" i="16"/>
  <c r="L60" i="16" s="1"/>
  <c r="G46" i="17"/>
  <c r="H46" i="17"/>
  <c r="K46" i="17" s="1"/>
  <c r="F46" i="17"/>
  <c r="G38" i="24"/>
  <c r="H41" i="25"/>
  <c r="L41" i="25" s="1"/>
  <c r="G41" i="25"/>
  <c r="H28" i="34"/>
  <c r="L28" i="34" s="1"/>
  <c r="G28" i="34"/>
  <c r="G30" i="4"/>
  <c r="F41" i="6"/>
  <c r="F44" i="8"/>
  <c r="G42" i="9"/>
  <c r="L46" i="9"/>
  <c r="F54" i="11"/>
  <c r="G56" i="12"/>
  <c r="G51" i="13"/>
  <c r="F49" i="15"/>
  <c r="F50" i="15"/>
  <c r="F45" i="17"/>
  <c r="L50" i="18"/>
  <c r="H36" i="19"/>
  <c r="L36" i="19" s="1"/>
  <c r="G36" i="19"/>
  <c r="G35" i="23"/>
  <c r="F35" i="23"/>
  <c r="F31" i="31"/>
  <c r="G31" i="31"/>
  <c r="F39" i="24"/>
  <c r="G36" i="2"/>
  <c r="H37" i="2"/>
  <c r="L37" i="2" s="1"/>
  <c r="H38" i="2"/>
  <c r="L38" i="2" s="1"/>
  <c r="H29" i="3"/>
  <c r="K29" i="3" s="1"/>
  <c r="F35" i="3"/>
  <c r="G34" i="4"/>
  <c r="G34" i="5"/>
  <c r="G35" i="5"/>
  <c r="L39" i="5"/>
  <c r="G43" i="6"/>
  <c r="H47" i="7"/>
  <c r="L47" i="7" s="1"/>
  <c r="H48" i="7"/>
  <c r="L48" i="7" s="1"/>
  <c r="F49" i="7"/>
  <c r="G43" i="8"/>
  <c r="F45" i="8"/>
  <c r="H47" i="8"/>
  <c r="L47" i="8" s="1"/>
  <c r="H48" i="8"/>
  <c r="L48" i="8" s="1"/>
  <c r="G49" i="8"/>
  <c r="H44" i="9"/>
  <c r="K44" i="9" s="1"/>
  <c r="G49" i="9"/>
  <c r="H43" i="10"/>
  <c r="L43" i="10" s="1"/>
  <c r="H43" i="11"/>
  <c r="L43" i="11" s="1"/>
  <c r="H48" i="11"/>
  <c r="L48" i="11" s="1"/>
  <c r="H49" i="11"/>
  <c r="L49" i="11" s="1"/>
  <c r="H45" i="12"/>
  <c r="L45" i="12" s="1"/>
  <c r="H50" i="12"/>
  <c r="L50" i="12" s="1"/>
  <c r="H51" i="12"/>
  <c r="L51" i="12" s="1"/>
  <c r="F44" i="13"/>
  <c r="F52" i="13"/>
  <c r="G33" i="22"/>
  <c r="F33" i="22"/>
  <c r="H35" i="23"/>
  <c r="K35" i="23" s="1"/>
  <c r="F34" i="27"/>
  <c r="G33" i="29"/>
  <c r="F35" i="2"/>
  <c r="H31" i="2"/>
  <c r="K31" i="2" s="1"/>
  <c r="F36" i="2"/>
  <c r="G38" i="2"/>
  <c r="F29" i="3"/>
  <c r="G30" i="3"/>
  <c r="G31" i="4"/>
  <c r="H42" i="6"/>
  <c r="L42" i="6" s="1"/>
  <c r="F50" i="6"/>
  <c r="F43" i="7"/>
  <c r="F46" i="7"/>
  <c r="G48" i="7"/>
  <c r="F45" i="9"/>
  <c r="G46" i="10"/>
  <c r="L48" i="10"/>
  <c r="F53" i="10"/>
  <c r="F44" i="11"/>
  <c r="F47" i="11"/>
  <c r="F49" i="11"/>
  <c r="F46" i="12"/>
  <c r="F49" i="12"/>
  <c r="F51" i="12"/>
  <c r="F55" i="13"/>
  <c r="G55" i="13"/>
  <c r="F50" i="14"/>
  <c r="G53" i="14"/>
  <c r="H54" i="15"/>
  <c r="L54" i="15" s="1"/>
  <c r="G42" i="20"/>
  <c r="F42" i="20"/>
  <c r="F35" i="24"/>
  <c r="G35" i="24"/>
  <c r="G39" i="26"/>
  <c r="H39" i="26"/>
  <c r="L39" i="26" s="1"/>
  <c r="F39" i="26"/>
  <c r="H31" i="35"/>
  <c r="K31" i="35" s="1"/>
  <c r="G31" i="35"/>
  <c r="F31" i="35"/>
  <c r="F42" i="6"/>
  <c r="G45" i="6"/>
  <c r="F46" i="6"/>
  <c r="G44" i="7"/>
  <c r="H50" i="7"/>
  <c r="K50" i="7" s="1"/>
  <c r="G52" i="7"/>
  <c r="F53" i="7"/>
  <c r="F48" i="8"/>
  <c r="H51" i="8"/>
  <c r="L51" i="8" s="1"/>
  <c r="H52" i="8"/>
  <c r="L52" i="8" s="1"/>
  <c r="H53" i="8"/>
  <c r="K53" i="8" s="1"/>
  <c r="G39" i="9"/>
  <c r="G43" i="9"/>
  <c r="F43" i="10"/>
  <c r="G45" i="11"/>
  <c r="G51" i="11"/>
  <c r="H52" i="12"/>
  <c r="K52" i="12" s="1"/>
  <c r="G53" i="12"/>
  <c r="H46" i="13"/>
  <c r="L46" i="13" s="1"/>
  <c r="H47" i="13"/>
  <c r="L47" i="13" s="1"/>
  <c r="H55" i="13"/>
  <c r="K55" i="13" s="1"/>
  <c r="G55" i="14"/>
  <c r="F56" i="14"/>
  <c r="G59" i="15"/>
  <c r="H54" i="16"/>
  <c r="K54" i="16" s="1"/>
  <c r="H55" i="16"/>
  <c r="K55" i="16" s="1"/>
  <c r="G53" i="17"/>
  <c r="F40" i="23"/>
  <c r="H47" i="14"/>
  <c r="K47" i="14" s="1"/>
  <c r="H52" i="14"/>
  <c r="L52" i="14" s="1"/>
  <c r="H53" i="14"/>
  <c r="L53" i="14" s="1"/>
  <c r="H49" i="15"/>
  <c r="K49" i="15" s="1"/>
  <c r="H50" i="15"/>
  <c r="G58" i="15"/>
  <c r="F58" i="16"/>
  <c r="H45" i="17"/>
  <c r="K45" i="17" s="1"/>
  <c r="F43" i="18"/>
  <c r="H45" i="18"/>
  <c r="L45" i="18" s="1"/>
  <c r="F47" i="18"/>
  <c r="F52" i="18"/>
  <c r="H53" i="18"/>
  <c r="L53" i="18" s="1"/>
  <c r="G35" i="19"/>
  <c r="G39" i="19"/>
  <c r="F38" i="20"/>
  <c r="F39" i="20"/>
  <c r="H38" i="21"/>
  <c r="K38" i="21" s="1"/>
  <c r="H43" i="21"/>
  <c r="L43" i="21" s="1"/>
  <c r="H44" i="21"/>
  <c r="L44" i="21" s="1"/>
  <c r="H38" i="22"/>
  <c r="K38" i="22" s="1"/>
  <c r="G33" i="23"/>
  <c r="H39" i="23"/>
  <c r="L39" i="23" s="1"/>
  <c r="H40" i="23"/>
  <c r="L40" i="23" s="1"/>
  <c r="G40" i="24"/>
  <c r="G36" i="25"/>
  <c r="G40" i="25"/>
  <c r="F41" i="26"/>
  <c r="H42" i="26"/>
  <c r="L42" i="26" s="1"/>
  <c r="G28" i="27"/>
  <c r="F29" i="27"/>
  <c r="F33" i="27"/>
  <c r="H34" i="27"/>
  <c r="L34" i="27" s="1"/>
  <c r="G31" i="28"/>
  <c r="G34" i="28"/>
  <c r="H33" i="29"/>
  <c r="K33" i="29" s="1"/>
  <c r="F39" i="29"/>
  <c r="G30" i="30"/>
  <c r="F29" i="32"/>
  <c r="H31" i="32"/>
  <c r="L31" i="32" s="1"/>
  <c r="H32" i="32"/>
  <c r="L32" i="32" s="1"/>
  <c r="G27" i="34"/>
  <c r="F31" i="34"/>
  <c r="H35" i="35"/>
  <c r="L35" i="35" s="1"/>
  <c r="H36" i="35"/>
  <c r="L36" i="35" s="1"/>
  <c r="H32" i="36"/>
  <c r="L32" i="36" s="1"/>
  <c r="H33" i="36"/>
  <c r="L33" i="36" s="1"/>
  <c r="G46" i="14"/>
  <c r="G49" i="14"/>
  <c r="H55" i="14"/>
  <c r="L55" i="14" s="1"/>
  <c r="G49" i="15"/>
  <c r="F57" i="15"/>
  <c r="F58" i="15"/>
  <c r="G49" i="16"/>
  <c r="F54" i="17"/>
  <c r="H56" i="17"/>
  <c r="K56" i="17" s="1"/>
  <c r="G47" i="18"/>
  <c r="F53" i="18"/>
  <c r="F35" i="19"/>
  <c r="G43" i="19"/>
  <c r="F32" i="20"/>
  <c r="F34" i="20"/>
  <c r="G35" i="20"/>
  <c r="H41" i="20"/>
  <c r="L41" i="20" s="1"/>
  <c r="H42" i="20"/>
  <c r="L42" i="20" s="1"/>
  <c r="G37" i="21"/>
  <c r="G40" i="21"/>
  <c r="H33" i="22"/>
  <c r="K33" i="22" s="1"/>
  <c r="L37" i="22"/>
  <c r="G41" i="22"/>
  <c r="H34" i="23"/>
  <c r="L34" i="23" s="1"/>
  <c r="H34" i="24"/>
  <c r="L34" i="24" s="1"/>
  <c r="H35" i="24"/>
  <c r="L35" i="24" s="1"/>
  <c r="F40" i="24"/>
  <c r="F39" i="25"/>
  <c r="F40" i="25"/>
  <c r="H38" i="26"/>
  <c r="K38" i="26" s="1"/>
  <c r="F42" i="26"/>
  <c r="G29" i="27"/>
  <c r="G31" i="27"/>
  <c r="G36" i="27"/>
  <c r="F37" i="27"/>
  <c r="G35" i="28"/>
  <c r="G35" i="29"/>
  <c r="G36" i="29"/>
  <c r="F27" i="31"/>
  <c r="H31" i="31"/>
  <c r="L31" i="31" s="1"/>
  <c r="G26" i="32"/>
  <c r="H26" i="33"/>
  <c r="L26" i="33" s="1"/>
  <c r="H30" i="35"/>
  <c r="L30" i="35" s="1"/>
  <c r="H27" i="36"/>
  <c r="K27" i="36" s="1"/>
  <c r="G60" i="15"/>
  <c r="H50" i="16"/>
  <c r="L50" i="16" s="1"/>
  <c r="G57" i="16"/>
  <c r="G47" i="17"/>
  <c r="H48" i="17"/>
  <c r="K48" i="17" s="1"/>
  <c r="H37" i="19"/>
  <c r="L37" i="19" s="1"/>
  <c r="F38" i="19"/>
  <c r="G36" i="20"/>
  <c r="F40" i="20"/>
  <c r="H40" i="22"/>
  <c r="K40" i="22" s="1"/>
  <c r="H41" i="22"/>
  <c r="L41" i="22" s="1"/>
  <c r="G37" i="24"/>
  <c r="G34" i="25"/>
  <c r="F35" i="25"/>
  <c r="G42" i="25"/>
  <c r="F38" i="26"/>
  <c r="F40" i="26"/>
  <c r="F30" i="28"/>
  <c r="H35" i="29"/>
  <c r="K35" i="29" s="1"/>
  <c r="G29" i="30"/>
  <c r="H32" i="30"/>
  <c r="L32" i="30" s="1"/>
  <c r="F29" i="31"/>
  <c r="H26" i="32"/>
  <c r="K26" i="32" s="1"/>
  <c r="H29" i="34"/>
  <c r="K29" i="34" s="1"/>
  <c r="G51" i="16"/>
  <c r="F52" i="16"/>
  <c r="F56" i="16"/>
  <c r="G50" i="17"/>
  <c r="F51" i="17"/>
  <c r="G42" i="18"/>
  <c r="G50" i="18"/>
  <c r="F39" i="19"/>
  <c r="G35" i="22"/>
  <c r="G36" i="23"/>
  <c r="F41" i="24"/>
  <c r="F36" i="25"/>
  <c r="L42" i="25"/>
  <c r="G37" i="26"/>
  <c r="F31" i="28"/>
  <c r="F36" i="29"/>
  <c r="F31" i="30"/>
  <c r="G33" i="30"/>
  <c r="F34" i="30"/>
  <c r="G28" i="33"/>
  <c r="G29" i="36"/>
  <c r="H45" i="14"/>
  <c r="L45" i="14" s="1"/>
  <c r="F49" i="14"/>
  <c r="H50" i="14"/>
  <c r="L50" i="14" s="1"/>
  <c r="G55" i="15"/>
  <c r="F59" i="15"/>
  <c r="G50" i="16"/>
  <c r="H51" i="16"/>
  <c r="L51" i="16" s="1"/>
  <c r="H52" i="16"/>
  <c r="L52" i="16" s="1"/>
  <c r="G56" i="16"/>
  <c r="F57" i="16"/>
  <c r="H50" i="17"/>
  <c r="L50" i="17" s="1"/>
  <c r="H51" i="17"/>
  <c r="L51" i="17" s="1"/>
  <c r="G52" i="17"/>
  <c r="F36" i="19"/>
  <c r="G38" i="19"/>
  <c r="K35" i="20"/>
  <c r="H41" i="21"/>
  <c r="L41" i="21" s="1"/>
  <c r="H35" i="22"/>
  <c r="K35" i="22" s="1"/>
  <c r="H36" i="22"/>
  <c r="L36" i="22" s="1"/>
  <c r="G43" i="22"/>
  <c r="F44" i="22"/>
  <c r="H36" i="23"/>
  <c r="K36" i="23" s="1"/>
  <c r="H37" i="23"/>
  <c r="L37" i="23" s="1"/>
  <c r="G35" i="25"/>
  <c r="G37" i="25"/>
  <c r="F41" i="25"/>
  <c r="G40" i="26"/>
  <c r="G30" i="27"/>
  <c r="G32" i="27"/>
  <c r="G30" i="28"/>
  <c r="F38" i="29"/>
  <c r="G26" i="31"/>
  <c r="G28" i="32"/>
  <c r="H30" i="33"/>
  <c r="L30" i="33" s="1"/>
  <c r="F28" i="34"/>
  <c r="G31" i="34"/>
  <c r="K32" i="35"/>
  <c r="F34" i="35"/>
  <c r="H51" i="18"/>
  <c r="L51" i="18" s="1"/>
  <c r="K40" i="19"/>
  <c r="L46" i="19"/>
  <c r="G38" i="20"/>
  <c r="F37" i="21"/>
  <c r="H31" i="23"/>
  <c r="K31" i="23" s="1"/>
  <c r="H35" i="26"/>
  <c r="K35" i="26" s="1"/>
  <c r="F36" i="26"/>
  <c r="F31" i="29"/>
  <c r="K27" i="32"/>
  <c r="G31" i="33"/>
  <c r="G32" i="34"/>
  <c r="F8" i="2"/>
  <c r="H10" i="2"/>
  <c r="K10" i="2" s="1"/>
  <c r="G29" i="2"/>
  <c r="H30" i="2"/>
  <c r="K30" i="2" s="1"/>
  <c r="G6" i="3"/>
  <c r="F7" i="3"/>
  <c r="F8" i="3"/>
  <c r="F22" i="3"/>
  <c r="G14" i="4"/>
  <c r="H16" i="4"/>
  <c r="K16" i="4" s="1"/>
  <c r="G17" i="4"/>
  <c r="G19" i="4"/>
  <c r="F22" i="4"/>
  <c r="H10" i="5"/>
  <c r="K10" i="5" s="1"/>
  <c r="G12" i="5"/>
  <c r="F23" i="5"/>
  <c r="H24" i="5"/>
  <c r="L24" i="5" s="1"/>
  <c r="H26" i="5"/>
  <c r="K26" i="5" s="1"/>
  <c r="H27" i="5"/>
  <c r="L27" i="5" s="1"/>
  <c r="G4" i="6"/>
  <c r="F5" i="6"/>
  <c r="G21" i="6"/>
  <c r="H28" i="6"/>
  <c r="K28" i="6" s="1"/>
  <c r="H5" i="7"/>
  <c r="L5" i="7" s="1"/>
  <c r="G20" i="7"/>
  <c r="H21" i="7"/>
  <c r="L21" i="7" s="1"/>
  <c r="L33" i="7"/>
  <c r="H39" i="7"/>
  <c r="L39" i="7" s="1"/>
  <c r="H41" i="7"/>
  <c r="L41" i="7" s="1"/>
  <c r="H42" i="7"/>
  <c r="K42" i="7" s="1"/>
  <c r="H26" i="8"/>
  <c r="L26" i="8" s="1"/>
  <c r="H27" i="8"/>
  <c r="L27" i="8" s="1"/>
  <c r="F29" i="8"/>
  <c r="F30" i="8"/>
  <c r="L9" i="9"/>
  <c r="F10" i="9"/>
  <c r="F12" i="9"/>
  <c r="H13" i="9"/>
  <c r="K13" i="9" s="1"/>
  <c r="H14" i="9"/>
  <c r="L14" i="9" s="1"/>
  <c r="H15" i="9"/>
  <c r="K15" i="9" s="1"/>
  <c r="G30" i="9"/>
  <c r="F32" i="9"/>
  <c r="F33" i="9"/>
  <c r="G21" i="10"/>
  <c r="G31" i="10"/>
  <c r="F32" i="10"/>
  <c r="F10" i="2"/>
  <c r="G15" i="2"/>
  <c r="L19" i="4"/>
  <c r="F15" i="5"/>
  <c r="G5" i="8"/>
  <c r="F6" i="8"/>
  <c r="G23" i="8"/>
  <c r="F24" i="8"/>
  <c r="G3" i="3"/>
  <c r="G5" i="4"/>
  <c r="L27" i="6"/>
  <c r="H2" i="2"/>
  <c r="K2" i="2" s="1"/>
  <c r="G25" i="4"/>
  <c r="H17" i="5"/>
  <c r="L17" i="5" s="1"/>
  <c r="H10" i="6"/>
  <c r="K10" i="6" s="1"/>
  <c r="G35" i="6"/>
  <c r="G37" i="6"/>
  <c r="G13" i="7"/>
  <c r="G30" i="7"/>
  <c r="H38" i="8"/>
  <c r="K38" i="8" s="1"/>
  <c r="G42" i="8"/>
  <c r="G19" i="9"/>
  <c r="G20" i="9"/>
  <c r="H5" i="10"/>
  <c r="K5" i="10" s="1"/>
  <c r="H6" i="10"/>
  <c r="K6" i="10" s="1"/>
  <c r="H7" i="10"/>
  <c r="L7" i="10" s="1"/>
  <c r="G23" i="2"/>
  <c r="G24" i="2"/>
  <c r="F5" i="4"/>
  <c r="G24" i="4"/>
  <c r="H25" i="4"/>
  <c r="L25" i="4" s="1"/>
  <c r="H26" i="4"/>
  <c r="K26" i="4" s="1"/>
  <c r="F18" i="5"/>
  <c r="F16" i="6"/>
  <c r="H38" i="6"/>
  <c r="L38" i="6" s="1"/>
  <c r="H39" i="6"/>
  <c r="L39" i="6" s="1"/>
  <c r="H15" i="7"/>
  <c r="L15" i="7" s="1"/>
  <c r="H29" i="7"/>
  <c r="K29" i="7" s="1"/>
  <c r="H9" i="8"/>
  <c r="L9" i="8" s="1"/>
  <c r="F11" i="8"/>
  <c r="F39" i="8"/>
  <c r="H2" i="9"/>
  <c r="H19" i="9"/>
  <c r="K19" i="9" s="1"/>
  <c r="H20" i="9"/>
  <c r="L20" i="9" s="1"/>
  <c r="H9" i="10"/>
  <c r="L9" i="10" s="1"/>
  <c r="H10" i="10"/>
  <c r="H11" i="10"/>
  <c r="L11" i="10" s="1"/>
  <c r="H21" i="2"/>
  <c r="K21" i="2" s="1"/>
  <c r="H23" i="2"/>
  <c r="K23" i="2" s="1"/>
  <c r="H24" i="2"/>
  <c r="H25" i="2"/>
  <c r="L25" i="2" s="1"/>
  <c r="G11" i="3"/>
  <c r="G19" i="3"/>
  <c r="H7" i="4"/>
  <c r="K7" i="4" s="1"/>
  <c r="H8" i="4"/>
  <c r="L8" i="4" s="1"/>
  <c r="G2" i="5"/>
  <c r="G4" i="5"/>
  <c r="F5" i="5"/>
  <c r="H19" i="5"/>
  <c r="L19" i="5" s="1"/>
  <c r="H16" i="6"/>
  <c r="H18" i="6"/>
  <c r="K18" i="6" s="1"/>
  <c r="H19" i="6"/>
  <c r="L19" i="6" s="1"/>
  <c r="H2" i="7"/>
  <c r="K2" i="7" s="1"/>
  <c r="H14" i="8"/>
  <c r="L14" i="8" s="1"/>
  <c r="G39" i="8"/>
  <c r="F40" i="8"/>
  <c r="F41" i="8"/>
  <c r="F24" i="9"/>
  <c r="H26" i="9"/>
  <c r="L26" i="9" s="1"/>
  <c r="F10" i="10"/>
  <c r="H12" i="10"/>
  <c r="L12" i="10" s="1"/>
  <c r="H13" i="10"/>
  <c r="L13" i="10" s="1"/>
  <c r="G15" i="10"/>
  <c r="F16" i="10"/>
  <c r="G18" i="10"/>
  <c r="H8" i="2"/>
  <c r="L8" i="2" s="1"/>
  <c r="G9" i="2"/>
  <c r="H29" i="2"/>
  <c r="L29" i="2" s="1"/>
  <c r="H20" i="3"/>
  <c r="H22" i="3"/>
  <c r="K22" i="3" s="1"/>
  <c r="H12" i="4"/>
  <c r="L12" i="4" s="1"/>
  <c r="H6" i="5"/>
  <c r="K6" i="5" s="1"/>
  <c r="H7" i="5"/>
  <c r="K7" i="5" s="1"/>
  <c r="H8" i="5"/>
  <c r="L8" i="5" s="1"/>
  <c r="G11" i="5"/>
  <c r="G25" i="5"/>
  <c r="G26" i="5"/>
  <c r="K21" i="6"/>
  <c r="H24" i="6"/>
  <c r="L24" i="6" s="1"/>
  <c r="H4" i="7"/>
  <c r="L4" i="7" s="1"/>
  <c r="G5" i="7"/>
  <c r="G6" i="7"/>
  <c r="H19" i="7"/>
  <c r="K19" i="7" s="1"/>
  <c r="H20" i="7"/>
  <c r="L20" i="7" s="1"/>
  <c r="F21" i="7"/>
  <c r="G22" i="7"/>
  <c r="G13" i="8"/>
  <c r="F16" i="8"/>
  <c r="H22" i="8"/>
  <c r="K22" i="8" s="1"/>
  <c r="F9" i="9"/>
  <c r="H12" i="9"/>
  <c r="L12" i="9" s="1"/>
  <c r="G13" i="9"/>
  <c r="G14" i="9"/>
  <c r="F15" i="9"/>
  <c r="H33" i="9"/>
  <c r="K33" i="9" s="1"/>
  <c r="G34" i="9"/>
  <c r="H21" i="10"/>
  <c r="L21" i="10" s="1"/>
  <c r="G22" i="10"/>
  <c r="F24" i="10"/>
  <c r="G26" i="10"/>
  <c r="H40" i="10"/>
  <c r="K40" i="10" s="1"/>
  <c r="H41" i="10"/>
  <c r="K41" i="10" s="1"/>
  <c r="G3" i="12"/>
  <c r="G5" i="12"/>
  <c r="H39" i="12"/>
  <c r="K39" i="12" s="1"/>
  <c r="H40" i="12"/>
  <c r="L40" i="12" s="1"/>
  <c r="G41" i="12"/>
  <c r="F6" i="13"/>
  <c r="H30" i="13"/>
  <c r="K30" i="13" s="1"/>
  <c r="F31" i="13"/>
  <c r="H6" i="14"/>
  <c r="L6" i="14" s="1"/>
  <c r="H7" i="14"/>
  <c r="K7" i="14" s="1"/>
  <c r="H8" i="14"/>
  <c r="L8" i="14" s="1"/>
  <c r="G23" i="14"/>
  <c r="F10" i="15"/>
  <c r="H4" i="16"/>
  <c r="K4" i="16" s="1"/>
  <c r="H5" i="16"/>
  <c r="L5" i="16" s="1"/>
  <c r="H6" i="16"/>
  <c r="L6" i="16" s="1"/>
  <c r="G7" i="16"/>
  <c r="G9" i="16"/>
  <c r="H30" i="16"/>
  <c r="K30" i="16" s="1"/>
  <c r="H46" i="16"/>
  <c r="K46" i="16" s="1"/>
  <c r="H21" i="17"/>
  <c r="K21" i="17" s="1"/>
  <c r="H22" i="17"/>
  <c r="L22" i="17" s="1"/>
  <c r="G24" i="17"/>
  <c r="G25" i="17"/>
  <c r="G27" i="17"/>
  <c r="G10" i="18"/>
  <c r="H17" i="18"/>
  <c r="K17" i="18" s="1"/>
  <c r="F20" i="18"/>
  <c r="G28" i="18"/>
  <c r="G34" i="18"/>
  <c r="G31" i="19"/>
  <c r="F32" i="19"/>
  <c r="G15" i="20"/>
  <c r="H8" i="21"/>
  <c r="L8" i="21" s="1"/>
  <c r="H14" i="22"/>
  <c r="L14" i="22" s="1"/>
  <c r="F41" i="10"/>
  <c r="H20" i="11"/>
  <c r="L20" i="11" s="1"/>
  <c r="H3" i="12"/>
  <c r="K3" i="12" s="1"/>
  <c r="H4" i="12"/>
  <c r="L4" i="12" s="1"/>
  <c r="H5" i="12"/>
  <c r="L5" i="12" s="1"/>
  <c r="H6" i="12"/>
  <c r="K6" i="12" s="1"/>
  <c r="H7" i="12"/>
  <c r="K7" i="12" s="1"/>
  <c r="H8" i="12"/>
  <c r="K8" i="12" s="1"/>
  <c r="H9" i="12"/>
  <c r="L9" i="12" s="1"/>
  <c r="G33" i="12"/>
  <c r="G37" i="12"/>
  <c r="F38" i="12"/>
  <c r="F39" i="12"/>
  <c r="F40" i="12"/>
  <c r="H43" i="12"/>
  <c r="L43" i="12" s="1"/>
  <c r="H3" i="13"/>
  <c r="K3" i="13" s="1"/>
  <c r="H5" i="13"/>
  <c r="K5" i="13" s="1"/>
  <c r="H6" i="13"/>
  <c r="K6" i="13" s="1"/>
  <c r="H10" i="14"/>
  <c r="K10" i="14" s="1"/>
  <c r="H24" i="14"/>
  <c r="L24" i="14" s="1"/>
  <c r="H25" i="14"/>
  <c r="K25" i="14" s="1"/>
  <c r="F9" i="15"/>
  <c r="F11" i="15"/>
  <c r="F13" i="15"/>
  <c r="H14" i="15"/>
  <c r="L14" i="15" s="1"/>
  <c r="H17" i="15"/>
  <c r="K17" i="15" s="1"/>
  <c r="H8" i="16"/>
  <c r="L8" i="16" s="1"/>
  <c r="F11" i="16"/>
  <c r="K28" i="16"/>
  <c r="F30" i="16"/>
  <c r="F31" i="16"/>
  <c r="G33" i="16"/>
  <c r="F46" i="16"/>
  <c r="G4" i="17"/>
  <c r="H23" i="17"/>
  <c r="L23" i="17" s="1"/>
  <c r="H24" i="17"/>
  <c r="L24" i="17" s="1"/>
  <c r="H26" i="17"/>
  <c r="L26" i="17" s="1"/>
  <c r="H29" i="17"/>
  <c r="K29" i="17" s="1"/>
  <c r="H7" i="18"/>
  <c r="K7" i="18" s="1"/>
  <c r="H9" i="18"/>
  <c r="L9" i="18" s="1"/>
  <c r="H12" i="18"/>
  <c r="K12" i="18" s="1"/>
  <c r="H18" i="18"/>
  <c r="L18" i="18" s="1"/>
  <c r="H19" i="18"/>
  <c r="K19" i="18" s="1"/>
  <c r="F21" i="18"/>
  <c r="G22" i="18"/>
  <c r="H35" i="18"/>
  <c r="L35" i="18" s="1"/>
  <c r="F37" i="18"/>
  <c r="H40" i="18"/>
  <c r="L40" i="18" s="1"/>
  <c r="F33" i="19"/>
  <c r="H17" i="20"/>
  <c r="F20" i="20"/>
  <c r="G5" i="21"/>
  <c r="H10" i="21"/>
  <c r="L10" i="21" s="1"/>
  <c r="F11" i="21"/>
  <c r="F13" i="21"/>
  <c r="F31" i="22"/>
  <c r="G31" i="22"/>
  <c r="F3" i="23"/>
  <c r="G3" i="23"/>
  <c r="G2" i="27"/>
  <c r="F42" i="10"/>
  <c r="H2" i="11"/>
  <c r="K2" i="11" s="1"/>
  <c r="G3" i="11"/>
  <c r="G4" i="11"/>
  <c r="F20" i="11"/>
  <c r="F21" i="11"/>
  <c r="H22" i="11"/>
  <c r="L22" i="11" s="1"/>
  <c r="G25" i="11"/>
  <c r="G26" i="11"/>
  <c r="F6" i="12"/>
  <c r="F8" i="12"/>
  <c r="G12" i="12"/>
  <c r="G19" i="12"/>
  <c r="G6" i="13"/>
  <c r="L10" i="13"/>
  <c r="H31" i="13"/>
  <c r="K31" i="13" s="1"/>
  <c r="G8" i="14"/>
  <c r="F10" i="14"/>
  <c r="F12" i="14"/>
  <c r="H10" i="15"/>
  <c r="K10" i="15" s="1"/>
  <c r="G34" i="15"/>
  <c r="G15" i="16"/>
  <c r="G18" i="16"/>
  <c r="G36" i="16"/>
  <c r="F29" i="17"/>
  <c r="G32" i="17"/>
  <c r="G33" i="17"/>
  <c r="G35" i="17"/>
  <c r="F8" i="18"/>
  <c r="H20" i="18"/>
  <c r="K20" i="18" s="1"/>
  <c r="F5" i="19"/>
  <c r="F30" i="19"/>
  <c r="G32" i="19"/>
  <c r="G26" i="20"/>
  <c r="G38" i="17"/>
  <c r="K36" i="18"/>
  <c r="G23" i="21"/>
  <c r="F23" i="21"/>
  <c r="H24" i="10"/>
  <c r="K24" i="10" s="1"/>
  <c r="H25" i="10"/>
  <c r="K25" i="10" s="1"/>
  <c r="G27" i="10"/>
  <c r="F29" i="10"/>
  <c r="F7" i="11"/>
  <c r="H9" i="11"/>
  <c r="K9" i="11" s="1"/>
  <c r="G10" i="11"/>
  <c r="G12" i="11"/>
  <c r="F13" i="11"/>
  <c r="F28" i="11"/>
  <c r="F29" i="11"/>
  <c r="H32" i="11"/>
  <c r="K32" i="11" s="1"/>
  <c r="G33" i="11"/>
  <c r="G34" i="11"/>
  <c r="H22" i="12"/>
  <c r="K22" i="12" s="1"/>
  <c r="G23" i="12"/>
  <c r="Q14" i="13"/>
  <c r="M27" i="37" s="1"/>
  <c r="H15" i="13"/>
  <c r="L15" i="13" s="1"/>
  <c r="F22" i="13"/>
  <c r="G39" i="13"/>
  <c r="G12" i="14"/>
  <c r="H13" i="14"/>
  <c r="L13" i="14" s="1"/>
  <c r="H35" i="14"/>
  <c r="L35" i="14" s="1"/>
  <c r="F38" i="14"/>
  <c r="G39" i="14"/>
  <c r="G40" i="14"/>
  <c r="G41" i="14"/>
  <c r="G42" i="14"/>
  <c r="G43" i="14"/>
  <c r="G10" i="15"/>
  <c r="H19" i="15"/>
  <c r="K19" i="15" s="1"/>
  <c r="H20" i="15"/>
  <c r="L20" i="15" s="1"/>
  <c r="G24" i="15"/>
  <c r="G25" i="15"/>
  <c r="K32" i="15"/>
  <c r="H37" i="15"/>
  <c r="K37" i="15" s="1"/>
  <c r="G41" i="15"/>
  <c r="F18" i="16"/>
  <c r="G23" i="16"/>
  <c r="G25" i="16"/>
  <c r="G39" i="16"/>
  <c r="G40" i="16"/>
  <c r="G41" i="16"/>
  <c r="G9" i="17"/>
  <c r="G10" i="17"/>
  <c r="G11" i="17"/>
  <c r="G12" i="17"/>
  <c r="F37" i="17"/>
  <c r="G40" i="17"/>
  <c r="G41" i="17"/>
  <c r="G42" i="17"/>
  <c r="F14" i="18"/>
  <c r="H27" i="18"/>
  <c r="K27" i="18" s="1"/>
  <c r="G36" i="18"/>
  <c r="G5" i="19"/>
  <c r="H9" i="19"/>
  <c r="L9" i="19" s="1"/>
  <c r="G11" i="19"/>
  <c r="H3" i="20"/>
  <c r="L3" i="20" s="1"/>
  <c r="H4" i="20"/>
  <c r="L4" i="20" s="1"/>
  <c r="G17" i="20"/>
  <c r="L18" i="20"/>
  <c r="F22" i="20"/>
  <c r="F16" i="21"/>
  <c r="F27" i="25"/>
  <c r="G27" i="25"/>
  <c r="H14" i="27"/>
  <c r="K14" i="27" s="1"/>
  <c r="G25" i="13"/>
  <c r="F16" i="14"/>
  <c r="G37" i="14"/>
  <c r="G2" i="15"/>
  <c r="G42" i="15"/>
  <c r="G44" i="15"/>
  <c r="F45" i="15"/>
  <c r="F46" i="15"/>
  <c r="L35" i="16"/>
  <c r="L34" i="17"/>
  <c r="H38" i="17"/>
  <c r="L38" i="17" s="1"/>
  <c r="G4" i="18"/>
  <c r="F28" i="18"/>
  <c r="F10" i="19"/>
  <c r="K15" i="19"/>
  <c r="H7" i="20"/>
  <c r="K7" i="20" s="1"/>
  <c r="G30" i="20"/>
  <c r="F2" i="21"/>
  <c r="F7" i="22"/>
  <c r="G20" i="23"/>
  <c r="F20" i="23"/>
  <c r="L4" i="36"/>
  <c r="K4" i="36"/>
  <c r="F26" i="10"/>
  <c r="G29" i="10"/>
  <c r="H32" i="10"/>
  <c r="K32" i="10" s="1"/>
  <c r="H33" i="10"/>
  <c r="L33" i="10" s="1"/>
  <c r="G35" i="10"/>
  <c r="F37" i="10"/>
  <c r="H14" i="11"/>
  <c r="H15" i="11"/>
  <c r="K15" i="11" s="1"/>
  <c r="H36" i="11"/>
  <c r="L36" i="11" s="1"/>
  <c r="H23" i="13"/>
  <c r="K23" i="13" s="1"/>
  <c r="G5" i="14"/>
  <c r="H2" i="15"/>
  <c r="H26" i="15"/>
  <c r="L26" i="15" s="1"/>
  <c r="H42" i="15"/>
  <c r="L42" i="15" s="1"/>
  <c r="H43" i="15"/>
  <c r="L43" i="15" s="1"/>
  <c r="H45" i="15"/>
  <c r="L45" i="15" s="1"/>
  <c r="H2" i="16"/>
  <c r="K2" i="16" s="1"/>
  <c r="H15" i="17"/>
  <c r="K15" i="17" s="1"/>
  <c r="H44" i="17"/>
  <c r="K44" i="17" s="1"/>
  <c r="F29" i="18"/>
  <c r="H16" i="19"/>
  <c r="K16" i="19" s="1"/>
  <c r="H17" i="19"/>
  <c r="K17" i="19" s="1"/>
  <c r="H18" i="19"/>
  <c r="K18" i="19" s="1"/>
  <c r="G3" i="20"/>
  <c r="G5" i="20"/>
  <c r="L33" i="21"/>
  <c r="F23" i="26"/>
  <c r="G23" i="26"/>
  <c r="H27" i="25"/>
  <c r="L27" i="25" s="1"/>
  <c r="H21" i="26"/>
  <c r="L21" i="26" s="1"/>
  <c r="H23" i="26"/>
  <c r="L23" i="26" s="1"/>
  <c r="H11" i="27"/>
  <c r="L11" i="27" s="1"/>
  <c r="H16" i="28"/>
  <c r="L16" i="28" s="1"/>
  <c r="H12" i="29"/>
  <c r="H13" i="29"/>
  <c r="K13" i="29" s="1"/>
  <c r="H15" i="30"/>
  <c r="L15" i="30" s="1"/>
  <c r="H3" i="32"/>
  <c r="L3" i="32" s="1"/>
  <c r="H7" i="32"/>
  <c r="H8" i="32"/>
  <c r="L8" i="32" s="1"/>
  <c r="H8" i="33"/>
  <c r="L8" i="33" s="1"/>
  <c r="H9" i="33"/>
  <c r="L9" i="33" s="1"/>
  <c r="H13" i="34"/>
  <c r="K13" i="34" s="1"/>
  <c r="H14" i="34"/>
  <c r="L14" i="34" s="1"/>
  <c r="H15" i="34"/>
  <c r="K15" i="34" s="1"/>
  <c r="H17" i="34"/>
  <c r="L17" i="34" s="1"/>
  <c r="H17" i="35"/>
  <c r="H21" i="35"/>
  <c r="K21" i="35" s="1"/>
  <c r="H23" i="35"/>
  <c r="L23" i="35" s="1"/>
  <c r="H20" i="36"/>
  <c r="L20" i="36" s="1"/>
  <c r="G9" i="21"/>
  <c r="H25" i="21"/>
  <c r="L25" i="21" s="1"/>
  <c r="F27" i="21"/>
  <c r="H20" i="22"/>
  <c r="K20" i="22" s="1"/>
  <c r="G22" i="22"/>
  <c r="H32" i="22"/>
  <c r="K32" i="22" s="1"/>
  <c r="H2" i="23"/>
  <c r="L2" i="23" s="1"/>
  <c r="H3" i="23"/>
  <c r="K3" i="23" s="1"/>
  <c r="G26" i="23"/>
  <c r="F28" i="23"/>
  <c r="H21" i="24"/>
  <c r="L21" i="24" s="1"/>
  <c r="F27" i="24"/>
  <c r="G29" i="24"/>
  <c r="G31" i="24"/>
  <c r="F2" i="25"/>
  <c r="G23" i="25"/>
  <c r="H29" i="25"/>
  <c r="L29" i="25" s="1"/>
  <c r="H30" i="25"/>
  <c r="K30" i="25" s="1"/>
  <c r="F31" i="25"/>
  <c r="G32" i="25"/>
  <c r="G33" i="25"/>
  <c r="G13" i="26"/>
  <c r="G18" i="26"/>
  <c r="H25" i="26"/>
  <c r="L25" i="26" s="1"/>
  <c r="H26" i="26"/>
  <c r="L26" i="26" s="1"/>
  <c r="F27" i="26"/>
  <c r="H16" i="27"/>
  <c r="L16" i="27" s="1"/>
  <c r="H17" i="27"/>
  <c r="H20" i="27"/>
  <c r="K20" i="27" s="1"/>
  <c r="F16" i="28"/>
  <c r="G27" i="28"/>
  <c r="F2" i="29"/>
  <c r="F13" i="29"/>
  <c r="G14" i="29"/>
  <c r="L11" i="30"/>
  <c r="G12" i="30"/>
  <c r="H16" i="30"/>
  <c r="K16" i="30" s="1"/>
  <c r="H18" i="30"/>
  <c r="K18" i="30" s="1"/>
  <c r="K23" i="31"/>
  <c r="H14" i="32"/>
  <c r="L14" i="32" s="1"/>
  <c r="H15" i="32"/>
  <c r="K15" i="32" s="1"/>
  <c r="F16" i="32"/>
  <c r="G9" i="33"/>
  <c r="H11" i="33"/>
  <c r="K11" i="33" s="1"/>
  <c r="G11" i="34"/>
  <c r="F12" i="34"/>
  <c r="F18" i="34"/>
  <c r="H3" i="36"/>
  <c r="L3" i="36" s="1"/>
  <c r="F9" i="36"/>
  <c r="G18" i="36"/>
  <c r="H19" i="36"/>
  <c r="L19" i="36" s="1"/>
  <c r="G20" i="21"/>
  <c r="L21" i="22"/>
  <c r="F5" i="23"/>
  <c r="G7" i="23"/>
  <c r="F3" i="24"/>
  <c r="F23" i="24"/>
  <c r="G26" i="24"/>
  <c r="L25" i="25"/>
  <c r="F20" i="27"/>
  <c r="H22" i="28"/>
  <c r="K22" i="28" s="1"/>
  <c r="L25" i="28"/>
  <c r="H15" i="29"/>
  <c r="K15" i="29" s="1"/>
  <c r="F21" i="29"/>
  <c r="F15" i="30"/>
  <c r="H24" i="30"/>
  <c r="K24" i="30" s="1"/>
  <c r="G25" i="30"/>
  <c r="G26" i="30"/>
  <c r="F9" i="32"/>
  <c r="G15" i="32"/>
  <c r="H18" i="32"/>
  <c r="K18" i="32" s="1"/>
  <c r="F19" i="32"/>
  <c r="F21" i="32"/>
  <c r="G22" i="32"/>
  <c r="H17" i="33"/>
  <c r="G19" i="33"/>
  <c r="F21" i="33"/>
  <c r="G22" i="33"/>
  <c r="G12" i="34"/>
  <c r="G19" i="34"/>
  <c r="G20" i="34"/>
  <c r="G21" i="34"/>
  <c r="G16" i="35"/>
  <c r="F24" i="35"/>
  <c r="F25" i="35"/>
  <c r="H26" i="35"/>
  <c r="L26" i="35" s="1"/>
  <c r="H28" i="35"/>
  <c r="K28" i="35" s="1"/>
  <c r="H10" i="36"/>
  <c r="K10" i="36" s="1"/>
  <c r="G33" i="21"/>
  <c r="G10" i="25"/>
  <c r="G14" i="27"/>
  <c r="G6" i="28"/>
  <c r="F26" i="29"/>
  <c r="G24" i="35"/>
  <c r="H9" i="23"/>
  <c r="L9" i="23" s="1"/>
  <c r="H10" i="23"/>
  <c r="L10" i="23" s="1"/>
  <c r="H12" i="23"/>
  <c r="K12" i="23" s="1"/>
  <c r="G14" i="23"/>
  <c r="H5" i="24"/>
  <c r="K5" i="24" s="1"/>
  <c r="H7" i="24"/>
  <c r="K7" i="24" s="1"/>
  <c r="G12" i="24"/>
  <c r="H6" i="25"/>
  <c r="K6" i="25" s="1"/>
  <c r="G13" i="25"/>
  <c r="G16" i="25"/>
  <c r="Q11" i="26"/>
  <c r="J14" i="37" s="1"/>
  <c r="H7" i="26"/>
  <c r="K7" i="26" s="1"/>
  <c r="G8" i="26"/>
  <c r="F11" i="26"/>
  <c r="H33" i="26"/>
  <c r="K33" i="26" s="1"/>
  <c r="H2" i="27"/>
  <c r="F7" i="27"/>
  <c r="H4" i="28"/>
  <c r="K4" i="28" s="1"/>
  <c r="H5" i="28"/>
  <c r="L5" i="28" s="1"/>
  <c r="H6" i="29"/>
  <c r="K6" i="29" s="1"/>
  <c r="H23" i="29"/>
  <c r="L23" i="29" s="1"/>
  <c r="H24" i="29"/>
  <c r="K24" i="29" s="1"/>
  <c r="H27" i="30"/>
  <c r="L27" i="30" s="1"/>
  <c r="H2" i="31"/>
  <c r="H6" i="31"/>
  <c r="K6" i="31" s="1"/>
  <c r="G13" i="31"/>
  <c r="G15" i="31"/>
  <c r="G16" i="31"/>
  <c r="H23" i="33"/>
  <c r="K23" i="33" s="1"/>
  <c r="H24" i="33"/>
  <c r="L24" i="33" s="1"/>
  <c r="G25" i="33"/>
  <c r="G3" i="34"/>
  <c r="H25" i="34"/>
  <c r="L25" i="34" s="1"/>
  <c r="H26" i="34"/>
  <c r="K26" i="34" s="1"/>
  <c r="H3" i="35"/>
  <c r="K3" i="35" s="1"/>
  <c r="G6" i="35"/>
  <c r="F7" i="35"/>
  <c r="F8" i="35"/>
  <c r="Q5" i="36"/>
  <c r="E4" i="37" s="1"/>
  <c r="G24" i="36"/>
  <c r="H25" i="36"/>
  <c r="H12" i="21"/>
  <c r="L12" i="21" s="1"/>
  <c r="H2" i="22"/>
  <c r="H5" i="22"/>
  <c r="L5" i="22" s="1"/>
  <c r="H6" i="22"/>
  <c r="L6" i="22" s="1"/>
  <c r="H7" i="22"/>
  <c r="L7" i="22" s="1"/>
  <c r="G8" i="22"/>
  <c r="G23" i="22"/>
  <c r="H24" i="22"/>
  <c r="K24" i="22" s="1"/>
  <c r="H28" i="22"/>
  <c r="K28" i="22" s="1"/>
  <c r="G15" i="23"/>
  <c r="F9" i="24"/>
  <c r="F13" i="24"/>
  <c r="H14" i="24"/>
  <c r="K14" i="24" s="1"/>
  <c r="F15" i="24"/>
  <c r="H11" i="25"/>
  <c r="K11" i="25" s="1"/>
  <c r="H17" i="25"/>
  <c r="K17" i="25" s="1"/>
  <c r="Q14" i="26"/>
  <c r="M14" i="37" s="1"/>
  <c r="H8" i="26"/>
  <c r="L8" i="26" s="1"/>
  <c r="H9" i="26"/>
  <c r="K9" i="26" s="1"/>
  <c r="H10" i="26"/>
  <c r="L10" i="26" s="1"/>
  <c r="H11" i="26"/>
  <c r="L11" i="26" s="1"/>
  <c r="H4" i="27"/>
  <c r="K4" i="27" s="1"/>
  <c r="H6" i="27"/>
  <c r="L6" i="27" s="1"/>
  <c r="F9" i="27"/>
  <c r="K25" i="27"/>
  <c r="H7" i="28"/>
  <c r="K7" i="28" s="1"/>
  <c r="H8" i="28"/>
  <c r="K8" i="28" s="1"/>
  <c r="H9" i="28"/>
  <c r="K9" i="28" s="1"/>
  <c r="F6" i="29"/>
  <c r="G7" i="29"/>
  <c r="G8" i="29"/>
  <c r="G9" i="29"/>
  <c r="G26" i="29"/>
  <c r="G27" i="29"/>
  <c r="G28" i="29"/>
  <c r="F29" i="29"/>
  <c r="G3" i="30"/>
  <c r="H11" i="31"/>
  <c r="K11" i="31" s="1"/>
  <c r="H12" i="31"/>
  <c r="L12" i="31" s="1"/>
  <c r="H13" i="31"/>
  <c r="L13" i="31" s="1"/>
  <c r="H15" i="31"/>
  <c r="L15" i="31" s="1"/>
  <c r="G17" i="31"/>
  <c r="G21" i="31"/>
  <c r="F23" i="32"/>
  <c r="F24" i="32"/>
  <c r="F25" i="32"/>
  <c r="F2" i="33"/>
  <c r="K22" i="33"/>
  <c r="H25" i="33"/>
  <c r="K25" i="33" s="1"/>
  <c r="H3" i="34"/>
  <c r="F14" i="36"/>
  <c r="H15" i="36"/>
  <c r="K15" i="36" s="1"/>
  <c r="G23" i="36"/>
  <c r="F25" i="36"/>
  <c r="L29" i="22"/>
  <c r="F14" i="23"/>
  <c r="L15" i="23"/>
  <c r="G7" i="24"/>
  <c r="H12" i="24"/>
  <c r="L12" i="24" s="1"/>
  <c r="K13" i="24"/>
  <c r="G9" i="25"/>
  <c r="F22" i="25"/>
  <c r="G11" i="26"/>
  <c r="F15" i="26"/>
  <c r="F18" i="26"/>
  <c r="H7" i="27"/>
  <c r="K7" i="27" s="1"/>
  <c r="H28" i="29"/>
  <c r="L28" i="29" s="1"/>
  <c r="H3" i="30"/>
  <c r="L3" i="30" s="1"/>
  <c r="F7" i="30"/>
  <c r="G2" i="31"/>
  <c r="H17" i="31"/>
  <c r="L17" i="31" s="1"/>
  <c r="H20" i="31"/>
  <c r="L20" i="31" s="1"/>
  <c r="H21" i="31"/>
  <c r="H24" i="32"/>
  <c r="L24" i="32" s="1"/>
  <c r="H25" i="32"/>
  <c r="K25" i="32" s="1"/>
  <c r="H2" i="33"/>
  <c r="L2" i="33" s="1"/>
  <c r="F6" i="33"/>
  <c r="F10" i="34"/>
  <c r="G4" i="35"/>
  <c r="F5" i="35"/>
  <c r="F12" i="35"/>
  <c r="F14" i="35"/>
  <c r="F13" i="36"/>
  <c r="F15" i="36"/>
  <c r="G25" i="36"/>
  <c r="L13" i="5"/>
  <c r="G15" i="5"/>
  <c r="G22" i="6"/>
  <c r="F23" i="6"/>
  <c r="F21" i="8"/>
  <c r="G21" i="8"/>
  <c r="H9" i="2"/>
  <c r="K9" i="2" s="1"/>
  <c r="G2" i="2"/>
  <c r="G5" i="2"/>
  <c r="F6" i="2"/>
  <c r="G12" i="2"/>
  <c r="K17" i="2"/>
  <c r="F21" i="2"/>
  <c r="H26" i="2"/>
  <c r="K26" i="2" s="1"/>
  <c r="F12" i="3"/>
  <c r="H18" i="3"/>
  <c r="K18" i="3" s="1"/>
  <c r="H19" i="3"/>
  <c r="L19" i="3" s="1"/>
  <c r="H26" i="3"/>
  <c r="K26" i="3" s="1"/>
  <c r="H27" i="3"/>
  <c r="L27" i="3" s="1"/>
  <c r="H14" i="4"/>
  <c r="K14" i="4" s="1"/>
  <c r="H2" i="5"/>
  <c r="K2" i="5" s="1"/>
  <c r="H11" i="5"/>
  <c r="L11" i="5" s="1"/>
  <c r="H15" i="5"/>
  <c r="K15" i="5" s="1"/>
  <c r="L21" i="5"/>
  <c r="H22" i="5"/>
  <c r="K22" i="5" s="1"/>
  <c r="H23" i="5"/>
  <c r="L23" i="5" s="1"/>
  <c r="L13" i="6"/>
  <c r="L21" i="6"/>
  <c r="L26" i="6"/>
  <c r="F31" i="6"/>
  <c r="G31" i="6"/>
  <c r="G23" i="7"/>
  <c r="F22" i="2"/>
  <c r="L24" i="2"/>
  <c r="F14" i="3"/>
  <c r="F24" i="5"/>
  <c r="H14" i="3"/>
  <c r="L14" i="3" s="1"/>
  <c r="K8" i="4"/>
  <c r="G16" i="4"/>
  <c r="H11" i="6"/>
  <c r="L11" i="6" s="1"/>
  <c r="H17" i="6"/>
  <c r="K17" i="6" s="1"/>
  <c r="H25" i="6"/>
  <c r="K25" i="6" s="1"/>
  <c r="F3" i="8"/>
  <c r="G3" i="8"/>
  <c r="H22" i="2"/>
  <c r="K22" i="2" s="1"/>
  <c r="G14" i="3"/>
  <c r="H21" i="3"/>
  <c r="L21" i="3" s="1"/>
  <c r="H10" i="4"/>
  <c r="L10" i="4" s="1"/>
  <c r="H11" i="4"/>
  <c r="L11" i="4" s="1"/>
  <c r="H17" i="4"/>
  <c r="K17" i="4" s="1"/>
  <c r="H18" i="4"/>
  <c r="G19" i="5"/>
  <c r="H25" i="5"/>
  <c r="L25" i="5" s="1"/>
  <c r="F4" i="6"/>
  <c r="G11" i="6"/>
  <c r="F18" i="6"/>
  <c r="F26" i="6"/>
  <c r="F14" i="7"/>
  <c r="G14" i="7"/>
  <c r="G15" i="7"/>
  <c r="F28" i="7"/>
  <c r="G28" i="7"/>
  <c r="G31" i="7"/>
  <c r="G4" i="2"/>
  <c r="F24" i="2"/>
  <c r="L27" i="2"/>
  <c r="H2" i="3"/>
  <c r="K2" i="3" s="1"/>
  <c r="G7" i="3"/>
  <c r="G10" i="3"/>
  <c r="G16" i="3"/>
  <c r="G6" i="4"/>
  <c r="F12" i="4"/>
  <c r="L16" i="4"/>
  <c r="L4" i="5"/>
  <c r="G9" i="5"/>
  <c r="H20" i="5"/>
  <c r="K20" i="5" s="1"/>
  <c r="F26" i="5"/>
  <c r="G6" i="6"/>
  <c r="G26" i="6"/>
  <c r="G27" i="6"/>
  <c r="H35" i="6"/>
  <c r="L35" i="6" s="1"/>
  <c r="H37" i="6"/>
  <c r="L37" i="6" s="1"/>
  <c r="H12" i="7"/>
  <c r="K12" i="7" s="1"/>
  <c r="G18" i="2"/>
  <c r="Q9" i="3"/>
  <c r="I37" i="37" s="1"/>
  <c r="H3" i="3"/>
  <c r="L3" i="3" s="1"/>
  <c r="H23" i="3"/>
  <c r="L23" i="3" s="1"/>
  <c r="L21" i="4"/>
  <c r="G10" i="5"/>
  <c r="H6" i="6"/>
  <c r="K6" i="6" s="1"/>
  <c r="F5" i="13"/>
  <c r="H27" i="7"/>
  <c r="L27" i="7" s="1"/>
  <c r="H28" i="7"/>
  <c r="L28" i="7" s="1"/>
  <c r="H21" i="8"/>
  <c r="K21" i="8" s="1"/>
  <c r="H28" i="8"/>
  <c r="L28" i="8" s="1"/>
  <c r="H34" i="8"/>
  <c r="L34" i="8" s="1"/>
  <c r="H35" i="8"/>
  <c r="L35" i="8" s="1"/>
  <c r="H4" i="9"/>
  <c r="K4" i="9" s="1"/>
  <c r="H14" i="10"/>
  <c r="L14" i="10" s="1"/>
  <c r="H22" i="10"/>
  <c r="K22" i="10" s="1"/>
  <c r="H23" i="10"/>
  <c r="K23" i="10" s="1"/>
  <c r="H30" i="10"/>
  <c r="K30" i="10" s="1"/>
  <c r="H31" i="10"/>
  <c r="K31" i="10" s="1"/>
  <c r="H38" i="10"/>
  <c r="K38" i="10" s="1"/>
  <c r="H39" i="10"/>
  <c r="K39" i="10" s="1"/>
  <c r="H3" i="11"/>
  <c r="L3" i="11" s="1"/>
  <c r="H16" i="11"/>
  <c r="L16" i="11" s="1"/>
  <c r="H24" i="11"/>
  <c r="K24" i="11" s="1"/>
  <c r="H12" i="12"/>
  <c r="L12" i="12" s="1"/>
  <c r="H31" i="12"/>
  <c r="K31" i="12" s="1"/>
  <c r="G4" i="14"/>
  <c r="F4" i="14"/>
  <c r="G19" i="14"/>
  <c r="H19" i="14"/>
  <c r="L19" i="14" s="1"/>
  <c r="H13" i="7"/>
  <c r="K13" i="7" s="1"/>
  <c r="H14" i="7"/>
  <c r="L14" i="7" s="1"/>
  <c r="H22" i="7"/>
  <c r="K22" i="7" s="1"/>
  <c r="H35" i="7"/>
  <c r="H36" i="7"/>
  <c r="K36" i="7" s="1"/>
  <c r="F10" i="8"/>
  <c r="H11" i="8"/>
  <c r="K11" i="8" s="1"/>
  <c r="K27" i="8"/>
  <c r="H29" i="8"/>
  <c r="L29" i="8" s="1"/>
  <c r="H37" i="8"/>
  <c r="L37" i="8" s="1"/>
  <c r="F3" i="9"/>
  <c r="F4" i="9"/>
  <c r="H5" i="9"/>
  <c r="L5" i="9" s="1"/>
  <c r="F13" i="9"/>
  <c r="F19" i="9"/>
  <c r="H34" i="9"/>
  <c r="K34" i="9" s="1"/>
  <c r="F5" i="10"/>
  <c r="F15" i="10"/>
  <c r="F23" i="10"/>
  <c r="F31" i="10"/>
  <c r="F39" i="10"/>
  <c r="F3" i="11"/>
  <c r="H4" i="11"/>
  <c r="K4" i="11" s="1"/>
  <c r="H10" i="11"/>
  <c r="K10" i="11" s="1"/>
  <c r="G16" i="11"/>
  <c r="H17" i="11"/>
  <c r="K17" i="11" s="1"/>
  <c r="H18" i="11"/>
  <c r="K18" i="11" s="1"/>
  <c r="G24" i="11"/>
  <c r="H25" i="11"/>
  <c r="K25" i="11" s="1"/>
  <c r="H26" i="11"/>
  <c r="K26" i="11" s="1"/>
  <c r="H30" i="11"/>
  <c r="L30" i="11" s="1"/>
  <c r="H31" i="11"/>
  <c r="L31" i="11" s="1"/>
  <c r="F32" i="11"/>
  <c r="F37" i="11"/>
  <c r="G38" i="11"/>
  <c r="F40" i="11"/>
  <c r="F5" i="12"/>
  <c r="F12" i="12"/>
  <c r="H23" i="12"/>
  <c r="K23" i="12" s="1"/>
  <c r="G24" i="12"/>
  <c r="F31" i="12"/>
  <c r="F32" i="12"/>
  <c r="F33" i="12"/>
  <c r="H11" i="13"/>
  <c r="K11" i="13" s="1"/>
  <c r="F33" i="15"/>
  <c r="G40" i="15"/>
  <c r="F32" i="6"/>
  <c r="L34" i="6"/>
  <c r="G38" i="6"/>
  <c r="F39" i="6"/>
  <c r="H6" i="7"/>
  <c r="K6" i="7" s="1"/>
  <c r="F7" i="7"/>
  <c r="H30" i="7"/>
  <c r="K30" i="7" s="1"/>
  <c r="K34" i="7"/>
  <c r="F35" i="7"/>
  <c r="H37" i="7"/>
  <c r="K37" i="7" s="1"/>
  <c r="F5" i="8"/>
  <c r="F12" i="8"/>
  <c r="G29" i="8"/>
  <c r="G37" i="8"/>
  <c r="F5" i="9"/>
  <c r="L6" i="9"/>
  <c r="H21" i="9"/>
  <c r="L21" i="9" s="1"/>
  <c r="L22" i="9"/>
  <c r="F27" i="9"/>
  <c r="F34" i="9"/>
  <c r="G35" i="9"/>
  <c r="F8" i="10"/>
  <c r="F4" i="11"/>
  <c r="F5" i="11"/>
  <c r="F12" i="11"/>
  <c r="F18" i="11"/>
  <c r="F26" i="11"/>
  <c r="G16" i="12"/>
  <c r="F23" i="12"/>
  <c r="K40" i="12"/>
  <c r="H28" i="13"/>
  <c r="K28" i="13" s="1"/>
  <c r="K17" i="14"/>
  <c r="G24" i="14"/>
  <c r="F24" i="14"/>
  <c r="K25" i="15"/>
  <c r="G33" i="6"/>
  <c r="F40" i="6"/>
  <c r="H7" i="7"/>
  <c r="L7" i="7" s="1"/>
  <c r="F8" i="7"/>
  <c r="G16" i="7"/>
  <c r="F23" i="7"/>
  <c r="F31" i="7"/>
  <c r="L34" i="7"/>
  <c r="F38" i="7"/>
  <c r="H12" i="8"/>
  <c r="K12" i="8" s="1"/>
  <c r="F13" i="8"/>
  <c r="H23" i="8"/>
  <c r="K23" i="8" s="1"/>
  <c r="G24" i="8"/>
  <c r="G7" i="9"/>
  <c r="G9" i="9"/>
  <c r="F16" i="9"/>
  <c r="G28" i="9"/>
  <c r="F30" i="9"/>
  <c r="H8" i="10"/>
  <c r="L8" i="10" s="1"/>
  <c r="G9" i="10"/>
  <c r="G10" i="10"/>
  <c r="G17" i="10"/>
  <c r="G25" i="10"/>
  <c r="G33" i="10"/>
  <c r="G41" i="10"/>
  <c r="H5" i="11"/>
  <c r="L5" i="11" s="1"/>
  <c r="H6" i="11"/>
  <c r="L6" i="11" s="1"/>
  <c r="G7" i="11"/>
  <c r="Q5" i="11"/>
  <c r="E29" i="37" s="1"/>
  <c r="H33" i="11"/>
  <c r="K33" i="11" s="1"/>
  <c r="H34" i="11"/>
  <c r="K34" i="11" s="1"/>
  <c r="H41" i="11"/>
  <c r="K41" i="11" s="1"/>
  <c r="H42" i="11"/>
  <c r="K42" i="11" s="1"/>
  <c r="G7" i="12"/>
  <c r="H14" i="12"/>
  <c r="K14" i="12" s="1"/>
  <c r="F25" i="12"/>
  <c r="K32" i="12"/>
  <c r="H34" i="12"/>
  <c r="K34" i="12" s="1"/>
  <c r="H35" i="12"/>
  <c r="K35" i="12" s="1"/>
  <c r="G36" i="12"/>
  <c r="F37" i="12"/>
  <c r="H17" i="13"/>
  <c r="L17" i="13" s="1"/>
  <c r="F18" i="13"/>
  <c r="G18" i="13"/>
  <c r="G33" i="13"/>
  <c r="H33" i="13"/>
  <c r="L33" i="13" s="1"/>
  <c r="K31" i="6"/>
  <c r="H33" i="6"/>
  <c r="K33" i="6" s="1"/>
  <c r="G39" i="6"/>
  <c r="G2" i="7"/>
  <c r="G7" i="7"/>
  <c r="Q15" i="7"/>
  <c r="N33" i="37" s="1"/>
  <c r="G24" i="7"/>
  <c r="G32" i="7"/>
  <c r="G38" i="7"/>
  <c r="G39" i="7"/>
  <c r="F41" i="7"/>
  <c r="G11" i="8"/>
  <c r="G12" i="8"/>
  <c r="H13" i="8"/>
  <c r="L13" i="8" s="1"/>
  <c r="G15" i="8"/>
  <c r="G16" i="8"/>
  <c r="H31" i="8"/>
  <c r="K31" i="8" s="1"/>
  <c r="H39" i="8"/>
  <c r="K39" i="8" s="1"/>
  <c r="G40" i="8"/>
  <c r="G6" i="9"/>
  <c r="H7" i="9"/>
  <c r="L7" i="9" s="1"/>
  <c r="H16" i="9"/>
  <c r="L16" i="9" s="1"/>
  <c r="G17" i="9"/>
  <c r="G22" i="9"/>
  <c r="H23" i="9"/>
  <c r="K23" i="9" s="1"/>
  <c r="H24" i="9"/>
  <c r="K24" i="9" s="1"/>
  <c r="H28" i="9"/>
  <c r="L28" i="9" s="1"/>
  <c r="H30" i="9"/>
  <c r="L30" i="9" s="1"/>
  <c r="F35" i="9"/>
  <c r="G36" i="9"/>
  <c r="F38" i="9"/>
  <c r="G8" i="10"/>
  <c r="L10" i="10"/>
  <c r="G5" i="11"/>
  <c r="L7" i="11"/>
  <c r="G14" i="11"/>
  <c r="G20" i="11"/>
  <c r="G28" i="11"/>
  <c r="F34" i="11"/>
  <c r="F42" i="11"/>
  <c r="F16" i="12"/>
  <c r="F17" i="12"/>
  <c r="G28" i="12"/>
  <c r="F29" i="12"/>
  <c r="G2" i="13"/>
  <c r="F4" i="13"/>
  <c r="F16" i="13"/>
  <c r="F17" i="13"/>
  <c r="L32" i="13"/>
  <c r="G29" i="14"/>
  <c r="F29" i="14"/>
  <c r="F28" i="15"/>
  <c r="F3" i="7"/>
  <c r="K10" i="7"/>
  <c r="F42" i="7"/>
  <c r="F8" i="8"/>
  <c r="H25" i="8"/>
  <c r="L25" i="8" s="1"/>
  <c r="G26" i="8"/>
  <c r="G16" i="9"/>
  <c r="L38" i="9"/>
  <c r="K11" i="10"/>
  <c r="H28" i="11"/>
  <c r="L28" i="11" s="1"/>
  <c r="F9" i="12"/>
  <c r="L13" i="12"/>
  <c r="H16" i="12"/>
  <c r="L16" i="12" s="1"/>
  <c r="H18" i="12"/>
  <c r="K18" i="12" s="1"/>
  <c r="H19" i="12"/>
  <c r="K19" i="12" s="1"/>
  <c r="F21" i="12"/>
  <c r="K24" i="12"/>
  <c r="H28" i="12"/>
  <c r="K28" i="12" s="1"/>
  <c r="H29" i="12"/>
  <c r="L29" i="12" s="1"/>
  <c r="G5" i="13"/>
  <c r="G30" i="13"/>
  <c r="G15" i="14"/>
  <c r="F15" i="14"/>
  <c r="G33" i="14"/>
  <c r="F33" i="14"/>
  <c r="K33" i="7"/>
  <c r="G41" i="7"/>
  <c r="H17" i="8"/>
  <c r="L17" i="8" s="1"/>
  <c r="H41" i="8"/>
  <c r="L41" i="8" s="1"/>
  <c r="G24" i="9"/>
  <c r="H19" i="10"/>
  <c r="L19" i="10" s="1"/>
  <c r="G8" i="12"/>
  <c r="H10" i="12"/>
  <c r="L10" i="12" s="1"/>
  <c r="G11" i="12"/>
  <c r="G10" i="13"/>
  <c r="G20" i="13"/>
  <c r="G24" i="13"/>
  <c r="F24" i="13"/>
  <c r="G41" i="13"/>
  <c r="H41" i="13"/>
  <c r="L41" i="13" s="1"/>
  <c r="G32" i="14"/>
  <c r="G34" i="14"/>
  <c r="F34" i="14"/>
  <c r="G15" i="15"/>
  <c r="H15" i="15"/>
  <c r="L15" i="15" s="1"/>
  <c r="F15" i="15"/>
  <c r="F31" i="15"/>
  <c r="H31" i="15"/>
  <c r="L37" i="15"/>
  <c r="F35" i="18"/>
  <c r="G35" i="18"/>
  <c r="H2" i="14"/>
  <c r="L2" i="14" s="1"/>
  <c r="H4" i="14"/>
  <c r="L4" i="14" s="1"/>
  <c r="H22" i="14"/>
  <c r="K22" i="14" s="1"/>
  <c r="H23" i="14"/>
  <c r="L23" i="14" s="1"/>
  <c r="H29" i="14"/>
  <c r="L29" i="14" s="1"/>
  <c r="H34" i="14"/>
  <c r="L34" i="14" s="1"/>
  <c r="G35" i="14"/>
  <c r="G19" i="15"/>
  <c r="L25" i="15"/>
  <c r="H27" i="15"/>
  <c r="L27" i="15" s="1"/>
  <c r="G32" i="15"/>
  <c r="H40" i="15"/>
  <c r="K40" i="15" s="1"/>
  <c r="H46" i="15"/>
  <c r="H47" i="15"/>
  <c r="K47" i="15" s="1"/>
  <c r="G6" i="16"/>
  <c r="H7" i="16"/>
  <c r="L7" i="16" s="1"/>
  <c r="H15" i="16"/>
  <c r="K15" i="16" s="1"/>
  <c r="G16" i="16"/>
  <c r="G2" i="17"/>
  <c r="H9" i="17"/>
  <c r="L9" i="17" s="1"/>
  <c r="H17" i="17"/>
  <c r="K17" i="17" s="1"/>
  <c r="L21" i="17"/>
  <c r="H25" i="17"/>
  <c r="K25" i="17" s="1"/>
  <c r="G26" i="17"/>
  <c r="K30" i="17"/>
  <c r="H33" i="17"/>
  <c r="K33" i="17" s="1"/>
  <c r="G34" i="17"/>
  <c r="H41" i="17"/>
  <c r="K41" i="17" s="1"/>
  <c r="F7" i="18"/>
  <c r="L15" i="18"/>
  <c r="H25" i="18"/>
  <c r="L25" i="18" s="1"/>
  <c r="H26" i="18"/>
  <c r="L26" i="18" s="1"/>
  <c r="H33" i="18"/>
  <c r="H34" i="18"/>
  <c r="L34" i="18" s="1"/>
  <c r="G19" i="19"/>
  <c r="H19" i="19"/>
  <c r="L19" i="19" s="1"/>
  <c r="G11" i="14"/>
  <c r="G31" i="14"/>
  <c r="G5" i="15"/>
  <c r="F6" i="15"/>
  <c r="F22" i="15"/>
  <c r="F40" i="15"/>
  <c r="G46" i="15"/>
  <c r="F23" i="16"/>
  <c r="G24" i="16"/>
  <c r="G32" i="16"/>
  <c r="F39" i="16"/>
  <c r="L30" i="17"/>
  <c r="F25" i="18"/>
  <c r="G27" i="18"/>
  <c r="F33" i="18"/>
  <c r="L4" i="19"/>
  <c r="H5" i="19"/>
  <c r="K5" i="19" s="1"/>
  <c r="H6" i="19"/>
  <c r="L6" i="19" s="1"/>
  <c r="G23" i="19"/>
  <c r="H6" i="20"/>
  <c r="L6" i="20" s="1"/>
  <c r="G20" i="20"/>
  <c r="K9" i="24"/>
  <c r="H24" i="13"/>
  <c r="L24" i="13" s="1"/>
  <c r="F39" i="13"/>
  <c r="F5" i="14"/>
  <c r="H11" i="14"/>
  <c r="K11" i="14" s="1"/>
  <c r="H12" i="14"/>
  <c r="L12" i="14" s="1"/>
  <c r="F17" i="14"/>
  <c r="G25" i="14"/>
  <c r="H30" i="14"/>
  <c r="L30" i="14" s="1"/>
  <c r="H31" i="14"/>
  <c r="K31" i="14" s="1"/>
  <c r="H36" i="14"/>
  <c r="K36" i="14" s="1"/>
  <c r="H37" i="14"/>
  <c r="K37" i="14" s="1"/>
  <c r="H42" i="14"/>
  <c r="L42" i="14" s="1"/>
  <c r="H5" i="15"/>
  <c r="K5" i="15" s="1"/>
  <c r="H6" i="15"/>
  <c r="L6" i="15" s="1"/>
  <c r="H22" i="15"/>
  <c r="L22" i="15" s="1"/>
  <c r="F23" i="15"/>
  <c r="H9" i="16"/>
  <c r="K9" i="16" s="1"/>
  <c r="F15" i="16"/>
  <c r="H18" i="16"/>
  <c r="K18" i="16" s="1"/>
  <c r="L22" i="16"/>
  <c r="H24" i="16"/>
  <c r="L24" i="16" s="1"/>
  <c r="H32" i="16"/>
  <c r="L32" i="16" s="1"/>
  <c r="L38" i="16"/>
  <c r="H40" i="16"/>
  <c r="L40" i="16" s="1"/>
  <c r="F2" i="17"/>
  <c r="H4" i="17"/>
  <c r="K4" i="17" s="1"/>
  <c r="G5" i="17"/>
  <c r="F17" i="17"/>
  <c r="H18" i="17"/>
  <c r="K18" i="17" s="1"/>
  <c r="F25" i="17"/>
  <c r="F26" i="17"/>
  <c r="H27" i="17"/>
  <c r="L27" i="17" s="1"/>
  <c r="F33" i="17"/>
  <c r="F34" i="17"/>
  <c r="H35" i="17"/>
  <c r="L35" i="17" s="1"/>
  <c r="F41" i="17"/>
  <c r="H42" i="17"/>
  <c r="K42" i="17" s="1"/>
  <c r="G7" i="18"/>
  <c r="H8" i="18"/>
  <c r="K8" i="18" s="1"/>
  <c r="F36" i="18"/>
  <c r="F6" i="19"/>
  <c r="F8" i="19"/>
  <c r="F6" i="20"/>
  <c r="F29" i="20"/>
  <c r="H16" i="13"/>
  <c r="K16" i="13" s="1"/>
  <c r="F23" i="13"/>
  <c r="G32" i="13"/>
  <c r="G40" i="13"/>
  <c r="G13" i="14"/>
  <c r="G18" i="14"/>
  <c r="L41" i="14"/>
  <c r="F42" i="14"/>
  <c r="G6" i="15"/>
  <c r="H9" i="15"/>
  <c r="H16" i="15"/>
  <c r="K16" i="15" s="1"/>
  <c r="G22" i="15"/>
  <c r="H23" i="15"/>
  <c r="L23" i="15" s="1"/>
  <c r="H24" i="15"/>
  <c r="K24" i="15" s="1"/>
  <c r="H29" i="15"/>
  <c r="L29" i="15" s="1"/>
  <c r="H34" i="15"/>
  <c r="L34" i="15" s="1"/>
  <c r="H36" i="15"/>
  <c r="K36" i="15" s="1"/>
  <c r="H41" i="15"/>
  <c r="K41" i="15" s="1"/>
  <c r="H3" i="16"/>
  <c r="L3" i="16" s="1"/>
  <c r="F9" i="16"/>
  <c r="G19" i="16"/>
  <c r="K23" i="16"/>
  <c r="H25" i="16"/>
  <c r="L25" i="16" s="1"/>
  <c r="H33" i="16"/>
  <c r="L33" i="16" s="1"/>
  <c r="G35" i="16"/>
  <c r="K39" i="16"/>
  <c r="H41" i="16"/>
  <c r="F4" i="17"/>
  <c r="F18" i="17"/>
  <c r="K34" i="17"/>
  <c r="F42" i="17"/>
  <c r="G8" i="19"/>
  <c r="H6" i="21"/>
  <c r="L6" i="21" s="1"/>
  <c r="G6" i="21"/>
  <c r="F20" i="16"/>
  <c r="L23" i="16"/>
  <c r="L39" i="16"/>
  <c r="L10" i="17"/>
  <c r="F13" i="17"/>
  <c r="G2" i="18"/>
  <c r="G38" i="18"/>
  <c r="H12" i="19"/>
  <c r="G12" i="19"/>
  <c r="H2" i="13"/>
  <c r="L2" i="13" s="1"/>
  <c r="K26" i="13"/>
  <c r="F32" i="13"/>
  <c r="F34" i="13"/>
  <c r="F40" i="13"/>
  <c r="G9" i="14"/>
  <c r="H14" i="14"/>
  <c r="K14" i="14" s="1"/>
  <c r="H15" i="14"/>
  <c r="L15" i="14" s="1"/>
  <c r="L17" i="14"/>
  <c r="F18" i="14"/>
  <c r="G26" i="14"/>
  <c r="K38" i="14"/>
  <c r="F40" i="14"/>
  <c r="F2" i="15"/>
  <c r="G3" i="15"/>
  <c r="G17" i="15"/>
  <c r="G18" i="15"/>
  <c r="G26" i="15"/>
  <c r="F36" i="15"/>
  <c r="H38" i="15"/>
  <c r="L38" i="15" s="1"/>
  <c r="H44" i="15"/>
  <c r="K44" i="15" s="1"/>
  <c r="G5" i="16"/>
  <c r="F19" i="16"/>
  <c r="H20" i="16"/>
  <c r="L20" i="16" s="1"/>
  <c r="F26" i="16"/>
  <c r="H27" i="16"/>
  <c r="L27" i="16" s="1"/>
  <c r="F28" i="16"/>
  <c r="F34" i="16"/>
  <c r="F35" i="16"/>
  <c r="H36" i="16"/>
  <c r="L36" i="16" s="1"/>
  <c r="F42" i="16"/>
  <c r="H43" i="16"/>
  <c r="K43" i="16" s="1"/>
  <c r="H13" i="17"/>
  <c r="L13" i="17" s="1"/>
  <c r="G15" i="17"/>
  <c r="F21" i="17"/>
  <c r="H2" i="18"/>
  <c r="K2" i="18" s="1"/>
  <c r="H4" i="18"/>
  <c r="K4" i="18" s="1"/>
  <c r="H5" i="18"/>
  <c r="L5" i="18" s="1"/>
  <c r="F13" i="18"/>
  <c r="H16" i="18"/>
  <c r="L16" i="18" s="1"/>
  <c r="H24" i="18"/>
  <c r="L24" i="18" s="1"/>
  <c r="H29" i="18"/>
  <c r="K29" i="18" s="1"/>
  <c r="G30" i="18"/>
  <c r="H32" i="18"/>
  <c r="L32" i="18" s="1"/>
  <c r="H38" i="18"/>
  <c r="L38" i="18" s="1"/>
  <c r="G13" i="19"/>
  <c r="H13" i="19"/>
  <c r="L13" i="19" s="1"/>
  <c r="H25" i="19"/>
  <c r="K25" i="19" s="1"/>
  <c r="F16" i="20"/>
  <c r="G16" i="20"/>
  <c r="K10" i="13"/>
  <c r="G12" i="13"/>
  <c r="G35" i="13"/>
  <c r="L43" i="13"/>
  <c r="G27" i="14"/>
  <c r="G13" i="15"/>
  <c r="G45" i="15"/>
  <c r="F4" i="16"/>
  <c r="F14" i="16"/>
  <c r="G20" i="16"/>
  <c r="F27" i="16"/>
  <c r="L28" i="16"/>
  <c r="K35" i="16"/>
  <c r="F43" i="16"/>
  <c r="K8" i="17"/>
  <c r="G13" i="17"/>
  <c r="G23" i="17"/>
  <c r="G31" i="17"/>
  <c r="F38" i="17"/>
  <c r="G39" i="17"/>
  <c r="F4" i="18"/>
  <c r="L14" i="18"/>
  <c r="H22" i="18"/>
  <c r="L22" i="18" s="1"/>
  <c r="F40" i="18"/>
  <c r="F4" i="19"/>
  <c r="F12" i="19"/>
  <c r="G30" i="19"/>
  <c r="H32" i="19"/>
  <c r="L32" i="19" s="1"/>
  <c r="K4" i="20"/>
  <c r="G10" i="20"/>
  <c r="H20" i="20"/>
  <c r="K20" i="20" s="1"/>
  <c r="H29" i="20"/>
  <c r="K29" i="20" s="1"/>
  <c r="H14" i="21"/>
  <c r="K14" i="21" s="1"/>
  <c r="H20" i="21"/>
  <c r="K20" i="21" s="1"/>
  <c r="H32" i="21"/>
  <c r="K32" i="21" s="1"/>
  <c r="H23" i="22"/>
  <c r="K23" i="22" s="1"/>
  <c r="H31" i="22"/>
  <c r="K31" i="22" s="1"/>
  <c r="H8" i="23"/>
  <c r="L8" i="23" s="1"/>
  <c r="H21" i="23"/>
  <c r="K21" i="23" s="1"/>
  <c r="H22" i="23"/>
  <c r="L22" i="23" s="1"/>
  <c r="H3" i="24"/>
  <c r="K3" i="24" s="1"/>
  <c r="F10" i="24"/>
  <c r="F19" i="24"/>
  <c r="H26" i="24"/>
  <c r="K26" i="24" s="1"/>
  <c r="H27" i="24"/>
  <c r="K27" i="24" s="1"/>
  <c r="H5" i="25"/>
  <c r="K5" i="25" s="1"/>
  <c r="H12" i="25"/>
  <c r="L12" i="25" s="1"/>
  <c r="H14" i="26"/>
  <c r="K14" i="26" s="1"/>
  <c r="G19" i="26"/>
  <c r="G27" i="26"/>
  <c r="F3" i="27"/>
  <c r="G6" i="27"/>
  <c r="H2" i="28"/>
  <c r="K2" i="28" s="1"/>
  <c r="H11" i="19"/>
  <c r="L11" i="19" s="1"/>
  <c r="H21" i="20"/>
  <c r="K21" i="20" s="1"/>
  <c r="G22" i="20"/>
  <c r="H23" i="20"/>
  <c r="L23" i="20" s="1"/>
  <c r="F24" i="20"/>
  <c r="H30" i="20"/>
  <c r="L30" i="20" s="1"/>
  <c r="F4" i="21"/>
  <c r="F5" i="21"/>
  <c r="L13" i="21"/>
  <c r="H23" i="21"/>
  <c r="K23" i="21" s="1"/>
  <c r="G2" i="22"/>
  <c r="H9" i="22"/>
  <c r="K9" i="22" s="1"/>
  <c r="H16" i="22"/>
  <c r="L16" i="22" s="1"/>
  <c r="H17" i="22"/>
  <c r="L17" i="22" s="1"/>
  <c r="F18" i="22"/>
  <c r="G24" i="22"/>
  <c r="F26" i="22"/>
  <c r="G32" i="22"/>
  <c r="G10" i="23"/>
  <c r="H16" i="23"/>
  <c r="K16" i="23" s="1"/>
  <c r="G17" i="23"/>
  <c r="H24" i="23"/>
  <c r="K24" i="23" s="1"/>
  <c r="G25" i="23"/>
  <c r="H4" i="24"/>
  <c r="K4" i="24" s="1"/>
  <c r="G5" i="24"/>
  <c r="H19" i="24"/>
  <c r="K19" i="24" s="1"/>
  <c r="H20" i="24"/>
  <c r="K20" i="24" s="1"/>
  <c r="G21" i="24"/>
  <c r="G28" i="24"/>
  <c r="F5" i="25"/>
  <c r="H13" i="25"/>
  <c r="L13" i="25" s="1"/>
  <c r="G22" i="25"/>
  <c r="F23" i="25"/>
  <c r="G24" i="25"/>
  <c r="H31" i="25"/>
  <c r="K31" i="25" s="1"/>
  <c r="H32" i="25"/>
  <c r="K32" i="25" s="1"/>
  <c r="G10" i="26"/>
  <c r="F14" i="26"/>
  <c r="G6" i="25"/>
  <c r="F13" i="25"/>
  <c r="G14" i="25"/>
  <c r="F32" i="25"/>
  <c r="G15" i="26"/>
  <c r="G16" i="26"/>
  <c r="G17" i="26"/>
  <c r="L28" i="26"/>
  <c r="F6" i="27"/>
  <c r="H21" i="27"/>
  <c r="K21" i="27" s="1"/>
  <c r="H22" i="27"/>
  <c r="L22" i="27" s="1"/>
  <c r="G23" i="27"/>
  <c r="H21" i="19"/>
  <c r="K21" i="19" s="1"/>
  <c r="H26" i="19"/>
  <c r="K26" i="19" s="1"/>
  <c r="G27" i="19"/>
  <c r="H34" i="19"/>
  <c r="K34" i="19" s="1"/>
  <c r="G2" i="20"/>
  <c r="H8" i="20"/>
  <c r="K8" i="20" s="1"/>
  <c r="F9" i="20"/>
  <c r="H15" i="20"/>
  <c r="H25" i="20"/>
  <c r="L25" i="20" s="1"/>
  <c r="G27" i="20"/>
  <c r="H11" i="21"/>
  <c r="K11" i="21" s="1"/>
  <c r="H17" i="21"/>
  <c r="L17" i="21" s="1"/>
  <c r="H24" i="21"/>
  <c r="K24" i="21" s="1"/>
  <c r="G26" i="21"/>
  <c r="H3" i="22"/>
  <c r="L3" i="22" s="1"/>
  <c r="H11" i="22"/>
  <c r="K11" i="22" s="1"/>
  <c r="G18" i="22"/>
  <c r="H19" i="22"/>
  <c r="K19" i="22" s="1"/>
  <c r="G20" i="22"/>
  <c r="G26" i="22"/>
  <c r="H27" i="22"/>
  <c r="K27" i="22" s="1"/>
  <c r="G28" i="22"/>
  <c r="G4" i="23"/>
  <c r="F10" i="23"/>
  <c r="G12" i="23"/>
  <c r="G13" i="23"/>
  <c r="F17" i="23"/>
  <c r="G19" i="23"/>
  <c r="F25" i="23"/>
  <c r="H27" i="23"/>
  <c r="H22" i="24"/>
  <c r="L22" i="24" s="1"/>
  <c r="H23" i="24"/>
  <c r="L23" i="24" s="1"/>
  <c r="F28" i="24"/>
  <c r="H8" i="25"/>
  <c r="L8" i="25" s="1"/>
  <c r="H9" i="25"/>
  <c r="L9" i="25" s="1"/>
  <c r="H16" i="25"/>
  <c r="K16" i="25" s="1"/>
  <c r="K22" i="25"/>
  <c r="G31" i="25"/>
  <c r="G3" i="26"/>
  <c r="H17" i="26"/>
  <c r="L17" i="26" s="1"/>
  <c r="F26" i="26"/>
  <c r="L10" i="27"/>
  <c r="H12" i="27"/>
  <c r="K12" i="27" s="1"/>
  <c r="F21" i="27"/>
  <c r="F22" i="27"/>
  <c r="H23" i="27"/>
  <c r="L23" i="27" s="1"/>
  <c r="F17" i="28"/>
  <c r="H17" i="28"/>
  <c r="L17" i="28" s="1"/>
  <c r="L13" i="36"/>
  <c r="K13" i="36"/>
  <c r="F16" i="19"/>
  <c r="G25" i="19"/>
  <c r="H28" i="19"/>
  <c r="L28" i="19" s="1"/>
  <c r="F29" i="19"/>
  <c r="G33" i="19"/>
  <c r="F3" i="20"/>
  <c r="G7" i="20"/>
  <c r="G14" i="20"/>
  <c r="G18" i="20"/>
  <c r="G19" i="20"/>
  <c r="F28" i="20"/>
  <c r="L9" i="21"/>
  <c r="H18" i="21"/>
  <c r="H19" i="21"/>
  <c r="K19" i="21" s="1"/>
  <c r="G5" i="22"/>
  <c r="G6" i="22"/>
  <c r="F11" i="22"/>
  <c r="G12" i="22"/>
  <c r="G21" i="22"/>
  <c r="G29" i="22"/>
  <c r="G11" i="23"/>
  <c r="H18" i="23"/>
  <c r="L18" i="23" s="1"/>
  <c r="H26" i="23"/>
  <c r="L26" i="23" s="1"/>
  <c r="F8" i="24"/>
  <c r="F14" i="24"/>
  <c r="G20" i="24"/>
  <c r="H29" i="24"/>
  <c r="L29" i="24" s="1"/>
  <c r="L31" i="24"/>
  <c r="F16" i="25"/>
  <c r="L22" i="25"/>
  <c r="F4" i="26"/>
  <c r="L29" i="26"/>
  <c r="F12" i="27"/>
  <c r="G16" i="27"/>
  <c r="L20" i="27"/>
  <c r="G19" i="28"/>
  <c r="F19" i="28"/>
  <c r="L27" i="19"/>
  <c r="L27" i="20"/>
  <c r="L4" i="23"/>
  <c r="L19" i="23"/>
  <c r="H8" i="24"/>
  <c r="K8" i="24" s="1"/>
  <c r="F31" i="24"/>
  <c r="G17" i="25"/>
  <c r="F19" i="26"/>
  <c r="G24" i="28"/>
  <c r="F24" i="28"/>
  <c r="G16" i="19"/>
  <c r="G21" i="19"/>
  <c r="H22" i="19"/>
  <c r="K22" i="19" s="1"/>
  <c r="H23" i="19"/>
  <c r="L23" i="19" s="1"/>
  <c r="F27" i="19"/>
  <c r="G29" i="19"/>
  <c r="H30" i="19"/>
  <c r="K30" i="19" s="1"/>
  <c r="H31" i="19"/>
  <c r="L31" i="19" s="1"/>
  <c r="G4" i="20"/>
  <c r="F5" i="20"/>
  <c r="H10" i="20"/>
  <c r="K10" i="20" s="1"/>
  <c r="H12" i="20"/>
  <c r="K12" i="20" s="1"/>
  <c r="F13" i="20"/>
  <c r="G25" i="20"/>
  <c r="K27" i="20"/>
  <c r="G28" i="20"/>
  <c r="H7" i="21"/>
  <c r="F19" i="21"/>
  <c r="H13" i="22"/>
  <c r="K13" i="22" s="1"/>
  <c r="G14" i="22"/>
  <c r="H7" i="23"/>
  <c r="K7" i="23" s="1"/>
  <c r="H14" i="23"/>
  <c r="K14" i="23" s="1"/>
  <c r="H20" i="23"/>
  <c r="K20" i="23" s="1"/>
  <c r="G2" i="24"/>
  <c r="F18" i="24"/>
  <c r="G23" i="24"/>
  <c r="H24" i="24"/>
  <c r="L24" i="24" s="1"/>
  <c r="H32" i="24"/>
  <c r="L32" i="24" s="1"/>
  <c r="F11" i="25"/>
  <c r="H19" i="25"/>
  <c r="L19" i="25" s="1"/>
  <c r="F30" i="25"/>
  <c r="L33" i="25"/>
  <c r="G4" i="26"/>
  <c r="G5" i="26"/>
  <c r="G7" i="26"/>
  <c r="F13" i="26"/>
  <c r="H19" i="26"/>
  <c r="K19" i="26" s="1"/>
  <c r="G20" i="26"/>
  <c r="H27" i="26"/>
  <c r="K27" i="26" s="1"/>
  <c r="G28" i="26"/>
  <c r="H8" i="27"/>
  <c r="L8" i="27" s="1"/>
  <c r="H9" i="27"/>
  <c r="L9" i="27" s="1"/>
  <c r="H18" i="27"/>
  <c r="K18" i="27" s="1"/>
  <c r="H19" i="27"/>
  <c r="K19" i="27" s="1"/>
  <c r="G25" i="27"/>
  <c r="H26" i="27"/>
  <c r="L26" i="27" s="1"/>
  <c r="K9" i="20"/>
  <c r="K19" i="20"/>
  <c r="F15" i="22"/>
  <c r="K21" i="22"/>
  <c r="G8" i="23"/>
  <c r="G21" i="23"/>
  <c r="F23" i="23"/>
  <c r="G14" i="24"/>
  <c r="K26" i="26"/>
  <c r="G9" i="27"/>
  <c r="F2" i="28"/>
  <c r="L21" i="34"/>
  <c r="L24" i="35"/>
  <c r="H6" i="36"/>
  <c r="L6" i="36" s="1"/>
  <c r="H23" i="36"/>
  <c r="L23" i="36" s="1"/>
  <c r="H24" i="36"/>
  <c r="K24" i="36" s="1"/>
  <c r="Q11" i="23"/>
  <c r="J17" i="37" s="1"/>
  <c r="Q15" i="32"/>
  <c r="N8" i="37" s="1"/>
  <c r="H24" i="28"/>
  <c r="L24" i="28" s="1"/>
  <c r="F25" i="28"/>
  <c r="H4" i="29"/>
  <c r="K4" i="29" s="1"/>
  <c r="H5" i="29"/>
  <c r="L5" i="29" s="1"/>
  <c r="H11" i="29"/>
  <c r="K11" i="29" s="1"/>
  <c r="G12" i="29"/>
  <c r="K17" i="29"/>
  <c r="H20" i="29"/>
  <c r="L20" i="29" s="1"/>
  <c r="H21" i="29"/>
  <c r="L21" i="29" s="1"/>
  <c r="H27" i="29"/>
  <c r="K27" i="29" s="1"/>
  <c r="K4" i="30"/>
  <c r="H6" i="30"/>
  <c r="K6" i="30" s="1"/>
  <c r="H7" i="30"/>
  <c r="L7" i="30" s="1"/>
  <c r="F8" i="30"/>
  <c r="H5" i="31"/>
  <c r="K5" i="31" s="1"/>
  <c r="H13" i="32"/>
  <c r="K13" i="32" s="1"/>
  <c r="G14" i="32"/>
  <c r="G20" i="32"/>
  <c r="H10" i="33"/>
  <c r="L10" i="33" s="1"/>
  <c r="H18" i="33"/>
  <c r="K18" i="33" s="1"/>
  <c r="H6" i="35"/>
  <c r="K6" i="35" s="1"/>
  <c r="F17" i="35"/>
  <c r="H18" i="35"/>
  <c r="L18" i="35" s="1"/>
  <c r="H20" i="35"/>
  <c r="K20" i="35" s="1"/>
  <c r="H25" i="35"/>
  <c r="L25" i="35" s="1"/>
  <c r="H21" i="36"/>
  <c r="L21" i="36" s="1"/>
  <c r="H22" i="36"/>
  <c r="L22" i="36" s="1"/>
  <c r="Q14" i="35"/>
  <c r="M5" i="37" s="1"/>
  <c r="F5" i="29"/>
  <c r="F11" i="29"/>
  <c r="K19" i="29"/>
  <c r="G21" i="29"/>
  <c r="G7" i="30"/>
  <c r="F5" i="31"/>
  <c r="G3" i="32"/>
  <c r="F14" i="34"/>
  <c r="L5" i="35"/>
  <c r="G20" i="35"/>
  <c r="F23" i="36"/>
  <c r="H19" i="28"/>
  <c r="K19" i="28" s="1"/>
  <c r="H26" i="28"/>
  <c r="K26" i="28" s="1"/>
  <c r="L19" i="29"/>
  <c r="H9" i="30"/>
  <c r="L9" i="30" s="1"/>
  <c r="K13" i="31"/>
  <c r="F15" i="31"/>
  <c r="H4" i="32"/>
  <c r="H5" i="32"/>
  <c r="L5" i="32" s="1"/>
  <c r="G21" i="32"/>
  <c r="F11" i="33"/>
  <c r="H13" i="33"/>
  <c r="L13" i="33" s="1"/>
  <c r="F19" i="33"/>
  <c r="F25" i="33"/>
  <c r="F3" i="34"/>
  <c r="F8" i="34"/>
  <c r="G10" i="34"/>
  <c r="F20" i="34"/>
  <c r="H2" i="35"/>
  <c r="K2" i="35" s="1"/>
  <c r="F3" i="35"/>
  <c r="K5" i="35"/>
  <c r="G7" i="35"/>
  <c r="G14" i="35"/>
  <c r="H15" i="35"/>
  <c r="L15" i="35" s="1"/>
  <c r="H22" i="35"/>
  <c r="K22" i="35" s="1"/>
  <c r="G28" i="35"/>
  <c r="H29" i="35"/>
  <c r="K29" i="35" s="1"/>
  <c r="G13" i="36"/>
  <c r="H18" i="36"/>
  <c r="K18" i="36" s="1"/>
  <c r="K20" i="36"/>
  <c r="F21" i="36"/>
  <c r="Q14" i="3"/>
  <c r="M37" i="37" s="1"/>
  <c r="K25" i="28"/>
  <c r="G16" i="29"/>
  <c r="G25" i="29"/>
  <c r="H29" i="29"/>
  <c r="K29" i="29" s="1"/>
  <c r="K8" i="30"/>
  <c r="G6" i="31"/>
  <c r="F21" i="31"/>
  <c r="G6" i="32"/>
  <c r="F17" i="32"/>
  <c r="F5" i="33"/>
  <c r="F13" i="33"/>
  <c r="G15" i="33"/>
  <c r="F4" i="34"/>
  <c r="L9" i="34"/>
  <c r="L11" i="34"/>
  <c r="F15" i="34"/>
  <c r="G10" i="35"/>
  <c r="F22" i="35"/>
  <c r="F23" i="35"/>
  <c r="H2" i="36"/>
  <c r="F3" i="36"/>
  <c r="H11" i="36"/>
  <c r="K11" i="36" s="1"/>
  <c r="K12" i="36"/>
  <c r="H14" i="36"/>
  <c r="K14" i="36" s="1"/>
  <c r="G16" i="36"/>
  <c r="H17" i="36"/>
  <c r="F19" i="36"/>
  <c r="Q3" i="28"/>
  <c r="D12" i="37" s="1"/>
  <c r="Q9" i="28"/>
  <c r="I12" i="37" s="1"/>
  <c r="F5" i="28"/>
  <c r="K10" i="28"/>
  <c r="F11" i="28"/>
  <c r="H12" i="28"/>
  <c r="H13" i="28"/>
  <c r="K13" i="28" s="1"/>
  <c r="H20" i="28"/>
  <c r="L20" i="28" s="1"/>
  <c r="H21" i="28"/>
  <c r="K21" i="28" s="1"/>
  <c r="F27" i="28"/>
  <c r="G29" i="28"/>
  <c r="H8" i="29"/>
  <c r="K8" i="29" s="1"/>
  <c r="H9" i="29"/>
  <c r="K9" i="29" s="1"/>
  <c r="H16" i="29"/>
  <c r="L16" i="29" s="1"/>
  <c r="F17" i="29"/>
  <c r="H25" i="29"/>
  <c r="K25" i="29" s="1"/>
  <c r="F3" i="30"/>
  <c r="F11" i="30"/>
  <c r="F12" i="30"/>
  <c r="F20" i="30"/>
  <c r="G22" i="31"/>
  <c r="F8" i="32"/>
  <c r="H16" i="32"/>
  <c r="L16" i="32" s="1"/>
  <c r="K21" i="32"/>
  <c r="H6" i="33"/>
  <c r="K6" i="33" s="1"/>
  <c r="F22" i="33"/>
  <c r="G4" i="34"/>
  <c r="G6" i="34"/>
  <c r="G7" i="34"/>
  <c r="F11" i="34"/>
  <c r="F17" i="34"/>
  <c r="G22" i="34"/>
  <c r="Q5" i="35"/>
  <c r="E5" i="37" s="1"/>
  <c r="G3" i="35"/>
  <c r="H4" i="35"/>
  <c r="L4" i="35" s="1"/>
  <c r="H10" i="35"/>
  <c r="K10" i="35" s="1"/>
  <c r="G11" i="35"/>
  <c r="G22" i="35"/>
  <c r="F4" i="36"/>
  <c r="G8" i="36"/>
  <c r="G14" i="36"/>
  <c r="Q9" i="4"/>
  <c r="I36" i="37" s="1"/>
  <c r="Q3" i="32"/>
  <c r="D8" i="37" s="1"/>
  <c r="H24" i="27"/>
  <c r="F6" i="28"/>
  <c r="F13" i="28"/>
  <c r="F22" i="28"/>
  <c r="H28" i="28"/>
  <c r="K28" i="28" s="1"/>
  <c r="H29" i="28"/>
  <c r="L29" i="28" s="1"/>
  <c r="F9" i="29"/>
  <c r="F16" i="29"/>
  <c r="F25" i="29"/>
  <c r="F14" i="30"/>
  <c r="H20" i="30"/>
  <c r="L20" i="30" s="1"/>
  <c r="F21" i="30"/>
  <c r="G24" i="30"/>
  <c r="F26" i="30"/>
  <c r="G9" i="31"/>
  <c r="F16" i="31"/>
  <c r="H22" i="31"/>
  <c r="K22" i="31" s="1"/>
  <c r="G17" i="32"/>
  <c r="H23" i="32"/>
  <c r="K23" i="32" s="1"/>
  <c r="K5" i="33"/>
  <c r="H7" i="33"/>
  <c r="L7" i="33" s="1"/>
  <c r="F8" i="33"/>
  <c r="F16" i="33"/>
  <c r="G23" i="33"/>
  <c r="G24" i="33"/>
  <c r="Q15" i="34"/>
  <c r="N6" i="37" s="1"/>
  <c r="K8" i="35"/>
  <c r="G2" i="36"/>
  <c r="H5" i="36"/>
  <c r="L5" i="36" s="1"/>
  <c r="G10" i="36"/>
  <c r="G17" i="36"/>
  <c r="G26" i="36"/>
  <c r="G8" i="28"/>
  <c r="G16" i="28"/>
  <c r="G23" i="28"/>
  <c r="G17" i="29"/>
  <c r="Q14" i="30"/>
  <c r="M10" i="37" s="1"/>
  <c r="G5" i="30"/>
  <c r="H12" i="30"/>
  <c r="K12" i="30" s="1"/>
  <c r="G20" i="30"/>
  <c r="F2" i="31"/>
  <c r="K21" i="31"/>
  <c r="F23" i="31"/>
  <c r="F11" i="32"/>
  <c r="H17" i="32"/>
  <c r="K17" i="32" s="1"/>
  <c r="G13" i="34"/>
  <c r="F25" i="34"/>
  <c r="G5" i="35"/>
  <c r="G6" i="36"/>
  <c r="F27" i="36"/>
  <c r="F32" i="36"/>
  <c r="Q3" i="36"/>
  <c r="D4" i="37" s="1"/>
  <c r="Q9" i="36"/>
  <c r="I4" i="37" s="1"/>
  <c r="K30" i="35"/>
  <c r="K36" i="35"/>
  <c r="F30" i="35"/>
  <c r="L32" i="35"/>
  <c r="F35" i="35"/>
  <c r="Q9" i="35"/>
  <c r="I5" i="37" s="1"/>
  <c r="K27" i="34"/>
  <c r="L30" i="34"/>
  <c r="K30" i="34"/>
  <c r="K32" i="34"/>
  <c r="L32" i="34"/>
  <c r="K31" i="34"/>
  <c r="F32" i="34"/>
  <c r="F29" i="34"/>
  <c r="G29" i="34"/>
  <c r="K30" i="33"/>
  <c r="K31" i="33"/>
  <c r="F26" i="33"/>
  <c r="F31" i="33"/>
  <c r="F30" i="33"/>
  <c r="Q14" i="33"/>
  <c r="M7" i="37" s="1"/>
  <c r="Q15" i="33"/>
  <c r="N7" i="37" s="1"/>
  <c r="L28" i="32"/>
  <c r="L26" i="32"/>
  <c r="K32" i="32"/>
  <c r="F26" i="32"/>
  <c r="Q14" i="32"/>
  <c r="M8" i="37" s="1"/>
  <c r="F31" i="32"/>
  <c r="F30" i="32"/>
  <c r="G30" i="32"/>
  <c r="F28" i="31"/>
  <c r="K29" i="31"/>
  <c r="F30" i="31"/>
  <c r="G30" i="31"/>
  <c r="Q3" i="31"/>
  <c r="D9" i="37" s="1"/>
  <c r="Q9" i="31"/>
  <c r="I9" i="37" s="1"/>
  <c r="K31" i="30"/>
  <c r="Q15" i="30"/>
  <c r="N10" i="37" s="1"/>
  <c r="G31" i="30"/>
  <c r="K32" i="30"/>
  <c r="F33" i="30"/>
  <c r="K37" i="29"/>
  <c r="K38" i="29"/>
  <c r="K31" i="29"/>
  <c r="G30" i="29"/>
  <c r="G38" i="29"/>
  <c r="F32" i="29"/>
  <c r="L34" i="29"/>
  <c r="G32" i="29"/>
  <c r="F37" i="29"/>
  <c r="Q11" i="29"/>
  <c r="J11" i="37" s="1"/>
  <c r="K30" i="28"/>
  <c r="L35" i="28"/>
  <c r="K35" i="28"/>
  <c r="F32" i="28"/>
  <c r="L31" i="28"/>
  <c r="K36" i="28"/>
  <c r="F37" i="28"/>
  <c r="K28" i="27"/>
  <c r="K36" i="27"/>
  <c r="L31" i="27"/>
  <c r="F31" i="27"/>
  <c r="F28" i="27"/>
  <c r="K35" i="27"/>
  <c r="F36" i="27"/>
  <c r="L36" i="26"/>
  <c r="K41" i="26"/>
  <c r="L41" i="26"/>
  <c r="F35" i="26"/>
  <c r="G35" i="26"/>
  <c r="Q9" i="26"/>
  <c r="I14" i="37" s="1"/>
  <c r="K34" i="25"/>
  <c r="K42" i="25"/>
  <c r="F37" i="25"/>
  <c r="F34" i="25"/>
  <c r="L36" i="25"/>
  <c r="K41" i="25"/>
  <c r="F42" i="25"/>
  <c r="K43" i="24"/>
  <c r="F37" i="24"/>
  <c r="F34" i="24"/>
  <c r="F42" i="24"/>
  <c r="Q14" i="24"/>
  <c r="M16" i="37" s="1"/>
  <c r="Q15" i="24"/>
  <c r="N16" i="37" s="1"/>
  <c r="L36" i="23"/>
  <c r="K32" i="23"/>
  <c r="F34" i="23"/>
  <c r="F31" i="23"/>
  <c r="F39" i="23"/>
  <c r="G31" i="23"/>
  <c r="F33" i="23"/>
  <c r="Q14" i="23"/>
  <c r="M17" i="37" s="1"/>
  <c r="L38" i="22"/>
  <c r="L33" i="22"/>
  <c r="F38" i="22"/>
  <c r="K34" i="22"/>
  <c r="F35" i="22"/>
  <c r="F43" i="22"/>
  <c r="Q14" i="22"/>
  <c r="M18" i="37" s="1"/>
  <c r="F37" i="22"/>
  <c r="Q15" i="22"/>
  <c r="N18" i="37" s="1"/>
  <c r="F38" i="21"/>
  <c r="K34" i="21"/>
  <c r="F35" i="21"/>
  <c r="F43" i="21"/>
  <c r="Q3" i="21"/>
  <c r="D19" i="37" s="1"/>
  <c r="K33" i="20"/>
  <c r="L33" i="20"/>
  <c r="L38" i="20"/>
  <c r="L36" i="20"/>
  <c r="K36" i="20"/>
  <c r="Q5" i="20"/>
  <c r="E20" i="37" s="1"/>
  <c r="F36" i="20"/>
  <c r="Q9" i="20"/>
  <c r="I20" i="37" s="1"/>
  <c r="F33" i="20"/>
  <c r="F41" i="20"/>
  <c r="Q11" i="20"/>
  <c r="J20" i="37" s="1"/>
  <c r="Q14" i="20"/>
  <c r="M20" i="37" s="1"/>
  <c r="F35" i="20"/>
  <c r="Q15" i="20"/>
  <c r="N20" i="37" s="1"/>
  <c r="K45" i="19"/>
  <c r="L40" i="19"/>
  <c r="K46" i="19"/>
  <c r="L35" i="19"/>
  <c r="K35" i="19"/>
  <c r="F40" i="19"/>
  <c r="K36" i="19"/>
  <c r="F37" i="19"/>
  <c r="L39" i="19"/>
  <c r="F45" i="19"/>
  <c r="G37" i="19"/>
  <c r="K43" i="18"/>
  <c r="L43" i="18"/>
  <c r="K52" i="18"/>
  <c r="L52" i="18"/>
  <c r="K45" i="18"/>
  <c r="L41" i="18"/>
  <c r="L49" i="18"/>
  <c r="Q11" i="18"/>
  <c r="J22" i="37" s="1"/>
  <c r="Q5" i="18"/>
  <c r="E22" i="37" s="1"/>
  <c r="F46" i="18"/>
  <c r="K53" i="18"/>
  <c r="K42" i="18"/>
  <c r="F51" i="18"/>
  <c r="G43" i="18"/>
  <c r="G51" i="18"/>
  <c r="L57" i="17"/>
  <c r="F56" i="17"/>
  <c r="G48" i="17"/>
  <c r="G56" i="17"/>
  <c r="F48" i="17"/>
  <c r="Q9" i="17"/>
  <c r="I23" i="37" s="1"/>
  <c r="F50" i="17"/>
  <c r="K57" i="17"/>
  <c r="F47" i="17"/>
  <c r="F55" i="17"/>
  <c r="F52" i="17"/>
  <c r="Q15" i="17"/>
  <c r="N23" i="37" s="1"/>
  <c r="K51" i="16"/>
  <c r="L54" i="16"/>
  <c r="K60" i="16"/>
  <c r="L57" i="16"/>
  <c r="K57" i="16"/>
  <c r="L48" i="16"/>
  <c r="F54" i="16"/>
  <c r="L56" i="16"/>
  <c r="F51" i="16"/>
  <c r="K58" i="16"/>
  <c r="F59" i="16"/>
  <c r="Q15" i="16"/>
  <c r="N24" i="37" s="1"/>
  <c r="K52" i="15"/>
  <c r="L52" i="15"/>
  <c r="K53" i="15"/>
  <c r="L55" i="15"/>
  <c r="K55" i="15"/>
  <c r="K61" i="15"/>
  <c r="L50" i="15"/>
  <c r="K50" i="15"/>
  <c r="Q15" i="15"/>
  <c r="N25" i="37" s="1"/>
  <c r="L49" i="15"/>
  <c r="F55" i="15"/>
  <c r="L57" i="15"/>
  <c r="K51" i="15"/>
  <c r="F52" i="15"/>
  <c r="F60" i="15"/>
  <c r="F54" i="15"/>
  <c r="Q3" i="15"/>
  <c r="D25" i="37" s="1"/>
  <c r="K50" i="14"/>
  <c r="F47" i="14"/>
  <c r="F55" i="14"/>
  <c r="K51" i="14"/>
  <c r="F52" i="14"/>
  <c r="L54" i="14"/>
  <c r="Q15" i="14"/>
  <c r="N26" i="37" s="1"/>
  <c r="F54" i="14"/>
  <c r="K53" i="13"/>
  <c r="K47" i="13"/>
  <c r="L53" i="13"/>
  <c r="G46" i="13"/>
  <c r="G54" i="13"/>
  <c r="F48" i="13"/>
  <c r="H54" i="13"/>
  <c r="L54" i="13" s="1"/>
  <c r="Q5" i="13"/>
  <c r="E27" i="37" s="1"/>
  <c r="K44" i="13"/>
  <c r="F45" i="13"/>
  <c r="G48" i="13"/>
  <c r="F53" i="13"/>
  <c r="Q15" i="13"/>
  <c r="N27" i="37" s="1"/>
  <c r="L48" i="12"/>
  <c r="K48" i="12"/>
  <c r="K50" i="12"/>
  <c r="F45" i="12"/>
  <c r="L47" i="12"/>
  <c r="F50" i="12"/>
  <c r="K54" i="12"/>
  <c r="F55" i="12"/>
  <c r="F52" i="12"/>
  <c r="Q15" i="12"/>
  <c r="N28" i="37" s="1"/>
  <c r="Q3" i="12"/>
  <c r="D28" i="37" s="1"/>
  <c r="K54" i="11"/>
  <c r="F43" i="11"/>
  <c r="L50" i="11"/>
  <c r="K47" i="11"/>
  <c r="F48" i="11"/>
  <c r="K52" i="11"/>
  <c r="F53" i="11"/>
  <c r="F45" i="11"/>
  <c r="L47" i="10"/>
  <c r="K51" i="10"/>
  <c r="K52" i="10"/>
  <c r="K45" i="10"/>
  <c r="F45" i="10"/>
  <c r="G52" i="10"/>
  <c r="K43" i="10"/>
  <c r="F44" i="10"/>
  <c r="F49" i="10"/>
  <c r="F51" i="10"/>
  <c r="F46" i="10"/>
  <c r="K42" i="9"/>
  <c r="K48" i="9"/>
  <c r="F44" i="9"/>
  <c r="F41" i="9"/>
  <c r="F48" i="9"/>
  <c r="K49" i="8"/>
  <c r="L49" i="8"/>
  <c r="K51" i="8"/>
  <c r="G45" i="8"/>
  <c r="F47" i="8"/>
  <c r="F52" i="8"/>
  <c r="Q15" i="8"/>
  <c r="N32" i="37" s="1"/>
  <c r="L43" i="8"/>
  <c r="F49" i="8"/>
  <c r="F46" i="8"/>
  <c r="F51" i="8"/>
  <c r="G46" i="8"/>
  <c r="K47" i="7"/>
  <c r="L45" i="7"/>
  <c r="K45" i="7"/>
  <c r="F50" i="7"/>
  <c r="F47" i="7"/>
  <c r="L49" i="7"/>
  <c r="K51" i="7"/>
  <c r="F52" i="7"/>
  <c r="Q9" i="7"/>
  <c r="I33" i="37" s="1"/>
  <c r="L45" i="6"/>
  <c r="L43" i="6"/>
  <c r="K43" i="6"/>
  <c r="Q15" i="6"/>
  <c r="N34" i="37" s="1"/>
  <c r="F44" i="6"/>
  <c r="G47" i="6"/>
  <c r="K42" i="6"/>
  <c r="F43" i="6"/>
  <c r="F48" i="6"/>
  <c r="F45" i="6"/>
  <c r="K38" i="5"/>
  <c r="L38" i="5"/>
  <c r="Q14" i="5"/>
  <c r="M35" i="37" s="1"/>
  <c r="F30" i="5"/>
  <c r="G33" i="5"/>
  <c r="K37" i="5"/>
  <c r="G38" i="5"/>
  <c r="F35" i="5"/>
  <c r="L37" i="5"/>
  <c r="K39" i="5"/>
  <c r="F32" i="5"/>
  <c r="G32" i="5"/>
  <c r="L34" i="4"/>
  <c r="K31" i="4"/>
  <c r="K33" i="4"/>
  <c r="F32" i="4"/>
  <c r="K28" i="4"/>
  <c r="F29" i="4"/>
  <c r="L31" i="4"/>
  <c r="F31" i="4"/>
  <c r="F33" i="4"/>
  <c r="F28" i="4"/>
  <c r="G33" i="4"/>
  <c r="K35" i="4"/>
  <c r="L36" i="3"/>
  <c r="K36" i="3"/>
  <c r="K34" i="3"/>
  <c r="G32" i="3"/>
  <c r="F34" i="3"/>
  <c r="F31" i="3"/>
  <c r="Q15" i="3"/>
  <c r="N37" i="37" s="1"/>
  <c r="F28" i="3"/>
  <c r="L35" i="2"/>
  <c r="K35" i="2"/>
  <c r="K37" i="2"/>
  <c r="K38" i="2"/>
  <c r="G35" i="2"/>
  <c r="Q14" i="2"/>
  <c r="M38" i="37" s="1"/>
  <c r="G32" i="2"/>
  <c r="F37" i="2"/>
  <c r="K39" i="2"/>
  <c r="Q9" i="2"/>
  <c r="I38" i="37" s="1"/>
  <c r="G13" i="3"/>
  <c r="F13" i="3"/>
  <c r="H7" i="6"/>
  <c r="G20" i="2"/>
  <c r="F20" i="2"/>
  <c r="H20" i="2"/>
  <c r="L20" i="2" s="1"/>
  <c r="K17" i="3"/>
  <c r="F17" i="3"/>
  <c r="G26" i="3"/>
  <c r="Q15" i="4"/>
  <c r="N36" i="37" s="1"/>
  <c r="G7" i="4"/>
  <c r="F17" i="4"/>
  <c r="F9" i="5"/>
  <c r="K9" i="5"/>
  <c r="Q11" i="6"/>
  <c r="J34" i="37" s="1"/>
  <c r="Q5" i="6"/>
  <c r="E34" i="37" s="1"/>
  <c r="H20" i="6"/>
  <c r="K38" i="6"/>
  <c r="F5" i="7"/>
  <c r="K5" i="7"/>
  <c r="Q3" i="7"/>
  <c r="D33" i="37" s="1"/>
  <c r="G27" i="7"/>
  <c r="F2" i="11"/>
  <c r="Q3" i="11"/>
  <c r="D29" i="37" s="1"/>
  <c r="Q9" i="11"/>
  <c r="I29" i="37" s="1"/>
  <c r="L2" i="2"/>
  <c r="Q11" i="2"/>
  <c r="J38" i="37" s="1"/>
  <c r="H16" i="3"/>
  <c r="H28" i="5"/>
  <c r="G36" i="6"/>
  <c r="F36" i="6"/>
  <c r="K8" i="7"/>
  <c r="G3" i="2"/>
  <c r="F3" i="2"/>
  <c r="H3" i="2"/>
  <c r="L3" i="2" s="1"/>
  <c r="G11" i="2"/>
  <c r="F11" i="2"/>
  <c r="F13" i="2"/>
  <c r="F17" i="2"/>
  <c r="Q3" i="3"/>
  <c r="D37" i="37" s="1"/>
  <c r="Q3" i="2"/>
  <c r="D38" i="37" s="1"/>
  <c r="F2" i="2"/>
  <c r="H11" i="2"/>
  <c r="K11" i="2" s="1"/>
  <c r="G14" i="2"/>
  <c r="F14" i="2"/>
  <c r="H14" i="2"/>
  <c r="K14" i="2" s="1"/>
  <c r="K24" i="2"/>
  <c r="K29" i="2"/>
  <c r="K15" i="3"/>
  <c r="F15" i="3"/>
  <c r="G20" i="4"/>
  <c r="G26" i="4"/>
  <c r="F26" i="4"/>
  <c r="Q15" i="5"/>
  <c r="N35" i="37" s="1"/>
  <c r="G6" i="5"/>
  <c r="G7" i="5"/>
  <c r="F7" i="5"/>
  <c r="L10" i="5"/>
  <c r="F19" i="5"/>
  <c r="Q14" i="6"/>
  <c r="M34" i="37" s="1"/>
  <c r="F9" i="6"/>
  <c r="F19" i="6"/>
  <c r="K19" i="6"/>
  <c r="G28" i="6"/>
  <c r="F28" i="6"/>
  <c r="K39" i="6"/>
  <c r="G9" i="7"/>
  <c r="G10" i="7"/>
  <c r="F10" i="7"/>
  <c r="L19" i="7"/>
  <c r="K20" i="7"/>
  <c r="L25" i="7"/>
  <c r="F32" i="7"/>
  <c r="K32" i="7"/>
  <c r="Q9" i="8"/>
  <c r="I32" i="37" s="1"/>
  <c r="G8" i="9"/>
  <c r="F8" i="9"/>
  <c r="G39" i="11"/>
  <c r="F39" i="11"/>
  <c r="H12" i="2"/>
  <c r="L12" i="2" s="1"/>
  <c r="H15" i="2"/>
  <c r="G9" i="3"/>
  <c r="F9" i="3"/>
  <c r="H13" i="3"/>
  <c r="L13" i="3" s="1"/>
  <c r="F12" i="2"/>
  <c r="L17" i="2"/>
  <c r="F18" i="2"/>
  <c r="K12" i="3"/>
  <c r="L20" i="3"/>
  <c r="H4" i="4"/>
  <c r="L20" i="4"/>
  <c r="G3" i="5"/>
  <c r="F3" i="5"/>
  <c r="L5" i="5"/>
  <c r="L6" i="5"/>
  <c r="F27" i="5"/>
  <c r="K27" i="5"/>
  <c r="K5" i="6"/>
  <c r="K16" i="6"/>
  <c r="H36" i="6"/>
  <c r="L8" i="7"/>
  <c r="L9" i="7"/>
  <c r="H17" i="7"/>
  <c r="G4" i="8"/>
  <c r="F4" i="8"/>
  <c r="G20" i="10"/>
  <c r="F20" i="10"/>
  <c r="L14" i="11"/>
  <c r="K14" i="11"/>
  <c r="G26" i="12"/>
  <c r="F26" i="12"/>
  <c r="L10" i="2"/>
  <c r="G10" i="2"/>
  <c r="G28" i="5"/>
  <c r="F28" i="5"/>
  <c r="H4" i="2"/>
  <c r="L30" i="2"/>
  <c r="G30" i="2"/>
  <c r="G4" i="4"/>
  <c r="F4" i="4"/>
  <c r="H15" i="4"/>
  <c r="K5" i="5"/>
  <c r="F9" i="2"/>
  <c r="F16" i="3"/>
  <c r="K6" i="2"/>
  <c r="G28" i="2"/>
  <c r="F28" i="2"/>
  <c r="H28" i="2"/>
  <c r="L28" i="2" s="1"/>
  <c r="H10" i="3"/>
  <c r="L12" i="3"/>
  <c r="G12" i="3"/>
  <c r="F23" i="3"/>
  <c r="F24" i="3"/>
  <c r="G24" i="3"/>
  <c r="Q3" i="4"/>
  <c r="D36" i="37" s="1"/>
  <c r="L14" i="4"/>
  <c r="K21" i="4"/>
  <c r="L26" i="4"/>
  <c r="H3" i="5"/>
  <c r="L7" i="5"/>
  <c r="G14" i="5"/>
  <c r="F14" i="5"/>
  <c r="G2" i="6"/>
  <c r="G3" i="6"/>
  <c r="F3" i="6"/>
  <c r="L5" i="6"/>
  <c r="G14" i="6"/>
  <c r="F14" i="6"/>
  <c r="L16" i="6"/>
  <c r="F35" i="6"/>
  <c r="Q14" i="7"/>
  <c r="M33" i="37" s="1"/>
  <c r="L10" i="7"/>
  <c r="F16" i="7"/>
  <c r="K16" i="7"/>
  <c r="G25" i="7"/>
  <c r="F25" i="7"/>
  <c r="L29" i="7"/>
  <c r="L35" i="7"/>
  <c r="G35" i="7"/>
  <c r="F17" i="8"/>
  <c r="G13" i="13"/>
  <c r="F13" i="13"/>
  <c r="G7" i="6"/>
  <c r="F7" i="6"/>
  <c r="Q11" i="3"/>
  <c r="J37" i="37" s="1"/>
  <c r="K20" i="3"/>
  <c r="F25" i="4"/>
  <c r="K25" i="4"/>
  <c r="F27" i="6"/>
  <c r="K27" i="6"/>
  <c r="Q11" i="7"/>
  <c r="J33" i="37" s="1"/>
  <c r="K9" i="7"/>
  <c r="Q15" i="2"/>
  <c r="N38" i="37" s="1"/>
  <c r="F4" i="2"/>
  <c r="G7" i="2"/>
  <c r="F7" i="2"/>
  <c r="H7" i="2"/>
  <c r="K7" i="2" s="1"/>
  <c r="F15" i="2"/>
  <c r="H9" i="3"/>
  <c r="L9" i="3" s="1"/>
  <c r="Q5" i="2"/>
  <c r="E38" i="37" s="1"/>
  <c r="L6" i="2"/>
  <c r="G22" i="2"/>
  <c r="L26" i="2"/>
  <c r="F5" i="3"/>
  <c r="L8" i="3"/>
  <c r="G8" i="3"/>
  <c r="F10" i="3"/>
  <c r="G18" i="3"/>
  <c r="H24" i="3"/>
  <c r="Q11" i="4"/>
  <c r="J36" i="37" s="1"/>
  <c r="G18" i="4"/>
  <c r="F18" i="4"/>
  <c r="K22" i="4"/>
  <c r="Q3" i="5"/>
  <c r="D35" i="37" s="1"/>
  <c r="H14" i="5"/>
  <c r="K17" i="5"/>
  <c r="H3" i="6"/>
  <c r="H14" i="6"/>
  <c r="K2" i="8"/>
  <c r="F33" i="8"/>
  <c r="L18" i="12"/>
  <c r="G15" i="4"/>
  <c r="F15" i="4"/>
  <c r="H18" i="2"/>
  <c r="G17" i="7"/>
  <c r="F17" i="7"/>
  <c r="F19" i="2"/>
  <c r="F25" i="2"/>
  <c r="K27" i="2"/>
  <c r="F27" i="2"/>
  <c r="K4" i="3"/>
  <c r="F4" i="3"/>
  <c r="Q14" i="4"/>
  <c r="M36" i="37" s="1"/>
  <c r="F10" i="4"/>
  <c r="Q11" i="5"/>
  <c r="J35" i="37" s="1"/>
  <c r="L2" i="5"/>
  <c r="Q5" i="5"/>
  <c r="E35" i="37" s="1"/>
  <c r="F13" i="5"/>
  <c r="K13" i="5"/>
  <c r="G20" i="5"/>
  <c r="F20" i="5"/>
  <c r="Q3" i="6"/>
  <c r="D34" i="37" s="1"/>
  <c r="F13" i="6"/>
  <c r="K13" i="6"/>
  <c r="G20" i="6"/>
  <c r="F20" i="6"/>
  <c r="F24" i="7"/>
  <c r="K24" i="7"/>
  <c r="G33" i="7"/>
  <c r="F33" i="7"/>
  <c r="L37" i="7"/>
  <c r="G40" i="7"/>
  <c r="K2" i="9"/>
  <c r="Q9" i="9"/>
  <c r="I31" i="37" s="1"/>
  <c r="Q3" i="9"/>
  <c r="D31" i="37" s="1"/>
  <c r="L10" i="9"/>
  <c r="G10" i="9"/>
  <c r="Q5" i="9"/>
  <c r="E31" i="37" s="1"/>
  <c r="G17" i="2"/>
  <c r="G25" i="2"/>
  <c r="G5" i="3"/>
  <c r="Q5" i="3"/>
  <c r="E37" i="37" s="1"/>
  <c r="F20" i="3"/>
  <c r="G23" i="3"/>
  <c r="F2" i="4"/>
  <c r="H3" i="4"/>
  <c r="K3" i="4" s="1"/>
  <c r="F6" i="4"/>
  <c r="G10" i="4"/>
  <c r="Q9" i="5"/>
  <c r="I35" i="37" s="1"/>
  <c r="G13" i="5"/>
  <c r="G27" i="5"/>
  <c r="H2" i="6"/>
  <c r="L2" i="6" s="1"/>
  <c r="Q9" i="6"/>
  <c r="I34" i="37" s="1"/>
  <c r="K3" i="7"/>
  <c r="Q5" i="7"/>
  <c r="E33" i="37" s="1"/>
  <c r="G36" i="7"/>
  <c r="H3" i="8"/>
  <c r="L3" i="8" s="1"/>
  <c r="G7" i="8"/>
  <c r="F7" i="8"/>
  <c r="G28" i="8"/>
  <c r="F28" i="8"/>
  <c r="K37" i="8"/>
  <c r="L2" i="9"/>
  <c r="H11" i="9"/>
  <c r="L11" i="9" s="1"/>
  <c r="H29" i="9"/>
  <c r="L29" i="9" s="1"/>
  <c r="Q15" i="10"/>
  <c r="N30" i="37" s="1"/>
  <c r="G6" i="10"/>
  <c r="G7" i="10"/>
  <c r="F7" i="10"/>
  <c r="K10" i="10"/>
  <c r="F35" i="10"/>
  <c r="K35" i="10"/>
  <c r="F6" i="11"/>
  <c r="K6" i="11"/>
  <c r="L15" i="11"/>
  <c r="F22" i="11"/>
  <c r="F30" i="11"/>
  <c r="G31" i="11"/>
  <c r="F31" i="11"/>
  <c r="G4" i="12"/>
  <c r="F4" i="12"/>
  <c r="L7" i="12"/>
  <c r="K13" i="12"/>
  <c r="L19" i="13"/>
  <c r="K20" i="13"/>
  <c r="L36" i="13"/>
  <c r="G36" i="13"/>
  <c r="F9" i="14"/>
  <c r="F25" i="3"/>
  <c r="F9" i="4"/>
  <c r="F13" i="4"/>
  <c r="F19" i="4"/>
  <c r="G22" i="4"/>
  <c r="F27" i="4"/>
  <c r="G5" i="5"/>
  <c r="F8" i="5"/>
  <c r="F12" i="5"/>
  <c r="G16" i="5"/>
  <c r="F21" i="5"/>
  <c r="G24" i="5"/>
  <c r="F29" i="5"/>
  <c r="G5" i="6"/>
  <c r="F8" i="6"/>
  <c r="F12" i="6"/>
  <c r="G16" i="6"/>
  <c r="F21" i="6"/>
  <c r="G24" i="6"/>
  <c r="F29" i="6"/>
  <c r="G32" i="6"/>
  <c r="F37" i="6"/>
  <c r="G40" i="6"/>
  <c r="F4" i="7"/>
  <c r="G8" i="7"/>
  <c r="G12" i="7"/>
  <c r="F15" i="7"/>
  <c r="F18" i="7"/>
  <c r="G21" i="7"/>
  <c r="F26" i="7"/>
  <c r="G29" i="7"/>
  <c r="F34" i="7"/>
  <c r="Q11" i="8"/>
  <c r="J32" i="37" s="1"/>
  <c r="L2" i="8"/>
  <c r="Q5" i="8"/>
  <c r="E32" i="37" s="1"/>
  <c r="G2" i="8"/>
  <c r="K16" i="8"/>
  <c r="L16" i="8"/>
  <c r="H18" i="8"/>
  <c r="L18" i="8" s="1"/>
  <c r="G18" i="8"/>
  <c r="F28" i="9"/>
  <c r="G31" i="9"/>
  <c r="G37" i="9"/>
  <c r="F37" i="9"/>
  <c r="G14" i="10"/>
  <c r="F14" i="10"/>
  <c r="G18" i="12"/>
  <c r="F18" i="12"/>
  <c r="Q5" i="4"/>
  <c r="E36" i="37" s="1"/>
  <c r="L2" i="7"/>
  <c r="K35" i="7"/>
  <c r="Q14" i="8"/>
  <c r="M32" i="37" s="1"/>
  <c r="H4" i="8"/>
  <c r="L4" i="8" s="1"/>
  <c r="L6" i="8"/>
  <c r="G6" i="8"/>
  <c r="F9" i="8"/>
  <c r="G14" i="8"/>
  <c r="F14" i="8"/>
  <c r="F18" i="8"/>
  <c r="F19" i="8"/>
  <c r="G22" i="8"/>
  <c r="L32" i="8"/>
  <c r="F34" i="8"/>
  <c r="F35" i="8"/>
  <c r="L38" i="8"/>
  <c r="G38" i="8"/>
  <c r="Q11" i="9"/>
  <c r="J31" i="37" s="1"/>
  <c r="H8" i="9"/>
  <c r="L8" i="9" s="1"/>
  <c r="K12" i="9"/>
  <c r="L17" i="9"/>
  <c r="K31" i="9"/>
  <c r="F36" i="9"/>
  <c r="K36" i="9"/>
  <c r="K37" i="9"/>
  <c r="G2" i="10"/>
  <c r="G3" i="10"/>
  <c r="F3" i="10"/>
  <c r="L5" i="10"/>
  <c r="F13" i="10"/>
  <c r="H20" i="10"/>
  <c r="L20" i="10" s="1"/>
  <c r="L24" i="10"/>
  <c r="K7" i="11"/>
  <c r="H39" i="11"/>
  <c r="L39" i="11" s="1"/>
  <c r="Q11" i="12"/>
  <c r="J28" i="37" s="1"/>
  <c r="F10" i="12"/>
  <c r="G20" i="12"/>
  <c r="H26" i="12"/>
  <c r="G34" i="12"/>
  <c r="F34" i="12"/>
  <c r="L38" i="12"/>
  <c r="F41" i="12"/>
  <c r="H13" i="13"/>
  <c r="G23" i="13"/>
  <c r="G44" i="14"/>
  <c r="F44" i="14"/>
  <c r="G20" i="8"/>
  <c r="F20" i="8"/>
  <c r="G36" i="8"/>
  <c r="F36" i="8"/>
  <c r="Q14" i="9"/>
  <c r="M31" i="37" s="1"/>
  <c r="L31" i="9"/>
  <c r="F19" i="10"/>
  <c r="G28" i="10"/>
  <c r="F28" i="10"/>
  <c r="Q14" i="11"/>
  <c r="M29" i="37" s="1"/>
  <c r="G11" i="11"/>
  <c r="F11" i="11"/>
  <c r="F38" i="11"/>
  <c r="K38" i="11"/>
  <c r="Q14" i="12"/>
  <c r="M28" i="37" s="1"/>
  <c r="L21" i="12"/>
  <c r="K21" i="12"/>
  <c r="G42" i="12"/>
  <c r="F42" i="12"/>
  <c r="L6" i="13"/>
  <c r="G19" i="13"/>
  <c r="F19" i="13"/>
  <c r="G30" i="14"/>
  <c r="H3" i="18"/>
  <c r="G3" i="18"/>
  <c r="F3" i="18"/>
  <c r="F23" i="2"/>
  <c r="F2" i="3"/>
  <c r="F6" i="3"/>
  <c r="F21" i="3"/>
  <c r="K2" i="4"/>
  <c r="F11" i="4"/>
  <c r="F23" i="4"/>
  <c r="F10" i="5"/>
  <c r="F17" i="5"/>
  <c r="F25" i="5"/>
  <c r="F10" i="6"/>
  <c r="F17" i="6"/>
  <c r="F25" i="6"/>
  <c r="F33" i="6"/>
  <c r="F2" i="7"/>
  <c r="F6" i="7"/>
  <c r="F22" i="7"/>
  <c r="F30" i="7"/>
  <c r="F37" i="7"/>
  <c r="F39" i="7"/>
  <c r="L8" i="8"/>
  <c r="K14" i="8"/>
  <c r="H15" i="8"/>
  <c r="L15" i="8" s="1"/>
  <c r="H20" i="8"/>
  <c r="L20" i="8" s="1"/>
  <c r="K24" i="8"/>
  <c r="L24" i="8"/>
  <c r="H36" i="8"/>
  <c r="L36" i="8" s="1"/>
  <c r="Q15" i="9"/>
  <c r="N31" i="37" s="1"/>
  <c r="K3" i="9"/>
  <c r="G21" i="9"/>
  <c r="F21" i="9"/>
  <c r="L25" i="9"/>
  <c r="K32" i="9"/>
  <c r="Q3" i="10"/>
  <c r="D30" i="37" s="1"/>
  <c r="F9" i="10"/>
  <c r="H28" i="10"/>
  <c r="L28" i="10" s="1"/>
  <c r="H11" i="11"/>
  <c r="L11" i="11" s="1"/>
  <c r="L26" i="11"/>
  <c r="L11" i="12"/>
  <c r="K29" i="12"/>
  <c r="H42" i="12"/>
  <c r="G9" i="13"/>
  <c r="F9" i="13"/>
  <c r="F15" i="13"/>
  <c r="G29" i="13"/>
  <c r="F29" i="13"/>
  <c r="H29" i="13"/>
  <c r="L42" i="13"/>
  <c r="K42" i="13"/>
  <c r="G23" i="15"/>
  <c r="Q3" i="16"/>
  <c r="D24" i="37" s="1"/>
  <c r="K3" i="16"/>
  <c r="F18" i="3"/>
  <c r="F26" i="3"/>
  <c r="L2" i="4"/>
  <c r="F3" i="4"/>
  <c r="F7" i="4"/>
  <c r="F14" i="4"/>
  <c r="F20" i="4"/>
  <c r="F2" i="5"/>
  <c r="F6" i="5"/>
  <c r="F22" i="5"/>
  <c r="F2" i="6"/>
  <c r="F6" i="6"/>
  <c r="F22" i="6"/>
  <c r="F30" i="6"/>
  <c r="F38" i="6"/>
  <c r="F9" i="7"/>
  <c r="F13" i="7"/>
  <c r="F19" i="7"/>
  <c r="F27" i="7"/>
  <c r="F40" i="7"/>
  <c r="K9" i="8"/>
  <c r="F15" i="8"/>
  <c r="K19" i="8"/>
  <c r="H42" i="8"/>
  <c r="L42" i="8" s="1"/>
  <c r="L4" i="9"/>
  <c r="F14" i="9"/>
  <c r="L32" i="9"/>
  <c r="Q11" i="10"/>
  <c r="J30" i="37" s="1"/>
  <c r="L2" i="10"/>
  <c r="Q5" i="10"/>
  <c r="E30" i="37" s="1"/>
  <c r="F27" i="10"/>
  <c r="K27" i="10"/>
  <c r="G30" i="10"/>
  <c r="G36" i="10"/>
  <c r="F36" i="10"/>
  <c r="G17" i="11"/>
  <c r="G23" i="11"/>
  <c r="F23" i="11"/>
  <c r="K40" i="11"/>
  <c r="Q9" i="12"/>
  <c r="I28" i="37" s="1"/>
  <c r="G14" i="12"/>
  <c r="G15" i="12"/>
  <c r="F15" i="12"/>
  <c r="L20" i="12"/>
  <c r="K37" i="12"/>
  <c r="G44" i="12"/>
  <c r="Q3" i="13"/>
  <c r="D27" i="37" s="1"/>
  <c r="H9" i="13"/>
  <c r="K14" i="13"/>
  <c r="G21" i="13"/>
  <c r="G27" i="13"/>
  <c r="K20" i="14"/>
  <c r="L20" i="14"/>
  <c r="K39" i="7"/>
  <c r="H40" i="7"/>
  <c r="Q3" i="8"/>
  <c r="D32" i="37" s="1"/>
  <c r="K5" i="8"/>
  <c r="F26" i="8"/>
  <c r="F27" i="8"/>
  <c r="G30" i="8"/>
  <c r="L40" i="8"/>
  <c r="F42" i="8"/>
  <c r="F2" i="9"/>
  <c r="G11" i="9"/>
  <c r="F11" i="9"/>
  <c r="F20" i="9"/>
  <c r="K20" i="9"/>
  <c r="K21" i="9"/>
  <c r="G23" i="9"/>
  <c r="G29" i="9"/>
  <c r="F29" i="9"/>
  <c r="Q14" i="10"/>
  <c r="M30" i="37" s="1"/>
  <c r="L22" i="10"/>
  <c r="K33" i="10"/>
  <c r="H36" i="10"/>
  <c r="L36" i="10" s="1"/>
  <c r="Q11" i="11"/>
  <c r="J29" i="37" s="1"/>
  <c r="Q15" i="11"/>
  <c r="N29" i="37" s="1"/>
  <c r="K20" i="11"/>
  <c r="H23" i="11"/>
  <c r="L23" i="11" s="1"/>
  <c r="L40" i="11"/>
  <c r="L41" i="11"/>
  <c r="H15" i="12"/>
  <c r="L14" i="13"/>
  <c r="G10" i="8"/>
  <c r="G17" i="8"/>
  <c r="G25" i="8"/>
  <c r="G33" i="8"/>
  <c r="G41" i="8"/>
  <c r="G3" i="9"/>
  <c r="F17" i="9"/>
  <c r="L4" i="10"/>
  <c r="Q9" i="10"/>
  <c r="I30" i="37" s="1"/>
  <c r="G13" i="10"/>
  <c r="L15" i="10"/>
  <c r="L18" i="10"/>
  <c r="G19" i="10"/>
  <c r="L26" i="10"/>
  <c r="L42" i="10"/>
  <c r="G2" i="11"/>
  <c r="G6" i="11"/>
  <c r="L8" i="11"/>
  <c r="G22" i="11"/>
  <c r="G30" i="11"/>
  <c r="G10" i="12"/>
  <c r="G17" i="12"/>
  <c r="G25" i="12"/>
  <c r="H36" i="12"/>
  <c r="L36" i="12" s="1"/>
  <c r="H44" i="12"/>
  <c r="K44" i="12" s="1"/>
  <c r="H8" i="13"/>
  <c r="K8" i="13" s="1"/>
  <c r="H12" i="13"/>
  <c r="L12" i="13" s="1"/>
  <c r="H21" i="13"/>
  <c r="L21" i="13" s="1"/>
  <c r="H25" i="13"/>
  <c r="L25" i="13" s="1"/>
  <c r="F28" i="13"/>
  <c r="K32" i="13"/>
  <c r="L40" i="13"/>
  <c r="Q5" i="14"/>
  <c r="E26" i="37" s="1"/>
  <c r="G2" i="14"/>
  <c r="Q11" i="14"/>
  <c r="J26" i="37" s="1"/>
  <c r="L18" i="14"/>
  <c r="K18" i="14"/>
  <c r="Q11" i="15"/>
  <c r="J25" i="37" s="1"/>
  <c r="G22" i="19"/>
  <c r="F6" i="9"/>
  <c r="F22" i="9"/>
  <c r="G25" i="9"/>
  <c r="G16" i="10"/>
  <c r="G24" i="10"/>
  <c r="G32" i="10"/>
  <c r="G40" i="10"/>
  <c r="G9" i="11"/>
  <c r="G13" i="11"/>
  <c r="G19" i="11"/>
  <c r="G27" i="11"/>
  <c r="G35" i="11"/>
  <c r="G2" i="12"/>
  <c r="G6" i="12"/>
  <c r="F13" i="12"/>
  <c r="H17" i="12"/>
  <c r="L17" i="12" s="1"/>
  <c r="F19" i="12"/>
  <c r="G22" i="12"/>
  <c r="H25" i="12"/>
  <c r="L25" i="12" s="1"/>
  <c r="F27" i="12"/>
  <c r="G30" i="12"/>
  <c r="H33" i="12"/>
  <c r="L33" i="12" s="1"/>
  <c r="F35" i="12"/>
  <c r="G38" i="12"/>
  <c r="H41" i="12"/>
  <c r="L41" i="12" s="1"/>
  <c r="F43" i="12"/>
  <c r="F3" i="13"/>
  <c r="H4" i="13"/>
  <c r="L4" i="13" s="1"/>
  <c r="F7" i="13"/>
  <c r="G11" i="13"/>
  <c r="Q11" i="13"/>
  <c r="J27" i="37" s="1"/>
  <c r="F14" i="13"/>
  <c r="F20" i="13"/>
  <c r="K33" i="13"/>
  <c r="H34" i="13"/>
  <c r="L34" i="13" s="1"/>
  <c r="G42" i="13"/>
  <c r="F42" i="13"/>
  <c r="Q14" i="14"/>
  <c r="M26" i="37" s="1"/>
  <c r="F13" i="14"/>
  <c r="G20" i="14"/>
  <c r="F20" i="14"/>
  <c r="Q14" i="15"/>
  <c r="M25" i="37" s="1"/>
  <c r="F3" i="15"/>
  <c r="K3" i="15"/>
  <c r="G12" i="15"/>
  <c r="F12" i="15"/>
  <c r="L16" i="15"/>
  <c r="H11" i="18"/>
  <c r="L11" i="18" s="1"/>
  <c r="G11" i="18"/>
  <c r="F11" i="18"/>
  <c r="L15" i="9"/>
  <c r="Q5" i="12"/>
  <c r="E28" i="37" s="1"/>
  <c r="F26" i="13"/>
  <c r="F41" i="13"/>
  <c r="G7" i="14"/>
  <c r="F7" i="14"/>
  <c r="F19" i="14"/>
  <c r="L39" i="14"/>
  <c r="K39" i="14"/>
  <c r="H44" i="14"/>
  <c r="K12" i="15"/>
  <c r="L13" i="15"/>
  <c r="K13" i="15"/>
  <c r="K31" i="15"/>
  <c r="L31" i="15"/>
  <c r="Q14" i="16"/>
  <c r="M24" i="37" s="1"/>
  <c r="H7" i="17"/>
  <c r="G7" i="17"/>
  <c r="F7" i="17"/>
  <c r="L11" i="14"/>
  <c r="G28" i="14"/>
  <c r="F28" i="14"/>
  <c r="G8" i="15"/>
  <c r="F8" i="15"/>
  <c r="G11" i="15"/>
  <c r="L17" i="15"/>
  <c r="Q9" i="13"/>
  <c r="I27" i="37" s="1"/>
  <c r="G31" i="13"/>
  <c r="L31" i="13"/>
  <c r="F35" i="13"/>
  <c r="F2" i="14"/>
  <c r="G3" i="14"/>
  <c r="F3" i="14"/>
  <c r="K6" i="14"/>
  <c r="H28" i="14"/>
  <c r="L37" i="14"/>
  <c r="G38" i="14"/>
  <c r="L38" i="14"/>
  <c r="H8" i="15"/>
  <c r="L8" i="15" s="1"/>
  <c r="F14" i="15"/>
  <c r="K14" i="15"/>
  <c r="G21" i="15"/>
  <c r="F21" i="15"/>
  <c r="F23" i="9"/>
  <c r="F31" i="9"/>
  <c r="F2" i="10"/>
  <c r="F6" i="10"/>
  <c r="F22" i="10"/>
  <c r="F30" i="10"/>
  <c r="F38" i="10"/>
  <c r="F10" i="11"/>
  <c r="F17" i="11"/>
  <c r="F25" i="11"/>
  <c r="F33" i="11"/>
  <c r="F41" i="11"/>
  <c r="F3" i="12"/>
  <c r="F7" i="12"/>
  <c r="K9" i="12"/>
  <c r="F14" i="12"/>
  <c r="F20" i="12"/>
  <c r="F28" i="12"/>
  <c r="F36" i="12"/>
  <c r="F44" i="12"/>
  <c r="F8" i="13"/>
  <c r="F12" i="13"/>
  <c r="F21" i="13"/>
  <c r="F25" i="13"/>
  <c r="H27" i="13"/>
  <c r="L27" i="13" s="1"/>
  <c r="F36" i="13"/>
  <c r="H3" i="14"/>
  <c r="G6" i="14"/>
  <c r="F7" i="15"/>
  <c r="K7" i="15"/>
  <c r="L9" i="15"/>
  <c r="K9" i="15"/>
  <c r="H21" i="15"/>
  <c r="L21" i="15" s="1"/>
  <c r="G28" i="15"/>
  <c r="L22" i="13"/>
  <c r="F33" i="13"/>
  <c r="K35" i="13"/>
  <c r="G37" i="13"/>
  <c r="F37" i="13"/>
  <c r="L38" i="13"/>
  <c r="K43" i="13"/>
  <c r="Q9" i="14"/>
  <c r="I26" i="37" s="1"/>
  <c r="Q3" i="14"/>
  <c r="D26" i="37" s="1"/>
  <c r="K2" i="14"/>
  <c r="L7" i="14"/>
  <c r="G14" i="14"/>
  <c r="F14" i="14"/>
  <c r="L16" i="14"/>
  <c r="G22" i="14"/>
  <c r="L22" i="14"/>
  <c r="G36" i="14"/>
  <c r="F36" i="14"/>
  <c r="F20" i="15"/>
  <c r="K20" i="15"/>
  <c r="F11" i="14"/>
  <c r="F23" i="14"/>
  <c r="F31" i="14"/>
  <c r="F39" i="14"/>
  <c r="F5" i="15"/>
  <c r="Q9" i="15"/>
  <c r="I25" i="37" s="1"/>
  <c r="F16" i="15"/>
  <c r="F24" i="15"/>
  <c r="G27" i="15"/>
  <c r="F29" i="15"/>
  <c r="G37" i="15"/>
  <c r="G43" i="15"/>
  <c r="F43" i="15"/>
  <c r="K46" i="15"/>
  <c r="G10" i="16"/>
  <c r="F10" i="16"/>
  <c r="L17" i="16"/>
  <c r="K11" i="17"/>
  <c r="Q5" i="15"/>
  <c r="E25" i="37" s="1"/>
  <c r="F30" i="15"/>
  <c r="F38" i="15"/>
  <c r="L46" i="15"/>
  <c r="H21" i="16"/>
  <c r="G21" i="16"/>
  <c r="F21" i="16"/>
  <c r="K31" i="16"/>
  <c r="K33" i="16"/>
  <c r="H20" i="17"/>
  <c r="G20" i="17"/>
  <c r="F20" i="17"/>
  <c r="F27" i="17"/>
  <c r="K31" i="17"/>
  <c r="L32" i="17"/>
  <c r="K32" i="17"/>
  <c r="Q3" i="18"/>
  <c r="D22" i="37" s="1"/>
  <c r="Q9" i="18"/>
  <c r="I22" i="37" s="1"/>
  <c r="L7" i="18"/>
  <c r="G33" i="15"/>
  <c r="G39" i="15"/>
  <c r="F39" i="15"/>
  <c r="K42" i="15"/>
  <c r="F42" i="15"/>
  <c r="F5" i="16"/>
  <c r="G11" i="16"/>
  <c r="H3" i="17"/>
  <c r="G3" i="17"/>
  <c r="F3" i="17"/>
  <c r="H14" i="17"/>
  <c r="G14" i="17"/>
  <c r="F14" i="17"/>
  <c r="L25" i="17"/>
  <c r="H28" i="17"/>
  <c r="G28" i="17"/>
  <c r="F28" i="17"/>
  <c r="G8" i="18"/>
  <c r="K2" i="15"/>
  <c r="H28" i="15"/>
  <c r="K28" i="15" s="1"/>
  <c r="G30" i="15"/>
  <c r="L41" i="15"/>
  <c r="K43" i="15"/>
  <c r="G17" i="16"/>
  <c r="F17" i="16"/>
  <c r="K20" i="16"/>
  <c r="L26" i="16"/>
  <c r="H29" i="16"/>
  <c r="G29" i="16"/>
  <c r="F29" i="16"/>
  <c r="F36" i="16"/>
  <c r="L41" i="16"/>
  <c r="K41" i="16"/>
  <c r="F9" i="17"/>
  <c r="K19" i="17"/>
  <c r="F35" i="17"/>
  <c r="K39" i="17"/>
  <c r="L40" i="17"/>
  <c r="K40" i="17"/>
  <c r="Q14" i="18"/>
  <c r="M22" i="37" s="1"/>
  <c r="F27" i="14"/>
  <c r="F35" i="14"/>
  <c r="F43" i="14"/>
  <c r="L2" i="15"/>
  <c r="G35" i="15"/>
  <c r="F35" i="15"/>
  <c r="Q9" i="16"/>
  <c r="I24" i="37" s="1"/>
  <c r="F3" i="16"/>
  <c r="F7" i="16"/>
  <c r="G12" i="16"/>
  <c r="F12" i="16"/>
  <c r="H37" i="16"/>
  <c r="G37" i="16"/>
  <c r="F37" i="16"/>
  <c r="G22" i="17"/>
  <c r="K27" i="17"/>
  <c r="H36" i="17"/>
  <c r="G36" i="17"/>
  <c r="F36" i="17"/>
  <c r="L4" i="18"/>
  <c r="K5" i="18"/>
  <c r="G6" i="19"/>
  <c r="G7" i="15"/>
  <c r="G14" i="15"/>
  <c r="G20" i="15"/>
  <c r="Q11" i="16"/>
  <c r="J24" i="37" s="1"/>
  <c r="G8" i="16"/>
  <c r="F8" i="16"/>
  <c r="L10" i="16"/>
  <c r="K16" i="16"/>
  <c r="F44" i="16"/>
  <c r="Q5" i="17"/>
  <c r="E23" i="37" s="1"/>
  <c r="Q11" i="17"/>
  <c r="J23" i="37" s="1"/>
  <c r="G6" i="17"/>
  <c r="L8" i="17"/>
  <c r="G30" i="17"/>
  <c r="F43" i="17"/>
  <c r="G31" i="15"/>
  <c r="H35" i="15"/>
  <c r="G47" i="15"/>
  <c r="F47" i="15"/>
  <c r="H12" i="16"/>
  <c r="G13" i="16"/>
  <c r="G31" i="16"/>
  <c r="H45" i="16"/>
  <c r="G45" i="16"/>
  <c r="F45" i="16"/>
  <c r="Q14" i="17"/>
  <c r="M23" i="37" s="1"/>
  <c r="L5" i="17"/>
  <c r="K5" i="17"/>
  <c r="L16" i="17"/>
  <c r="K16" i="17"/>
  <c r="F38" i="18"/>
  <c r="F34" i="15"/>
  <c r="F16" i="16"/>
  <c r="F24" i="16"/>
  <c r="F32" i="16"/>
  <c r="F40" i="16"/>
  <c r="F11" i="17"/>
  <c r="F23" i="17"/>
  <c r="F31" i="17"/>
  <c r="F39" i="17"/>
  <c r="G6" i="18"/>
  <c r="G9" i="18"/>
  <c r="G20" i="18"/>
  <c r="L37" i="18"/>
  <c r="H3" i="19"/>
  <c r="G3" i="19"/>
  <c r="F3" i="19"/>
  <c r="H14" i="19"/>
  <c r="G14" i="19"/>
  <c r="F14" i="19"/>
  <c r="Q5" i="16"/>
  <c r="E24" i="37" s="1"/>
  <c r="F44" i="17"/>
  <c r="G15" i="18"/>
  <c r="F15" i="18"/>
  <c r="K16" i="18"/>
  <c r="F17" i="18"/>
  <c r="G18" i="18"/>
  <c r="F18" i="18"/>
  <c r="G25" i="18"/>
  <c r="L27" i="18"/>
  <c r="H20" i="19"/>
  <c r="G20" i="19"/>
  <c r="F20" i="19"/>
  <c r="Q3" i="17"/>
  <c r="D23" i="37" s="1"/>
  <c r="L12" i="18"/>
  <c r="G12" i="18"/>
  <c r="G33" i="18"/>
  <c r="L33" i="18"/>
  <c r="K35" i="18"/>
  <c r="Q9" i="19"/>
  <c r="I21" i="37" s="1"/>
  <c r="F13" i="19"/>
  <c r="K13" i="19"/>
  <c r="H23" i="18"/>
  <c r="G23" i="18"/>
  <c r="F23" i="18"/>
  <c r="Q5" i="19"/>
  <c r="E21" i="37" s="1"/>
  <c r="G2" i="19"/>
  <c r="Q11" i="19"/>
  <c r="J21" i="37" s="1"/>
  <c r="F9" i="19"/>
  <c r="K9" i="19"/>
  <c r="F19" i="19"/>
  <c r="Q15" i="18"/>
  <c r="N22" i="37" s="1"/>
  <c r="F5" i="18"/>
  <c r="H10" i="18"/>
  <c r="K10" i="18" s="1"/>
  <c r="K15" i="18"/>
  <c r="G19" i="18"/>
  <c r="H31" i="18"/>
  <c r="G31" i="18"/>
  <c r="F31" i="18"/>
  <c r="Q14" i="19"/>
  <c r="M21" i="37" s="1"/>
  <c r="H7" i="19"/>
  <c r="G7" i="19"/>
  <c r="F7" i="19"/>
  <c r="L12" i="19"/>
  <c r="K12" i="19"/>
  <c r="K15" i="20"/>
  <c r="F25" i="16"/>
  <c r="F33" i="16"/>
  <c r="F41" i="16"/>
  <c r="F5" i="17"/>
  <c r="F16" i="17"/>
  <c r="F24" i="17"/>
  <c r="F32" i="17"/>
  <c r="F40" i="17"/>
  <c r="L44" i="17"/>
  <c r="F2" i="18"/>
  <c r="G5" i="18"/>
  <c r="F10" i="18"/>
  <c r="F16" i="18"/>
  <c r="F22" i="18"/>
  <c r="H39" i="18"/>
  <c r="G39" i="18"/>
  <c r="F39" i="18"/>
  <c r="Q15" i="19"/>
  <c r="N21" i="37" s="1"/>
  <c r="L5" i="19"/>
  <c r="L8" i="19"/>
  <c r="K8" i="19"/>
  <c r="L16" i="19"/>
  <c r="L15" i="20"/>
  <c r="F9" i="18"/>
  <c r="G16" i="18"/>
  <c r="F30" i="18"/>
  <c r="K30" i="18"/>
  <c r="K40" i="18"/>
  <c r="K23" i="19"/>
  <c r="K17" i="20"/>
  <c r="K18" i="20"/>
  <c r="L26" i="20"/>
  <c r="F32" i="22"/>
  <c r="F8" i="23"/>
  <c r="F25" i="25"/>
  <c r="K25" i="25"/>
  <c r="G21" i="18"/>
  <c r="F26" i="18"/>
  <c r="L28" i="18"/>
  <c r="G29" i="18"/>
  <c r="K33" i="18"/>
  <c r="F34" i="18"/>
  <c r="L36" i="18"/>
  <c r="G37" i="18"/>
  <c r="G4" i="19"/>
  <c r="L10" i="19"/>
  <c r="F11" i="19"/>
  <c r="G15" i="19"/>
  <c r="L17" i="19"/>
  <c r="G18" i="19"/>
  <c r="F23" i="19"/>
  <c r="L25" i="19"/>
  <c r="G26" i="19"/>
  <c r="H29" i="19"/>
  <c r="F31" i="19"/>
  <c r="L33" i="19"/>
  <c r="G34" i="19"/>
  <c r="F4" i="20"/>
  <c r="H5" i="20"/>
  <c r="G8" i="20"/>
  <c r="G12" i="20"/>
  <c r="L14" i="20"/>
  <c r="F15" i="20"/>
  <c r="H16" i="20"/>
  <c r="F18" i="20"/>
  <c r="G21" i="20"/>
  <c r="H24" i="20"/>
  <c r="F26" i="20"/>
  <c r="G29" i="20"/>
  <c r="H2" i="21"/>
  <c r="F6" i="21"/>
  <c r="K7" i="21"/>
  <c r="Q11" i="21"/>
  <c r="J19" i="37" s="1"/>
  <c r="G13" i="21"/>
  <c r="G31" i="21"/>
  <c r="Q9" i="22"/>
  <c r="I18" i="37" s="1"/>
  <c r="F5" i="22"/>
  <c r="K5" i="22"/>
  <c r="F21" i="23"/>
  <c r="F29" i="23"/>
  <c r="L2" i="24"/>
  <c r="H11" i="24"/>
  <c r="L11" i="24" s="1"/>
  <c r="G11" i="24"/>
  <c r="F11" i="24"/>
  <c r="F2" i="27"/>
  <c r="Q3" i="27"/>
  <c r="D13" i="37" s="1"/>
  <c r="K2" i="27"/>
  <c r="Q9" i="27"/>
  <c r="I13" i="37" s="1"/>
  <c r="K27" i="19"/>
  <c r="F28" i="19"/>
  <c r="K2" i="20"/>
  <c r="F11" i="20"/>
  <c r="L17" i="20"/>
  <c r="F23" i="20"/>
  <c r="F31" i="20"/>
  <c r="G4" i="21"/>
  <c r="G7" i="21"/>
  <c r="L7" i="21"/>
  <c r="K8" i="21"/>
  <c r="L16" i="21"/>
  <c r="G16" i="21"/>
  <c r="K17" i="21"/>
  <c r="K26" i="21"/>
  <c r="K12" i="22"/>
  <c r="G19" i="22"/>
  <c r="K15" i="23"/>
  <c r="L30" i="23"/>
  <c r="G6" i="24"/>
  <c r="H6" i="24"/>
  <c r="L6" i="24" s="1"/>
  <c r="F6" i="24"/>
  <c r="Q3" i="19"/>
  <c r="D21" i="37" s="1"/>
  <c r="G28" i="19"/>
  <c r="L2" i="20"/>
  <c r="G11" i="20"/>
  <c r="G23" i="20"/>
  <c r="G31" i="20"/>
  <c r="H4" i="21"/>
  <c r="L4" i="21" s="1"/>
  <c r="Q9" i="21"/>
  <c r="I19" i="37" s="1"/>
  <c r="G15" i="21"/>
  <c r="F15" i="21"/>
  <c r="G29" i="21"/>
  <c r="F29" i="21"/>
  <c r="G27" i="22"/>
  <c r="L27" i="22"/>
  <c r="G6" i="23"/>
  <c r="F6" i="23"/>
  <c r="Q9" i="25"/>
  <c r="I15" i="37" s="1"/>
  <c r="G11" i="25"/>
  <c r="L11" i="25"/>
  <c r="H22" i="26"/>
  <c r="G22" i="26"/>
  <c r="F22" i="26"/>
  <c r="F2" i="19"/>
  <c r="Q3" i="20"/>
  <c r="D20" i="37" s="1"/>
  <c r="G12" i="21"/>
  <c r="F12" i="21"/>
  <c r="F14" i="21"/>
  <c r="L27" i="21"/>
  <c r="F28" i="21"/>
  <c r="H29" i="21"/>
  <c r="L29" i="21" s="1"/>
  <c r="F30" i="21"/>
  <c r="H30" i="21"/>
  <c r="G32" i="21"/>
  <c r="K33" i="21"/>
  <c r="L2" i="22"/>
  <c r="G10" i="22"/>
  <c r="F10" i="22"/>
  <c r="G13" i="22"/>
  <c r="G17" i="22"/>
  <c r="F17" i="22"/>
  <c r="K29" i="22"/>
  <c r="Q15" i="23"/>
  <c r="N17" i="37" s="1"/>
  <c r="K4" i="23"/>
  <c r="H6" i="23"/>
  <c r="L6" i="23" s="1"/>
  <c r="G16" i="23"/>
  <c r="Q5" i="24"/>
  <c r="E16" i="37" s="1"/>
  <c r="G3" i="24"/>
  <c r="Q11" i="24"/>
  <c r="J16" i="37" s="1"/>
  <c r="F12" i="24"/>
  <c r="F2" i="20"/>
  <c r="F3" i="21"/>
  <c r="G25" i="22"/>
  <c r="F25" i="22"/>
  <c r="F12" i="23"/>
  <c r="G24" i="23"/>
  <c r="K25" i="23"/>
  <c r="F21" i="24"/>
  <c r="F19" i="20"/>
  <c r="F27" i="20"/>
  <c r="Q14" i="21"/>
  <c r="M19" i="37" s="1"/>
  <c r="G3" i="21"/>
  <c r="H5" i="21"/>
  <c r="K5" i="21" s="1"/>
  <c r="Q5" i="21"/>
  <c r="E19" i="37" s="1"/>
  <c r="G10" i="21"/>
  <c r="F10" i="21"/>
  <c r="G14" i="21"/>
  <c r="L14" i="21"/>
  <c r="G21" i="21"/>
  <c r="F21" i="21"/>
  <c r="L28" i="21"/>
  <c r="G30" i="21"/>
  <c r="Q5" i="22"/>
  <c r="E18" i="37" s="1"/>
  <c r="K10" i="22"/>
  <c r="F16" i="22"/>
  <c r="K16" i="22"/>
  <c r="H25" i="22"/>
  <c r="L25" i="22" s="1"/>
  <c r="G2" i="23"/>
  <c r="F2" i="23"/>
  <c r="Q5" i="23"/>
  <c r="E17" i="37" s="1"/>
  <c r="G5" i="23"/>
  <c r="L5" i="23"/>
  <c r="L12" i="23"/>
  <c r="L25" i="23"/>
  <c r="K26" i="23"/>
  <c r="Q15" i="21"/>
  <c r="N19" i="37" s="1"/>
  <c r="G8" i="21"/>
  <c r="F8" i="21"/>
  <c r="F20" i="21"/>
  <c r="H21" i="21"/>
  <c r="L21" i="21" s="1"/>
  <c r="F22" i="21"/>
  <c r="H22" i="21"/>
  <c r="G24" i="21"/>
  <c r="K2" i="22"/>
  <c r="G9" i="22"/>
  <c r="L9" i="22"/>
  <c r="F24" i="22"/>
  <c r="G22" i="23"/>
  <c r="F22" i="23"/>
  <c r="G30" i="23"/>
  <c r="F30" i="23"/>
  <c r="G17" i="24"/>
  <c r="F17" i="24"/>
  <c r="H4" i="22"/>
  <c r="Q11" i="22"/>
  <c r="J18" i="37" s="1"/>
  <c r="H15" i="22"/>
  <c r="H18" i="22"/>
  <c r="H26" i="22"/>
  <c r="Q3" i="23"/>
  <c r="D17" i="37" s="1"/>
  <c r="H11" i="23"/>
  <c r="H23" i="23"/>
  <c r="Q9" i="24"/>
  <c r="I16" i="37" s="1"/>
  <c r="K15" i="24"/>
  <c r="H17" i="24"/>
  <c r="L17" i="24" s="1"/>
  <c r="G27" i="24"/>
  <c r="L27" i="24"/>
  <c r="H30" i="24"/>
  <c r="G30" i="24"/>
  <c r="F30" i="24"/>
  <c r="H4" i="25"/>
  <c r="G4" i="25"/>
  <c r="F4" i="25"/>
  <c r="H15" i="25"/>
  <c r="G15" i="25"/>
  <c r="F15" i="25"/>
  <c r="F33" i="25"/>
  <c r="F8" i="26"/>
  <c r="K8" i="26"/>
  <c r="H30" i="26"/>
  <c r="G30" i="26"/>
  <c r="F30" i="26"/>
  <c r="G5" i="27"/>
  <c r="F5" i="27"/>
  <c r="K17" i="27"/>
  <c r="F17" i="27"/>
  <c r="G3" i="22"/>
  <c r="Q3" i="22"/>
  <c r="D18" i="37" s="1"/>
  <c r="G7" i="22"/>
  <c r="L15" i="24"/>
  <c r="K16" i="24"/>
  <c r="G24" i="24"/>
  <c r="G25" i="24"/>
  <c r="F25" i="24"/>
  <c r="K2" i="25"/>
  <c r="K21" i="25"/>
  <c r="K10" i="26"/>
  <c r="F21" i="26"/>
  <c r="K21" i="26"/>
  <c r="Q14" i="27"/>
  <c r="M13" i="37" s="1"/>
  <c r="G4" i="31"/>
  <c r="F4" i="31"/>
  <c r="K22" i="34"/>
  <c r="L22" i="34"/>
  <c r="F18" i="21"/>
  <c r="F26" i="21"/>
  <c r="F2" i="22"/>
  <c r="F6" i="22"/>
  <c r="F22" i="22"/>
  <c r="F30" i="22"/>
  <c r="F9" i="23"/>
  <c r="F13" i="23"/>
  <c r="F19" i="23"/>
  <c r="F27" i="23"/>
  <c r="K2" i="24"/>
  <c r="L16" i="24"/>
  <c r="H25" i="24"/>
  <c r="L25" i="24" s="1"/>
  <c r="L28" i="24"/>
  <c r="F29" i="24"/>
  <c r="K29" i="24"/>
  <c r="Q11" i="25"/>
  <c r="J15" i="37" s="1"/>
  <c r="Q3" i="25"/>
  <c r="D15" i="37" s="1"/>
  <c r="K13" i="25"/>
  <c r="K29" i="25"/>
  <c r="H6" i="26"/>
  <c r="G6" i="26"/>
  <c r="F6" i="26"/>
  <c r="K15" i="26"/>
  <c r="F29" i="26"/>
  <c r="K29" i="26"/>
  <c r="Q9" i="23"/>
  <c r="I17" i="37" s="1"/>
  <c r="G27" i="23"/>
  <c r="Q3" i="24"/>
  <c r="D16" i="37" s="1"/>
  <c r="G13" i="24"/>
  <c r="L13" i="24"/>
  <c r="Q14" i="25"/>
  <c r="M15" i="37" s="1"/>
  <c r="K9" i="25"/>
  <c r="K11" i="26"/>
  <c r="L15" i="26"/>
  <c r="G32" i="26"/>
  <c r="G32" i="24"/>
  <c r="G33" i="24"/>
  <c r="F33" i="24"/>
  <c r="Q15" i="25"/>
  <c r="N15" i="37" s="1"/>
  <c r="H18" i="25"/>
  <c r="G18" i="25"/>
  <c r="F18" i="25"/>
  <c r="F17" i="21"/>
  <c r="F25" i="21"/>
  <c r="F33" i="21"/>
  <c r="F8" i="22"/>
  <c r="F12" i="22"/>
  <c r="F21" i="22"/>
  <c r="F29" i="22"/>
  <c r="F4" i="23"/>
  <c r="F15" i="23"/>
  <c r="F18" i="23"/>
  <c r="F26" i="23"/>
  <c r="F2" i="24"/>
  <c r="F5" i="24"/>
  <c r="H10" i="24"/>
  <c r="L10" i="24" s="1"/>
  <c r="L18" i="24"/>
  <c r="G19" i="24"/>
  <c r="L19" i="24"/>
  <c r="G22" i="24"/>
  <c r="F22" i="24"/>
  <c r="H33" i="24"/>
  <c r="L33" i="24" s="1"/>
  <c r="G12" i="25"/>
  <c r="F12" i="25"/>
  <c r="L16" i="25"/>
  <c r="H26" i="25"/>
  <c r="G26" i="25"/>
  <c r="F26" i="25"/>
  <c r="Q15" i="26"/>
  <c r="N14" i="37" s="1"/>
  <c r="Q5" i="26"/>
  <c r="E14" i="37" s="1"/>
  <c r="K18" i="26"/>
  <c r="K31" i="26"/>
  <c r="G15" i="27"/>
  <c r="F15" i="27"/>
  <c r="F4" i="24"/>
  <c r="G9" i="24"/>
  <c r="L9" i="24"/>
  <c r="G10" i="24"/>
  <c r="G15" i="24"/>
  <c r="G7" i="25"/>
  <c r="G8" i="25"/>
  <c r="F8" i="25"/>
  <c r="F10" i="25"/>
  <c r="K10" i="25"/>
  <c r="F17" i="25"/>
  <c r="L24" i="25"/>
  <c r="H2" i="26"/>
  <c r="G2" i="26"/>
  <c r="F2" i="26"/>
  <c r="F12" i="26"/>
  <c r="L18" i="26"/>
  <c r="L14" i="24"/>
  <c r="H3" i="25"/>
  <c r="L3" i="25" s="1"/>
  <c r="H7" i="25"/>
  <c r="K7" i="25" s="1"/>
  <c r="H14" i="25"/>
  <c r="L14" i="25" s="1"/>
  <c r="H20" i="25"/>
  <c r="K20" i="25" s="1"/>
  <c r="H28" i="25"/>
  <c r="K28" i="25" s="1"/>
  <c r="H5" i="26"/>
  <c r="K5" i="26" s="1"/>
  <c r="H16" i="26"/>
  <c r="L16" i="26" s="1"/>
  <c r="H24" i="26"/>
  <c r="K24" i="26" s="1"/>
  <c r="H32" i="26"/>
  <c r="K32" i="26" s="1"/>
  <c r="G4" i="27"/>
  <c r="F4" i="27"/>
  <c r="L7" i="27"/>
  <c r="F8" i="27"/>
  <c r="F11" i="27"/>
  <c r="K16" i="27"/>
  <c r="G18" i="27"/>
  <c r="G19" i="27"/>
  <c r="F19" i="27"/>
  <c r="G24" i="27"/>
  <c r="F24" i="27"/>
  <c r="G7" i="28"/>
  <c r="L11" i="28"/>
  <c r="G14" i="28"/>
  <c r="G15" i="28"/>
  <c r="F15" i="28"/>
  <c r="G28" i="28"/>
  <c r="Q15" i="29"/>
  <c r="N11" i="37" s="1"/>
  <c r="Q9" i="29"/>
  <c r="I11" i="37" s="1"/>
  <c r="L11" i="29"/>
  <c r="G15" i="29"/>
  <c r="F15" i="29"/>
  <c r="Q11" i="27"/>
  <c r="J13" i="37" s="1"/>
  <c r="G3" i="28"/>
  <c r="G4" i="28"/>
  <c r="F4" i="28"/>
  <c r="L8" i="28"/>
  <c r="Q5" i="25"/>
  <c r="E15" i="37" s="1"/>
  <c r="F21" i="25"/>
  <c r="L23" i="25"/>
  <c r="F29" i="25"/>
  <c r="Q3" i="26"/>
  <c r="D14" i="37" s="1"/>
  <c r="L9" i="26"/>
  <c r="F10" i="26"/>
  <c r="L13" i="26"/>
  <c r="F17" i="26"/>
  <c r="L19" i="26"/>
  <c r="F25" i="26"/>
  <c r="L27" i="26"/>
  <c r="F33" i="26"/>
  <c r="H5" i="27"/>
  <c r="K5" i="27" s="1"/>
  <c r="G12" i="27"/>
  <c r="H15" i="27"/>
  <c r="L15" i="27" s="1"/>
  <c r="L17" i="27"/>
  <c r="Q11" i="28"/>
  <c r="J12" i="37" s="1"/>
  <c r="L7" i="28"/>
  <c r="F10" i="28"/>
  <c r="L13" i="28"/>
  <c r="L27" i="28"/>
  <c r="G3" i="29"/>
  <c r="G4" i="29"/>
  <c r="F4" i="29"/>
  <c r="L6" i="29"/>
  <c r="F10" i="29"/>
  <c r="Q5" i="27"/>
  <c r="E13" i="37" s="1"/>
  <c r="L14" i="27"/>
  <c r="G21" i="27"/>
  <c r="G27" i="27"/>
  <c r="F27" i="27"/>
  <c r="Q14" i="28"/>
  <c r="M12" i="37" s="1"/>
  <c r="G18" i="28"/>
  <c r="F18" i="28"/>
  <c r="K2" i="29"/>
  <c r="K16" i="29"/>
  <c r="G18" i="29"/>
  <c r="F18" i="29"/>
  <c r="L21" i="30"/>
  <c r="G21" i="30"/>
  <c r="L2" i="27"/>
  <c r="G7" i="27"/>
  <c r="H13" i="27"/>
  <c r="F16" i="27"/>
  <c r="H27" i="27"/>
  <c r="Q15" i="28"/>
  <c r="N12" i="37" s="1"/>
  <c r="L9" i="28"/>
  <c r="H18" i="28"/>
  <c r="L23" i="28"/>
  <c r="G26" i="28"/>
  <c r="F26" i="28"/>
  <c r="Q3" i="29"/>
  <c r="D11" i="37" s="1"/>
  <c r="L9" i="29"/>
  <c r="H18" i="29"/>
  <c r="Q3" i="30"/>
  <c r="D10" i="37" s="1"/>
  <c r="L10" i="30"/>
  <c r="K10" i="30"/>
  <c r="F16" i="24"/>
  <c r="F24" i="24"/>
  <c r="F32" i="24"/>
  <c r="L2" i="25"/>
  <c r="F3" i="25"/>
  <c r="F7" i="25"/>
  <c r="F14" i="25"/>
  <c r="F20" i="25"/>
  <c r="F28" i="25"/>
  <c r="L4" i="26"/>
  <c r="F5" i="26"/>
  <c r="F16" i="26"/>
  <c r="F24" i="26"/>
  <c r="F32" i="26"/>
  <c r="G3" i="27"/>
  <c r="G8" i="27"/>
  <c r="G13" i="27"/>
  <c r="F23" i="27"/>
  <c r="K24" i="28"/>
  <c r="G20" i="29"/>
  <c r="L24" i="29"/>
  <c r="L8" i="30"/>
  <c r="G8" i="30"/>
  <c r="Q15" i="27"/>
  <c r="N13" i="37" s="1"/>
  <c r="L12" i="28"/>
  <c r="K12" i="28"/>
  <c r="G20" i="28"/>
  <c r="Q14" i="29"/>
  <c r="M11" i="37" s="1"/>
  <c r="L12" i="29"/>
  <c r="K12" i="29"/>
  <c r="G13" i="30"/>
  <c r="F13" i="30"/>
  <c r="G19" i="30"/>
  <c r="F19" i="30"/>
  <c r="Q9" i="33"/>
  <c r="I7" i="37" s="1"/>
  <c r="H3" i="28"/>
  <c r="K3" i="28" s="1"/>
  <c r="H14" i="28"/>
  <c r="K14" i="28" s="1"/>
  <c r="G25" i="28"/>
  <c r="H3" i="29"/>
  <c r="L3" i="29" s="1"/>
  <c r="H7" i="29"/>
  <c r="K7" i="29" s="1"/>
  <c r="H14" i="29"/>
  <c r="K14" i="29" s="1"/>
  <c r="K23" i="29"/>
  <c r="Q9" i="30"/>
  <c r="I10" i="37" s="1"/>
  <c r="G9" i="30"/>
  <c r="F9" i="30"/>
  <c r="G12" i="31"/>
  <c r="K19" i="31"/>
  <c r="G2" i="32"/>
  <c r="F2" i="32"/>
  <c r="F10" i="32"/>
  <c r="G10" i="32"/>
  <c r="F19" i="29"/>
  <c r="G22" i="29"/>
  <c r="G24" i="29"/>
  <c r="Q5" i="30"/>
  <c r="E10" i="37" s="1"/>
  <c r="Q11" i="30"/>
  <c r="J10" i="37" s="1"/>
  <c r="K11" i="30"/>
  <c r="F18" i="30"/>
  <c r="K21" i="30"/>
  <c r="H3" i="31"/>
  <c r="K3" i="31" s="1"/>
  <c r="G3" i="31"/>
  <c r="F3" i="31"/>
  <c r="F9" i="31"/>
  <c r="L19" i="31"/>
  <c r="H2" i="32"/>
  <c r="H10" i="32"/>
  <c r="K10" i="32" s="1"/>
  <c r="Q5" i="28"/>
  <c r="E12" i="37" s="1"/>
  <c r="F8" i="28"/>
  <c r="F12" i="28"/>
  <c r="F21" i="28"/>
  <c r="F29" i="28"/>
  <c r="Q5" i="29"/>
  <c r="E11" i="37" s="1"/>
  <c r="F8" i="29"/>
  <c r="F12" i="29"/>
  <c r="F10" i="30"/>
  <c r="H13" i="30"/>
  <c r="L13" i="30" s="1"/>
  <c r="H19" i="30"/>
  <c r="L19" i="30" s="1"/>
  <c r="F24" i="30"/>
  <c r="G27" i="30"/>
  <c r="F27" i="30"/>
  <c r="Q11" i="31"/>
  <c r="J9" i="37" s="1"/>
  <c r="L2" i="31"/>
  <c r="Q5" i="31"/>
  <c r="E9" i="37" s="1"/>
  <c r="H4" i="31"/>
  <c r="H7" i="31"/>
  <c r="L7" i="31" s="1"/>
  <c r="G7" i="31"/>
  <c r="F7" i="31"/>
  <c r="F10" i="31"/>
  <c r="F13" i="31"/>
  <c r="L24" i="31"/>
  <c r="F5" i="32"/>
  <c r="G5" i="32"/>
  <c r="G2" i="34"/>
  <c r="F2" i="34"/>
  <c r="L7" i="34"/>
  <c r="K7" i="34"/>
  <c r="F21" i="34"/>
  <c r="K21" i="34"/>
  <c r="L5" i="30"/>
  <c r="Q14" i="31"/>
  <c r="M9" i="37" s="1"/>
  <c r="H14" i="31"/>
  <c r="L14" i="31" s="1"/>
  <c r="G14" i="31"/>
  <c r="F14" i="31"/>
  <c r="G18" i="31"/>
  <c r="F18" i="31"/>
  <c r="L3" i="34"/>
  <c r="K3" i="34"/>
  <c r="F23" i="29"/>
  <c r="H17" i="30"/>
  <c r="K23" i="30"/>
  <c r="H28" i="30"/>
  <c r="L28" i="30" s="1"/>
  <c r="Q15" i="31"/>
  <c r="N9" i="37" s="1"/>
  <c r="L6" i="31"/>
  <c r="H8" i="31"/>
  <c r="L8" i="31" s="1"/>
  <c r="G11" i="31"/>
  <c r="K16" i="31"/>
  <c r="H18" i="31"/>
  <c r="L18" i="31" s="1"/>
  <c r="F4" i="32"/>
  <c r="K4" i="32"/>
  <c r="K5" i="32"/>
  <c r="L7" i="32"/>
  <c r="K7" i="32"/>
  <c r="K12" i="32"/>
  <c r="K2" i="33"/>
  <c r="F18" i="27"/>
  <c r="F26" i="27"/>
  <c r="F3" i="28"/>
  <c r="F7" i="28"/>
  <c r="F14" i="28"/>
  <c r="F20" i="28"/>
  <c r="F28" i="28"/>
  <c r="L2" i="29"/>
  <c r="F3" i="29"/>
  <c r="F7" i="29"/>
  <c r="F14" i="29"/>
  <c r="F20" i="29"/>
  <c r="L26" i="29"/>
  <c r="F27" i="29"/>
  <c r="G29" i="29"/>
  <c r="G2" i="30"/>
  <c r="F2" i="30"/>
  <c r="F4" i="30"/>
  <c r="K7" i="30"/>
  <c r="K14" i="30"/>
  <c r="L16" i="30"/>
  <c r="F17" i="30"/>
  <c r="K20" i="30"/>
  <c r="L23" i="30"/>
  <c r="G28" i="30"/>
  <c r="G8" i="31"/>
  <c r="L16" i="31"/>
  <c r="G20" i="31"/>
  <c r="F20" i="31"/>
  <c r="G18" i="32"/>
  <c r="G6" i="33"/>
  <c r="K14" i="34"/>
  <c r="F24" i="29"/>
  <c r="H2" i="30"/>
  <c r="L2" i="30" s="1"/>
  <c r="G22" i="30"/>
  <c r="F25" i="30"/>
  <c r="L4" i="32"/>
  <c r="K3" i="33"/>
  <c r="G14" i="33"/>
  <c r="F14" i="33"/>
  <c r="G20" i="33"/>
  <c r="F20" i="33"/>
  <c r="H2" i="34"/>
  <c r="L2" i="34" s="1"/>
  <c r="H5" i="34"/>
  <c r="L5" i="34" s="1"/>
  <c r="G5" i="34"/>
  <c r="F5" i="34"/>
  <c r="G26" i="34"/>
  <c r="H13" i="35"/>
  <c r="L13" i="35" s="1"/>
  <c r="G13" i="35"/>
  <c r="F13" i="35"/>
  <c r="Q5" i="32"/>
  <c r="E8" i="37" s="1"/>
  <c r="H4" i="33"/>
  <c r="L4" i="33" s="1"/>
  <c r="L25" i="33"/>
  <c r="K4" i="34"/>
  <c r="H24" i="34"/>
  <c r="L24" i="34" s="1"/>
  <c r="G24" i="34"/>
  <c r="F24" i="34"/>
  <c r="H9" i="35"/>
  <c r="L9" i="35" s="1"/>
  <c r="G9" i="35"/>
  <c r="F9" i="35"/>
  <c r="Q15" i="35"/>
  <c r="N5" i="37" s="1"/>
  <c r="L17" i="35"/>
  <c r="K17" i="35"/>
  <c r="H19" i="35"/>
  <c r="L19" i="35" s="1"/>
  <c r="G19" i="35"/>
  <c r="F19" i="35"/>
  <c r="G29" i="35"/>
  <c r="H7" i="36"/>
  <c r="L7" i="36" s="1"/>
  <c r="G7" i="36"/>
  <c r="F7" i="36"/>
  <c r="L14" i="36"/>
  <c r="F12" i="32"/>
  <c r="F20" i="32"/>
  <c r="G24" i="32"/>
  <c r="F4" i="33"/>
  <c r="H14" i="33"/>
  <c r="L14" i="33" s="1"/>
  <c r="K19" i="33"/>
  <c r="H20" i="33"/>
  <c r="L20" i="33" s="1"/>
  <c r="Q9" i="34"/>
  <c r="I6" i="37" s="1"/>
  <c r="L4" i="34"/>
  <c r="H6" i="34"/>
  <c r="H16" i="34"/>
  <c r="L16" i="34" s="1"/>
  <c r="G16" i="34"/>
  <c r="F16" i="34"/>
  <c r="K14" i="35"/>
  <c r="L14" i="35"/>
  <c r="Q14" i="36"/>
  <c r="M4" i="37" s="1"/>
  <c r="Q15" i="36"/>
  <c r="N4" i="37" s="1"/>
  <c r="L18" i="36"/>
  <c r="F6" i="30"/>
  <c r="F22" i="30"/>
  <c r="L24" i="30"/>
  <c r="K2" i="31"/>
  <c r="L10" i="31"/>
  <c r="F11" i="31"/>
  <c r="L21" i="31"/>
  <c r="F22" i="31"/>
  <c r="Q9" i="32"/>
  <c r="I8" i="37" s="1"/>
  <c r="F7" i="32"/>
  <c r="G12" i="32"/>
  <c r="F14" i="32"/>
  <c r="F22" i="32"/>
  <c r="G8" i="33"/>
  <c r="H12" i="33"/>
  <c r="H15" i="33"/>
  <c r="L16" i="33"/>
  <c r="G18" i="33"/>
  <c r="H21" i="33"/>
  <c r="L22" i="33"/>
  <c r="L23" i="33"/>
  <c r="F24" i="33"/>
  <c r="Q5" i="34"/>
  <c r="E6" i="37" s="1"/>
  <c r="F6" i="34"/>
  <c r="L8" i="34"/>
  <c r="L19" i="34"/>
  <c r="K23" i="34"/>
  <c r="F23" i="34"/>
  <c r="K25" i="34"/>
  <c r="K4" i="35"/>
  <c r="F4" i="35"/>
  <c r="L12" i="35"/>
  <c r="G12" i="35"/>
  <c r="K18" i="35"/>
  <c r="F18" i="35"/>
  <c r="K25" i="35"/>
  <c r="H27" i="35"/>
  <c r="L27" i="35" s="1"/>
  <c r="G27" i="35"/>
  <c r="F27" i="35"/>
  <c r="K16" i="36"/>
  <c r="F19" i="31"/>
  <c r="F24" i="31"/>
  <c r="G9" i="32"/>
  <c r="G16" i="32"/>
  <c r="K24" i="32"/>
  <c r="F3" i="33"/>
  <c r="F10" i="33"/>
  <c r="L11" i="33"/>
  <c r="G12" i="33"/>
  <c r="F15" i="33"/>
  <c r="G21" i="33"/>
  <c r="L20" i="34"/>
  <c r="K20" i="34"/>
  <c r="L8" i="35"/>
  <c r="G8" i="35"/>
  <c r="F6" i="36"/>
  <c r="F5" i="30"/>
  <c r="F16" i="30"/>
  <c r="F17" i="31"/>
  <c r="G24" i="31"/>
  <c r="G4" i="32"/>
  <c r="H6" i="32"/>
  <c r="L6" i="32" s="1"/>
  <c r="H11" i="32"/>
  <c r="L11" i="32" s="1"/>
  <c r="Q11" i="32"/>
  <c r="J8" i="37" s="1"/>
  <c r="G19" i="32"/>
  <c r="G25" i="32"/>
  <c r="Q11" i="33"/>
  <c r="J7" i="37" s="1"/>
  <c r="Q5" i="33"/>
  <c r="E7" i="37" s="1"/>
  <c r="Q3" i="33"/>
  <c r="D7" i="37" s="1"/>
  <c r="G10" i="33"/>
  <c r="L17" i="33"/>
  <c r="F18" i="33"/>
  <c r="Q11" i="34"/>
  <c r="J6" i="37" s="1"/>
  <c r="L12" i="34"/>
  <c r="G17" i="34"/>
  <c r="Q3" i="35"/>
  <c r="D5" i="37" s="1"/>
  <c r="K26" i="35"/>
  <c r="F26" i="35"/>
  <c r="L28" i="35"/>
  <c r="K26" i="36"/>
  <c r="G19" i="31"/>
  <c r="G13" i="32"/>
  <c r="G3" i="33"/>
  <c r="F7" i="33"/>
  <c r="K17" i="33"/>
  <c r="Q14" i="34"/>
  <c r="M6" i="37" s="1"/>
  <c r="K12" i="34"/>
  <c r="L13" i="34"/>
  <c r="F15" i="35"/>
  <c r="L26" i="36"/>
  <c r="L11" i="35"/>
  <c r="K11" i="35"/>
  <c r="L21" i="35"/>
  <c r="G21" i="35"/>
  <c r="K2" i="36"/>
  <c r="K22" i="36"/>
  <c r="L24" i="36"/>
  <c r="L25" i="36"/>
  <c r="F11" i="36"/>
  <c r="Q11" i="36"/>
  <c r="J4" i="37" s="1"/>
  <c r="F16" i="36"/>
  <c r="F18" i="36"/>
  <c r="F20" i="36"/>
  <c r="F22" i="36"/>
  <c r="F24" i="36"/>
  <c r="F26" i="36"/>
  <c r="L10" i="36"/>
  <c r="G11" i="36"/>
  <c r="L15" i="36"/>
  <c r="K17" i="36"/>
  <c r="K19" i="36"/>
  <c r="K21" i="36"/>
  <c r="K23" i="36"/>
  <c r="K25" i="36"/>
  <c r="Q3" i="34"/>
  <c r="D6" i="37" s="1"/>
  <c r="L2" i="35"/>
  <c r="Q11" i="35"/>
  <c r="J5" i="37" s="1"/>
  <c r="L22" i="35"/>
  <c r="L2" i="36"/>
  <c r="L17" i="36"/>
  <c r="F23" i="33"/>
  <c r="F9" i="34"/>
  <c r="F13" i="34"/>
  <c r="F19" i="34"/>
  <c r="F2" i="35"/>
  <c r="F6" i="35"/>
  <c r="F2" i="36"/>
  <c r="G5" i="36"/>
  <c r="F12" i="36"/>
  <c r="G12" i="36"/>
  <c r="K16" i="28" l="1"/>
  <c r="L4" i="28"/>
  <c r="K19" i="10"/>
  <c r="L16" i="5"/>
  <c r="K40" i="9"/>
  <c r="K43" i="11"/>
  <c r="K45" i="14"/>
  <c r="L37" i="21"/>
  <c r="L27" i="36"/>
  <c r="L17" i="23"/>
  <c r="K29" i="6"/>
  <c r="K22" i="23"/>
  <c r="K26" i="8"/>
  <c r="L10" i="35"/>
  <c r="L13" i="32"/>
  <c r="L12" i="27"/>
  <c r="L31" i="25"/>
  <c r="K30" i="15"/>
  <c r="L6" i="10"/>
  <c r="L2" i="11"/>
  <c r="L33" i="9"/>
  <c r="K34" i="20"/>
  <c r="L4" i="6"/>
  <c r="L40" i="6"/>
  <c r="L27" i="9"/>
  <c r="K7" i="13"/>
  <c r="K32" i="20"/>
  <c r="K34" i="27"/>
  <c r="K31" i="20"/>
  <c r="L37" i="13"/>
  <c r="L12" i="30"/>
  <c r="K20" i="29"/>
  <c r="L20" i="24"/>
  <c r="K23" i="24"/>
  <c r="K17" i="26"/>
  <c r="K12" i="24"/>
  <c r="L3" i="23"/>
  <c r="K6" i="19"/>
  <c r="K32" i="18"/>
  <c r="K23" i="14"/>
  <c r="L25" i="11"/>
  <c r="K37" i="19"/>
  <c r="K24" i="5"/>
  <c r="K16" i="2"/>
  <c r="K3" i="36"/>
  <c r="L7" i="20"/>
  <c r="K19" i="5"/>
  <c r="L31" i="3"/>
  <c r="K49" i="10"/>
  <c r="K15" i="21"/>
  <c r="K9" i="33"/>
  <c r="L26" i="34"/>
  <c r="K14" i="32"/>
  <c r="K42" i="14"/>
  <c r="L22" i="5"/>
  <c r="L31" i="2"/>
  <c r="K33" i="30"/>
  <c r="N43" i="37"/>
  <c r="N42" i="37"/>
  <c r="J43" i="37"/>
  <c r="J42" i="37"/>
  <c r="D27" i="39" s="1"/>
  <c r="M43" i="37"/>
  <c r="M42" i="37"/>
  <c r="I42" i="37"/>
  <c r="D26" i="39" s="1"/>
  <c r="I43" i="37"/>
  <c r="D43" i="37"/>
  <c r="E15" i="39" s="1"/>
  <c r="D42" i="37"/>
  <c r="E42" i="37"/>
  <c r="E43" i="37"/>
  <c r="L10" i="6"/>
  <c r="L24" i="21"/>
  <c r="K11" i="19"/>
  <c r="K9" i="18"/>
  <c r="L36" i="14"/>
  <c r="K30" i="32"/>
  <c r="L9" i="31"/>
  <c r="K18" i="15"/>
  <c r="K26" i="7"/>
  <c r="L47" i="17"/>
  <c r="K5" i="3"/>
  <c r="L7" i="24"/>
  <c r="K24" i="18"/>
  <c r="L40" i="15"/>
  <c r="L43" i="9"/>
  <c r="K8" i="22"/>
  <c r="L20" i="22"/>
  <c r="K13" i="14"/>
  <c r="L13" i="11"/>
  <c r="L32" i="6"/>
  <c r="L17" i="18"/>
  <c r="L5" i="14"/>
  <c r="L17" i="4"/>
  <c r="L48" i="13"/>
  <c r="K59" i="15"/>
  <c r="L39" i="29"/>
  <c r="K26" i="31"/>
  <c r="K17" i="34"/>
  <c r="K13" i="17"/>
  <c r="L9" i="16"/>
  <c r="L10" i="15"/>
  <c r="L34" i="12"/>
  <c r="L30" i="8"/>
  <c r="L3" i="13"/>
  <c r="L41" i="6"/>
  <c r="K52" i="8"/>
  <c r="K44" i="19"/>
  <c r="K24" i="33"/>
  <c r="K20" i="32"/>
  <c r="K14" i="22"/>
  <c r="L11" i="7"/>
  <c r="K21" i="10"/>
  <c r="K46" i="7"/>
  <c r="K39" i="9"/>
  <c r="L33" i="27"/>
  <c r="L5" i="31"/>
  <c r="K27" i="25"/>
  <c r="K9" i="10"/>
  <c r="L18" i="9"/>
  <c r="L39" i="12"/>
  <c r="K48" i="8"/>
  <c r="K38" i="19"/>
  <c r="L39" i="37"/>
  <c r="L18" i="27"/>
  <c r="K18" i="23"/>
  <c r="K23" i="5"/>
  <c r="L22" i="2"/>
  <c r="K18" i="13"/>
  <c r="L28" i="28"/>
  <c r="K38" i="18"/>
  <c r="K7" i="33"/>
  <c r="L13" i="22"/>
  <c r="E26" i="39"/>
  <c r="K38" i="17"/>
  <c r="E16" i="39"/>
  <c r="L4" i="11"/>
  <c r="K16" i="11"/>
  <c r="L13" i="7"/>
  <c r="E27" i="39"/>
  <c r="L21" i="20"/>
  <c r="K14" i="10"/>
  <c r="K10" i="4"/>
  <c r="K15" i="13"/>
  <c r="G39" i="37"/>
  <c r="F39" i="37"/>
  <c r="L21" i="23"/>
  <c r="L23" i="8"/>
  <c r="K6" i="21"/>
  <c r="L15" i="34"/>
  <c r="L5" i="24"/>
  <c r="L41" i="19"/>
  <c r="K15" i="7"/>
  <c r="K5" i="29"/>
  <c r="K6" i="3"/>
  <c r="L27" i="31"/>
  <c r="L19" i="28"/>
  <c r="K3" i="32"/>
  <c r="L7" i="26"/>
  <c r="L35" i="25"/>
  <c r="K53" i="7"/>
  <c r="L40" i="21"/>
  <c r="K28" i="10"/>
  <c r="L28" i="20"/>
  <c r="K36" i="21"/>
  <c r="L19" i="9"/>
  <c r="K26" i="14"/>
  <c r="L20" i="26"/>
  <c r="L22" i="7"/>
  <c r="L35" i="11"/>
  <c r="K11" i="3"/>
  <c r="L33" i="3"/>
  <c r="K18" i="34"/>
  <c r="K8" i="36"/>
  <c r="L20" i="35"/>
  <c r="L3" i="26"/>
  <c r="K6" i="20"/>
  <c r="K5" i="36"/>
  <c r="K3" i="22"/>
  <c r="K8" i="16"/>
  <c r="K41" i="13"/>
  <c r="K36" i="11"/>
  <c r="L28" i="6"/>
  <c r="L13" i="2"/>
  <c r="K42" i="21"/>
  <c r="K28" i="29"/>
  <c r="K6" i="22"/>
  <c r="K45" i="15"/>
  <c r="L17" i="10"/>
  <c r="K26" i="9"/>
  <c r="L13" i="4"/>
  <c r="L38" i="26"/>
  <c r="K46" i="10"/>
  <c r="K23" i="7"/>
  <c r="L37" i="28"/>
  <c r="K27" i="30"/>
  <c r="L33" i="26"/>
  <c r="L19" i="18"/>
  <c r="K3" i="10"/>
  <c r="K23" i="6"/>
  <c r="K14" i="7"/>
  <c r="L46" i="14"/>
  <c r="L32" i="22"/>
  <c r="L44" i="16"/>
  <c r="K23" i="17"/>
  <c r="L31" i="21"/>
  <c r="L37" i="27"/>
  <c r="L53" i="10"/>
  <c r="K12" i="12"/>
  <c r="K10" i="12"/>
  <c r="K24" i="6"/>
  <c r="K13" i="3"/>
  <c r="K52" i="7"/>
  <c r="K49" i="16"/>
  <c r="K31" i="32"/>
  <c r="L12" i="8"/>
  <c r="K12" i="17"/>
  <c r="L5" i="2"/>
  <c r="K30" i="12"/>
  <c r="K12" i="11"/>
  <c r="L4" i="27"/>
  <c r="L2" i="19"/>
  <c r="K27" i="16"/>
  <c r="K5" i="11"/>
  <c r="K22" i="20"/>
  <c r="K29" i="23"/>
  <c r="L19" i="15"/>
  <c r="K14" i="9"/>
  <c r="K29" i="8"/>
  <c r="L49" i="17"/>
  <c r="L31" i="23"/>
  <c r="L29" i="30"/>
  <c r="K15" i="28"/>
  <c r="L30" i="6"/>
  <c r="K37" i="11"/>
  <c r="K33" i="14"/>
  <c r="K9" i="4"/>
  <c r="L50" i="13"/>
  <c r="L47" i="6"/>
  <c r="K29" i="28"/>
  <c r="K11" i="24"/>
  <c r="L16" i="23"/>
  <c r="L32" i="21"/>
  <c r="L18" i="16"/>
  <c r="L31" i="8"/>
  <c r="K24" i="19"/>
  <c r="L21" i="11"/>
  <c r="L3" i="12"/>
  <c r="K22" i="11"/>
  <c r="K43" i="19"/>
  <c r="L46" i="16"/>
  <c r="L10" i="14"/>
  <c r="K12" i="6"/>
  <c r="L30" i="30"/>
  <c r="L16" i="35"/>
  <c r="K22" i="27"/>
  <c r="L11" i="31"/>
  <c r="K35" i="6"/>
  <c r="L60" i="15"/>
  <c r="K34" i="23"/>
  <c r="K26" i="30"/>
  <c r="L34" i="9"/>
  <c r="L5" i="13"/>
  <c r="L48" i="14"/>
  <c r="L22" i="28"/>
  <c r="K9" i="14"/>
  <c r="K50" i="6"/>
  <c r="K52" i="13"/>
  <c r="K18" i="18"/>
  <c r="L39" i="24"/>
  <c r="L48" i="15"/>
  <c r="L22" i="19"/>
  <c r="K41" i="8"/>
  <c r="K39" i="15"/>
  <c r="K9" i="27"/>
  <c r="L10" i="20"/>
  <c r="L8" i="20"/>
  <c r="K12" i="14"/>
  <c r="K17" i="31"/>
  <c r="L6" i="25"/>
  <c r="K22" i="17"/>
  <c r="L47" i="18"/>
  <c r="K28" i="30"/>
  <c r="K25" i="24"/>
  <c r="L25" i="10"/>
  <c r="K29" i="11"/>
  <c r="L31" i="7"/>
  <c r="K36" i="29"/>
  <c r="L4" i="16"/>
  <c r="L25" i="32"/>
  <c r="K12" i="2"/>
  <c r="K3" i="30"/>
  <c r="L13" i="29"/>
  <c r="K6" i="27"/>
  <c r="K4" i="14"/>
  <c r="K43" i="12"/>
  <c r="K7" i="9"/>
  <c r="L50" i="7"/>
  <c r="K46" i="11"/>
  <c r="L33" i="23"/>
  <c r="K42" i="26"/>
  <c r="K29" i="27"/>
  <c r="K29" i="32"/>
  <c r="L22" i="30"/>
  <c r="L22" i="12"/>
  <c r="K24" i="4"/>
  <c r="L26" i="5"/>
  <c r="K9" i="36"/>
  <c r="K10" i="29"/>
  <c r="K21" i="18"/>
  <c r="K13" i="33"/>
  <c r="K9" i="30"/>
  <c r="L30" i="25"/>
  <c r="K21" i="24"/>
  <c r="L9" i="11"/>
  <c r="K41" i="9"/>
  <c r="L28" i="33"/>
  <c r="K25" i="30"/>
  <c r="L15" i="29"/>
  <c r="L21" i="14"/>
  <c r="K9" i="23"/>
  <c r="K21" i="7"/>
  <c r="L13" i="18"/>
  <c r="L32" i="29"/>
  <c r="K15" i="30"/>
  <c r="K54" i="15"/>
  <c r="K32" i="3"/>
  <c r="L11" i="36"/>
  <c r="L18" i="32"/>
  <c r="K25" i="21"/>
  <c r="K25" i="18"/>
  <c r="L33" i="17"/>
  <c r="K27" i="15"/>
  <c r="L6" i="12"/>
  <c r="L23" i="2"/>
  <c r="K39" i="20"/>
  <c r="L35" i="22"/>
  <c r="K43" i="14"/>
  <c r="K7" i="10"/>
  <c r="L8" i="12"/>
  <c r="L56" i="15"/>
  <c r="L28" i="3"/>
  <c r="L15" i="32"/>
  <c r="K12" i="31"/>
  <c r="K26" i="18"/>
  <c r="K25" i="16"/>
  <c r="K34" i="8"/>
  <c r="L22" i="8"/>
  <c r="K49" i="6"/>
  <c r="K46" i="13"/>
  <c r="K32" i="24"/>
  <c r="K37" i="10"/>
  <c r="L29" i="17"/>
  <c r="L45" i="11"/>
  <c r="L14" i="16"/>
  <c r="K24" i="16"/>
  <c r="K14" i="3"/>
  <c r="L51" i="13"/>
  <c r="L29" i="10"/>
  <c r="K47" i="9"/>
  <c r="K40" i="20"/>
  <c r="L42" i="22"/>
  <c r="L33" i="2"/>
  <c r="K45" i="13"/>
  <c r="L53" i="16"/>
  <c r="L32" i="33"/>
  <c r="K38" i="28"/>
  <c r="L49" i="9"/>
  <c r="K58" i="15"/>
  <c r="K26" i="33"/>
  <c r="K44" i="11"/>
  <c r="K35" i="3"/>
  <c r="K46" i="6"/>
  <c r="L44" i="10"/>
  <c r="L47" i="14"/>
  <c r="K45" i="12"/>
  <c r="K41" i="21"/>
  <c r="K40" i="25"/>
  <c r="K34" i="35"/>
  <c r="L35" i="5"/>
  <c r="K40" i="24"/>
  <c r="L53" i="17"/>
  <c r="L49" i="13"/>
  <c r="K29" i="33"/>
  <c r="K42" i="16"/>
  <c r="K9" i="32"/>
  <c r="L29" i="35"/>
  <c r="L22" i="31"/>
  <c r="L8" i="24"/>
  <c r="K8" i="25"/>
  <c r="K12" i="21"/>
  <c r="K3" i="21"/>
  <c r="K22" i="18"/>
  <c r="K40" i="16"/>
  <c r="K29" i="15"/>
  <c r="L40" i="10"/>
  <c r="L42" i="7"/>
  <c r="K35" i="8"/>
  <c r="L23" i="13"/>
  <c r="K33" i="8"/>
  <c r="L22" i="6"/>
  <c r="K21" i="3"/>
  <c r="L24" i="22"/>
  <c r="K43" i="17"/>
  <c r="L18" i="5"/>
  <c r="L10" i="8"/>
  <c r="L4" i="29"/>
  <c r="K12" i="26"/>
  <c r="L19" i="16"/>
  <c r="L32" i="11"/>
  <c r="K13" i="10"/>
  <c r="L7" i="35"/>
  <c r="L27" i="29"/>
  <c r="L28" i="22"/>
  <c r="K8" i="23"/>
  <c r="K31" i="19"/>
  <c r="L2" i="16"/>
  <c r="K2" i="17"/>
  <c r="L47" i="15"/>
  <c r="L27" i="11"/>
  <c r="L17" i="6"/>
  <c r="L13" i="23"/>
  <c r="K3" i="20"/>
  <c r="L41" i="10"/>
  <c r="K5" i="12"/>
  <c r="K12" i="10"/>
  <c r="L19" i="11"/>
  <c r="L7" i="3"/>
  <c r="K38" i="7"/>
  <c r="K25" i="3"/>
  <c r="K23" i="35"/>
  <c r="L2" i="28"/>
  <c r="K5" i="28"/>
  <c r="K30" i="20"/>
  <c r="K10" i="21"/>
  <c r="K25" i="20"/>
  <c r="K26" i="17"/>
  <c r="K5" i="16"/>
  <c r="K24" i="17"/>
  <c r="L34" i="10"/>
  <c r="K3" i="11"/>
  <c r="K3" i="3"/>
  <c r="L12" i="7"/>
  <c r="K8" i="32"/>
  <c r="L20" i="18"/>
  <c r="L33" i="15"/>
  <c r="K9" i="17"/>
  <c r="L32" i="10"/>
  <c r="K24" i="14"/>
  <c r="L21" i="2"/>
  <c r="K6" i="4"/>
  <c r="K5" i="4"/>
  <c r="L32" i="14"/>
  <c r="K27" i="12"/>
  <c r="L3" i="35"/>
  <c r="K21" i="29"/>
  <c r="L22" i="29"/>
  <c r="L31" i="22"/>
  <c r="L8" i="18"/>
  <c r="L2" i="18"/>
  <c r="L11" i="15"/>
  <c r="K19" i="14"/>
  <c r="K15" i="14"/>
  <c r="L13" i="9"/>
  <c r="L39" i="10"/>
  <c r="K2" i="12"/>
  <c r="L18" i="3"/>
  <c r="K19" i="32"/>
  <c r="K13" i="20"/>
  <c r="L39" i="13"/>
  <c r="L33" i="11"/>
  <c r="K35" i="9"/>
  <c r="K8" i="2"/>
  <c r="L5" i="25"/>
  <c r="L24" i="23"/>
  <c r="K34" i="18"/>
  <c r="L31" i="14"/>
  <c r="L30" i="7"/>
  <c r="K11" i="27"/>
  <c r="L28" i="23"/>
  <c r="L17" i="25"/>
  <c r="L11" i="16"/>
  <c r="L16" i="10"/>
  <c r="L13" i="16"/>
  <c r="K24" i="13"/>
  <c r="K16" i="32"/>
  <c r="K6" i="36"/>
  <c r="L3" i="27"/>
  <c r="L21" i="28"/>
  <c r="K17" i="22"/>
  <c r="L21" i="19"/>
  <c r="L17" i="17"/>
  <c r="L39" i="8"/>
  <c r="L6" i="6"/>
  <c r="K9" i="6"/>
  <c r="K20" i="28"/>
  <c r="K10" i="23"/>
  <c r="K6" i="16"/>
  <c r="L4" i="15"/>
  <c r="K23" i="26"/>
  <c r="L42" i="19"/>
  <c r="K38" i="23"/>
  <c r="L54" i="17"/>
  <c r="L36" i="5"/>
  <c r="K39" i="23"/>
  <c r="L37" i="26"/>
  <c r="K30" i="29"/>
  <c r="K28" i="34"/>
  <c r="K32" i="27"/>
  <c r="K51" i="12"/>
  <c r="K46" i="18"/>
  <c r="K34" i="26"/>
  <c r="L28" i="31"/>
  <c r="L47" i="16"/>
  <c r="K52" i="14"/>
  <c r="K42" i="24"/>
  <c r="K36" i="24"/>
  <c r="L39" i="21"/>
  <c r="L48" i="6"/>
  <c r="L29" i="36"/>
  <c r="K43" i="25"/>
  <c r="L36" i="2"/>
  <c r="K50" i="16"/>
  <c r="K59" i="16"/>
  <c r="L48" i="18"/>
  <c r="L25" i="31"/>
  <c r="K51" i="18"/>
  <c r="K35" i="35"/>
  <c r="L37" i="20"/>
  <c r="K30" i="14"/>
  <c r="K13" i="8"/>
  <c r="L6" i="33"/>
  <c r="L20" i="21"/>
  <c r="L30" i="19"/>
  <c r="L14" i="14"/>
  <c r="K23" i="15"/>
  <c r="L28" i="12"/>
  <c r="L10" i="11"/>
  <c r="K8" i="5"/>
  <c r="L38" i="24"/>
  <c r="K30" i="36"/>
  <c r="L46" i="12"/>
  <c r="K15" i="35"/>
  <c r="L19" i="22"/>
  <c r="L7" i="23"/>
  <c r="K30" i="11"/>
  <c r="K12" i="5"/>
  <c r="K25" i="2"/>
  <c r="L19" i="2"/>
  <c r="K8" i="6"/>
  <c r="K37" i="25"/>
  <c r="K53" i="14"/>
  <c r="L34" i="2"/>
  <c r="K22" i="22"/>
  <c r="K11" i="20"/>
  <c r="L22" i="3"/>
  <c r="L32" i="28"/>
  <c r="K44" i="22"/>
  <c r="L44" i="7"/>
  <c r="K9" i="3"/>
  <c r="L8" i="29"/>
  <c r="L11" i="8"/>
  <c r="L24" i="11"/>
  <c r="L40" i="14"/>
  <c r="K6" i="17"/>
  <c r="L30" i="13"/>
  <c r="K29" i="5"/>
  <c r="L27" i="4"/>
  <c r="L27" i="33"/>
  <c r="K10" i="33"/>
  <c r="L11" i="21"/>
  <c r="L3" i="24"/>
  <c r="L18" i="17"/>
  <c r="K2" i="13"/>
  <c r="L6" i="35"/>
  <c r="L18" i="30"/>
  <c r="L6" i="28"/>
  <c r="K23" i="20"/>
  <c r="L34" i="16"/>
  <c r="L35" i="29"/>
  <c r="L32" i="5"/>
  <c r="K33" i="35"/>
  <c r="L38" i="10"/>
  <c r="K30" i="9"/>
  <c r="K28" i="9"/>
  <c r="K2" i="23"/>
  <c r="L4" i="17"/>
  <c r="K4" i="7"/>
  <c r="K4" i="12"/>
  <c r="K6" i="18"/>
  <c r="K31" i="5"/>
  <c r="L23" i="21"/>
  <c r="L16" i="13"/>
  <c r="L41" i="17"/>
  <c r="L33" i="34"/>
  <c r="L34" i="28"/>
  <c r="L45" i="9"/>
  <c r="L44" i="6"/>
  <c r="K25" i="8"/>
  <c r="L23" i="22"/>
  <c r="K32" i="16"/>
  <c r="L45" i="17"/>
  <c r="Q8" i="7"/>
  <c r="H33" i="37" s="1"/>
  <c r="K36" i="8"/>
  <c r="K41" i="7"/>
  <c r="K5" i="9"/>
  <c r="K17" i="8"/>
  <c r="L6" i="7"/>
  <c r="K43" i="22"/>
  <c r="K31" i="36"/>
  <c r="L18" i="33"/>
  <c r="K7" i="22"/>
  <c r="L30" i="16"/>
  <c r="K27" i="14"/>
  <c r="K27" i="7"/>
  <c r="L35" i="23"/>
  <c r="K18" i="31"/>
  <c r="L14" i="26"/>
  <c r="L29" i="20"/>
  <c r="K17" i="13"/>
  <c r="L10" i="34"/>
  <c r="K30" i="27"/>
  <c r="K46" i="8"/>
  <c r="L7" i="8"/>
  <c r="L44" i="9"/>
  <c r="K34" i="5"/>
  <c r="L49" i="14"/>
  <c r="L44" i="8"/>
  <c r="L43" i="7"/>
  <c r="K30" i="22"/>
  <c r="L37" i="24"/>
  <c r="K19" i="19"/>
  <c r="L33" i="6"/>
  <c r="L50" i="8"/>
  <c r="K49" i="12"/>
  <c r="K44" i="21"/>
  <c r="L29" i="34"/>
  <c r="K32" i="36"/>
  <c r="L21" i="27"/>
  <c r="K35" i="14"/>
  <c r="K26" i="15"/>
  <c r="L18" i="11"/>
  <c r="L31" i="10"/>
  <c r="L18" i="7"/>
  <c r="L15" i="6"/>
  <c r="L18" i="6"/>
  <c r="K12" i="4"/>
  <c r="K25" i="26"/>
  <c r="L37" i="17"/>
  <c r="K33" i="36"/>
  <c r="L33" i="28"/>
  <c r="L39" i="25"/>
  <c r="K35" i="21"/>
  <c r="K8" i="33"/>
  <c r="K8" i="14"/>
  <c r="L38" i="25"/>
  <c r="K48" i="7"/>
  <c r="L53" i="8"/>
  <c r="K33" i="5"/>
  <c r="K53" i="11"/>
  <c r="K34" i="30"/>
  <c r="D16" i="39"/>
  <c r="K19" i="35"/>
  <c r="K8" i="31"/>
  <c r="K14" i="31"/>
  <c r="L10" i="32"/>
  <c r="K32" i="19"/>
  <c r="K35" i="17"/>
  <c r="K15" i="31"/>
  <c r="K11" i="18"/>
  <c r="K15" i="8"/>
  <c r="K28" i="2"/>
  <c r="K54" i="13"/>
  <c r="K31" i="11"/>
  <c r="L25" i="14"/>
  <c r="K45" i="8"/>
  <c r="L6" i="30"/>
  <c r="K12" i="25"/>
  <c r="K29" i="14"/>
  <c r="L28" i="13"/>
  <c r="K16" i="9"/>
  <c r="K37" i="6"/>
  <c r="K23" i="4"/>
  <c r="K13" i="30"/>
  <c r="L11" i="13"/>
  <c r="K51" i="17"/>
  <c r="L22" i="32"/>
  <c r="D15" i="39"/>
  <c r="K37" i="23"/>
  <c r="L33" i="29"/>
  <c r="Q2" i="19"/>
  <c r="C21" i="37" s="1"/>
  <c r="G21" i="37" s="1"/>
  <c r="Q8" i="17"/>
  <c r="K48" i="11"/>
  <c r="L55" i="13"/>
  <c r="K50" i="17"/>
  <c r="K31" i="31"/>
  <c r="L46" i="17"/>
  <c r="K42" i="20"/>
  <c r="L29" i="3"/>
  <c r="L38" i="21"/>
  <c r="K40" i="23"/>
  <c r="K39" i="26"/>
  <c r="K56" i="12"/>
  <c r="K49" i="11"/>
  <c r="L31" i="35"/>
  <c r="L30" i="5"/>
  <c r="K55" i="12"/>
  <c r="K55" i="14"/>
  <c r="L48" i="17"/>
  <c r="K43" i="21"/>
  <c r="L40" i="22"/>
  <c r="K41" i="24"/>
  <c r="K35" i="24"/>
  <c r="L39" i="22"/>
  <c r="L55" i="16"/>
  <c r="K52" i="16"/>
  <c r="K29" i="4"/>
  <c r="L56" i="14"/>
  <c r="L52" i="12"/>
  <c r="K51" i="11"/>
  <c r="K41" i="20"/>
  <c r="K41" i="22"/>
  <c r="L35" i="26"/>
  <c r="K47" i="8"/>
  <c r="K44" i="18"/>
  <c r="Q8" i="36"/>
  <c r="Q12" i="36" s="1"/>
  <c r="K53" i="12"/>
  <c r="L56" i="17"/>
  <c r="K34" i="24"/>
  <c r="K36" i="22"/>
  <c r="K30" i="4"/>
  <c r="L28" i="36"/>
  <c r="L25" i="29"/>
  <c r="L5" i="27"/>
  <c r="L7" i="25"/>
  <c r="K20" i="10"/>
  <c r="L35" i="12"/>
  <c r="Q8" i="4"/>
  <c r="H36" i="37" s="1"/>
  <c r="K36" i="37" s="1"/>
  <c r="K11" i="5"/>
  <c r="Q2" i="28"/>
  <c r="Q6" i="28" s="1"/>
  <c r="K24" i="24"/>
  <c r="L20" i="23"/>
  <c r="L15" i="17"/>
  <c r="K3" i="29"/>
  <c r="K8" i="10"/>
  <c r="L21" i="8"/>
  <c r="L15" i="5"/>
  <c r="L9" i="2"/>
  <c r="L7" i="4"/>
  <c r="L7" i="29"/>
  <c r="Q2" i="22"/>
  <c r="C18" i="37" s="1"/>
  <c r="G18" i="37" s="1"/>
  <c r="K21" i="21"/>
  <c r="K28" i="19"/>
  <c r="L36" i="15"/>
  <c r="L36" i="7"/>
  <c r="L2" i="3"/>
  <c r="Q2" i="5"/>
  <c r="C35" i="37" s="1"/>
  <c r="G35" i="37" s="1"/>
  <c r="K26" i="27"/>
  <c r="L32" i="25"/>
  <c r="L18" i="19"/>
  <c r="K17" i="24"/>
  <c r="K5" i="34"/>
  <c r="Q8" i="27"/>
  <c r="H13" i="37" s="1"/>
  <c r="K13" i="37" s="1"/>
  <c r="Q2" i="14"/>
  <c r="C26" i="37" s="1"/>
  <c r="F26" i="37" s="1"/>
  <c r="K23" i="27"/>
  <c r="K17" i="28"/>
  <c r="K8" i="27"/>
  <c r="L15" i="16"/>
  <c r="K34" i="14"/>
  <c r="L23" i="10"/>
  <c r="L30" i="10"/>
  <c r="K28" i="8"/>
  <c r="K11" i="6"/>
  <c r="K27" i="3"/>
  <c r="L26" i="3"/>
  <c r="K20" i="31"/>
  <c r="K11" i="9"/>
  <c r="K20" i="2"/>
  <c r="L26" i="19"/>
  <c r="K38" i="15"/>
  <c r="L17" i="11"/>
  <c r="K28" i="7"/>
  <c r="K22" i="15"/>
  <c r="L5" i="26"/>
  <c r="L4" i="24"/>
  <c r="L18" i="21"/>
  <c r="K18" i="21"/>
  <c r="L27" i="23"/>
  <c r="K27" i="23"/>
  <c r="L14" i="23"/>
  <c r="L29" i="18"/>
  <c r="L14" i="12"/>
  <c r="K7" i="7"/>
  <c r="K15" i="15"/>
  <c r="L19" i="12"/>
  <c r="K41" i="12"/>
  <c r="K7" i="36"/>
  <c r="K14" i="33"/>
  <c r="L3" i="28"/>
  <c r="K10" i="24"/>
  <c r="K3" i="2"/>
  <c r="L26" i="28"/>
  <c r="K22" i="24"/>
  <c r="K16" i="12"/>
  <c r="K28" i="11"/>
  <c r="K24" i="34"/>
  <c r="K6" i="32"/>
  <c r="Q8" i="25"/>
  <c r="Q10" i="25" s="1"/>
  <c r="Q2" i="27"/>
  <c r="C13" i="37" s="1"/>
  <c r="F13" i="37" s="1"/>
  <c r="Q2" i="20"/>
  <c r="C20" i="37" s="1"/>
  <c r="G20" i="37" s="1"/>
  <c r="L3" i="4"/>
  <c r="L29" i="29"/>
  <c r="L23" i="32"/>
  <c r="L34" i="19"/>
  <c r="L19" i="21"/>
  <c r="L24" i="15"/>
  <c r="L23" i="9"/>
  <c r="L42" i="11"/>
  <c r="K19" i="3"/>
  <c r="K16" i="34"/>
  <c r="K3" i="25"/>
  <c r="K25" i="22"/>
  <c r="K6" i="23"/>
  <c r="K8" i="15"/>
  <c r="L42" i="17"/>
  <c r="L20" i="20"/>
  <c r="L43" i="16"/>
  <c r="L44" i="15"/>
  <c r="L31" i="12"/>
  <c r="L34" i="11"/>
  <c r="K25" i="5"/>
  <c r="L32" i="26"/>
  <c r="L12" i="20"/>
  <c r="K18" i="4"/>
  <c r="L18" i="4"/>
  <c r="Q8" i="35"/>
  <c r="Q8" i="28"/>
  <c r="K12" i="13"/>
  <c r="L44" i="12"/>
  <c r="K21" i="13"/>
  <c r="Q2" i="7"/>
  <c r="C33" i="37" s="1"/>
  <c r="F33" i="37" s="1"/>
  <c r="L24" i="27"/>
  <c r="K24" i="27"/>
  <c r="L26" i="24"/>
  <c r="K19" i="25"/>
  <c r="L19" i="27"/>
  <c r="K7" i="16"/>
  <c r="K36" i="16"/>
  <c r="L23" i="12"/>
  <c r="L24" i="9"/>
  <c r="L5" i="15"/>
  <c r="K23" i="3"/>
  <c r="K11" i="4"/>
  <c r="Q2" i="36"/>
  <c r="Q4" i="36" s="1"/>
  <c r="L17" i="32"/>
  <c r="L11" i="22"/>
  <c r="K6" i="15"/>
  <c r="K34" i="15"/>
  <c r="L25" i="6"/>
  <c r="L20" i="5"/>
  <c r="Q2" i="26"/>
  <c r="Q6" i="26" s="1"/>
  <c r="K2" i="26"/>
  <c r="Q8" i="26"/>
  <c r="H14" i="37" s="1"/>
  <c r="L14" i="37" s="1"/>
  <c r="L2" i="26"/>
  <c r="L18" i="22"/>
  <c r="K18" i="22"/>
  <c r="Q8" i="32"/>
  <c r="Q2" i="32"/>
  <c r="Q6" i="32" s="1"/>
  <c r="K9" i="35"/>
  <c r="L21" i="33"/>
  <c r="K21" i="33"/>
  <c r="K27" i="35"/>
  <c r="K20" i="33"/>
  <c r="L24" i="26"/>
  <c r="K26" i="25"/>
  <c r="L26" i="25"/>
  <c r="L30" i="24"/>
  <c r="K30" i="24"/>
  <c r="K6" i="24"/>
  <c r="Q8" i="24"/>
  <c r="Q10" i="24" s="1"/>
  <c r="L29" i="19"/>
  <c r="K29" i="19"/>
  <c r="K20" i="19"/>
  <c r="L20" i="19"/>
  <c r="K3" i="17"/>
  <c r="L3" i="17"/>
  <c r="K28" i="14"/>
  <c r="L28" i="14"/>
  <c r="K7" i="17"/>
  <c r="L7" i="17"/>
  <c r="K44" i="14"/>
  <c r="L44" i="14"/>
  <c r="K9" i="13"/>
  <c r="L9" i="13"/>
  <c r="Q2" i="9"/>
  <c r="Q6" i="9" s="1"/>
  <c r="K8" i="9"/>
  <c r="K25" i="12"/>
  <c r="K25" i="13"/>
  <c r="K42" i="8"/>
  <c r="K3" i="6"/>
  <c r="L3" i="6"/>
  <c r="K3" i="5"/>
  <c r="Q8" i="5"/>
  <c r="L3" i="5"/>
  <c r="K4" i="4"/>
  <c r="L4" i="4"/>
  <c r="K20" i="6"/>
  <c r="L20" i="6"/>
  <c r="K21" i="16"/>
  <c r="L21" i="16"/>
  <c r="L23" i="23"/>
  <c r="K23" i="23"/>
  <c r="Q8" i="34"/>
  <c r="Q2" i="34"/>
  <c r="K2" i="34"/>
  <c r="Q2" i="30"/>
  <c r="Q4" i="30" s="1"/>
  <c r="Q8" i="30"/>
  <c r="K2" i="30"/>
  <c r="K7" i="31"/>
  <c r="K19" i="30"/>
  <c r="K13" i="27"/>
  <c r="L13" i="27"/>
  <c r="L28" i="25"/>
  <c r="L26" i="22"/>
  <c r="K26" i="22"/>
  <c r="K22" i="21"/>
  <c r="L22" i="21"/>
  <c r="K29" i="21"/>
  <c r="K30" i="21"/>
  <c r="L30" i="21"/>
  <c r="L16" i="20"/>
  <c r="K16" i="20"/>
  <c r="L5" i="20"/>
  <c r="K5" i="20"/>
  <c r="K31" i="18"/>
  <c r="L31" i="18"/>
  <c r="K14" i="19"/>
  <c r="L14" i="19"/>
  <c r="K12" i="16"/>
  <c r="L12" i="16"/>
  <c r="L10" i="18"/>
  <c r="K28" i="17"/>
  <c r="L28" i="17"/>
  <c r="Q2" i="17"/>
  <c r="K21" i="15"/>
  <c r="Q8" i="15"/>
  <c r="K15" i="12"/>
  <c r="L15" i="12"/>
  <c r="K11" i="11"/>
  <c r="K40" i="7"/>
  <c r="L8" i="13"/>
  <c r="K36" i="10"/>
  <c r="K15" i="4"/>
  <c r="L15" i="4"/>
  <c r="Q2" i="4"/>
  <c r="K7" i="6"/>
  <c r="L7" i="6"/>
  <c r="L14" i="2"/>
  <c r="K24" i="3"/>
  <c r="L24" i="3"/>
  <c r="Q2" i="35"/>
  <c r="L15" i="33"/>
  <c r="K15" i="33"/>
  <c r="Q2" i="33"/>
  <c r="L14" i="29"/>
  <c r="K16" i="26"/>
  <c r="L20" i="25"/>
  <c r="L15" i="22"/>
  <c r="K15" i="22"/>
  <c r="Q8" i="21"/>
  <c r="L2" i="21"/>
  <c r="K2" i="21"/>
  <c r="Q2" i="21"/>
  <c r="K4" i="21"/>
  <c r="K20" i="17"/>
  <c r="L20" i="17"/>
  <c r="Q8" i="13"/>
  <c r="K29" i="13"/>
  <c r="L29" i="13"/>
  <c r="K33" i="12"/>
  <c r="K26" i="12"/>
  <c r="L26" i="12"/>
  <c r="K14" i="5"/>
  <c r="L14" i="5"/>
  <c r="L40" i="7"/>
  <c r="Q8" i="10"/>
  <c r="K36" i="6"/>
  <c r="L36" i="6"/>
  <c r="Q8" i="8"/>
  <c r="K39" i="18"/>
  <c r="L39" i="18"/>
  <c r="K42" i="12"/>
  <c r="L42" i="12"/>
  <c r="Q8" i="33"/>
  <c r="K4" i="33"/>
  <c r="Q2" i="31"/>
  <c r="Q8" i="31"/>
  <c r="K18" i="29"/>
  <c r="L18" i="29"/>
  <c r="K18" i="28"/>
  <c r="L18" i="28"/>
  <c r="Q2" i="29"/>
  <c r="K33" i="24"/>
  <c r="Q2" i="25"/>
  <c r="K14" i="25"/>
  <c r="L4" i="25"/>
  <c r="K4" i="25"/>
  <c r="Q2" i="23"/>
  <c r="K3" i="19"/>
  <c r="Q8" i="19"/>
  <c r="L3" i="19"/>
  <c r="K29" i="16"/>
  <c r="L29" i="16"/>
  <c r="K27" i="13"/>
  <c r="K34" i="13"/>
  <c r="K36" i="12"/>
  <c r="K20" i="8"/>
  <c r="K4" i="8"/>
  <c r="K3" i="18"/>
  <c r="L3" i="18"/>
  <c r="Q2" i="10"/>
  <c r="K13" i="13"/>
  <c r="L13" i="13"/>
  <c r="K18" i="2"/>
  <c r="L18" i="2"/>
  <c r="K3" i="8"/>
  <c r="K28" i="5"/>
  <c r="L28" i="5"/>
  <c r="Q2" i="8"/>
  <c r="L11" i="2"/>
  <c r="Q2" i="13"/>
  <c r="K2" i="32"/>
  <c r="K13" i="35"/>
  <c r="Q8" i="29"/>
  <c r="L14" i="28"/>
  <c r="K18" i="25"/>
  <c r="L18" i="25"/>
  <c r="L4" i="22"/>
  <c r="K4" i="22"/>
  <c r="Q8" i="23"/>
  <c r="Q8" i="22"/>
  <c r="K22" i="26"/>
  <c r="L22" i="26"/>
  <c r="K7" i="19"/>
  <c r="L7" i="19"/>
  <c r="K35" i="15"/>
  <c r="L35" i="15"/>
  <c r="K14" i="17"/>
  <c r="L14" i="17"/>
  <c r="Q2" i="16"/>
  <c r="Q8" i="18"/>
  <c r="Q8" i="14"/>
  <c r="K3" i="14"/>
  <c r="L3" i="14"/>
  <c r="Q2" i="15"/>
  <c r="K4" i="13"/>
  <c r="K18" i="8"/>
  <c r="K17" i="12"/>
  <c r="Q2" i="12"/>
  <c r="K29" i="9"/>
  <c r="K10" i="3"/>
  <c r="L10" i="3"/>
  <c r="K16" i="3"/>
  <c r="L16" i="3"/>
  <c r="K6" i="34"/>
  <c r="L6" i="34"/>
  <c r="L24" i="20"/>
  <c r="K24" i="20"/>
  <c r="Q8" i="20"/>
  <c r="H20" i="37" s="1"/>
  <c r="K45" i="16"/>
  <c r="L45" i="16"/>
  <c r="Q8" i="16"/>
  <c r="Q2" i="18"/>
  <c r="L28" i="15"/>
  <c r="K39" i="11"/>
  <c r="Q8" i="12"/>
  <c r="Q2" i="11"/>
  <c r="Q8" i="9"/>
  <c r="Q2" i="6"/>
  <c r="K2" i="6"/>
  <c r="Q8" i="6"/>
  <c r="K4" i="2"/>
  <c r="L4" i="2"/>
  <c r="Q8" i="3"/>
  <c r="Q8" i="2"/>
  <c r="L12" i="33"/>
  <c r="K12" i="33"/>
  <c r="K11" i="32"/>
  <c r="K17" i="30"/>
  <c r="L17" i="30"/>
  <c r="L2" i="32"/>
  <c r="K4" i="31"/>
  <c r="L4" i="31"/>
  <c r="L3" i="31"/>
  <c r="K27" i="27"/>
  <c r="L27" i="27"/>
  <c r="K15" i="27"/>
  <c r="K6" i="26"/>
  <c r="L6" i="26"/>
  <c r="K30" i="26"/>
  <c r="L30" i="26"/>
  <c r="K15" i="25"/>
  <c r="L15" i="25"/>
  <c r="L11" i="23"/>
  <c r="K11" i="23"/>
  <c r="L5" i="21"/>
  <c r="Q10" i="27"/>
  <c r="Q2" i="24"/>
  <c r="K23" i="18"/>
  <c r="L23" i="18"/>
  <c r="K36" i="17"/>
  <c r="L36" i="17"/>
  <c r="K37" i="16"/>
  <c r="L37" i="16"/>
  <c r="K23" i="11"/>
  <c r="Q8" i="11"/>
  <c r="K14" i="6"/>
  <c r="L14" i="6"/>
  <c r="K17" i="7"/>
  <c r="L17" i="7"/>
  <c r="K15" i="2"/>
  <c r="L15" i="2"/>
  <c r="Q2" i="3"/>
  <c r="Q2" i="2"/>
  <c r="L7" i="2"/>
  <c r="Q12" i="7" l="1"/>
  <c r="Q4" i="5"/>
  <c r="Q6" i="5"/>
  <c r="Q12" i="4"/>
  <c r="Q6" i="20"/>
  <c r="Q12" i="27"/>
  <c r="Q4" i="22"/>
  <c r="Q6" i="22"/>
  <c r="Q10" i="7"/>
  <c r="Q4" i="27"/>
  <c r="Q6" i="7"/>
  <c r="Q4" i="7"/>
  <c r="Q6" i="19"/>
  <c r="Q4" i="19"/>
  <c r="Q10" i="4"/>
  <c r="K33" i="37"/>
  <c r="L33" i="37"/>
  <c r="Q6" i="14"/>
  <c r="Q4" i="14"/>
  <c r="G13" i="37"/>
  <c r="F20" i="37"/>
  <c r="G33" i="37"/>
  <c r="D31" i="39"/>
  <c r="D20" i="39"/>
  <c r="E30" i="39"/>
  <c r="E19" i="39"/>
  <c r="D19" i="39"/>
  <c r="D30" i="39"/>
  <c r="L13" i="37"/>
  <c r="E31" i="39"/>
  <c r="E20" i="39"/>
  <c r="Q12" i="6"/>
  <c r="H34" i="37"/>
  <c r="Q12" i="18"/>
  <c r="H22" i="37"/>
  <c r="Q12" i="12"/>
  <c r="H28" i="37"/>
  <c r="Q10" i="31"/>
  <c r="H9" i="37"/>
  <c r="Q4" i="4"/>
  <c r="C36" i="37"/>
  <c r="Q12" i="24"/>
  <c r="H16" i="37"/>
  <c r="F35" i="37"/>
  <c r="Q12" i="33"/>
  <c r="H7" i="37"/>
  <c r="Q6" i="24"/>
  <c r="C16" i="37"/>
  <c r="Q6" i="11"/>
  <c r="C29" i="37"/>
  <c r="K20" i="37"/>
  <c r="L20" i="37"/>
  <c r="Q4" i="25"/>
  <c r="C15" i="37"/>
  <c r="Q10" i="13"/>
  <c r="H27" i="37"/>
  <c r="Q6" i="13"/>
  <c r="C27" i="37"/>
  <c r="Q12" i="19"/>
  <c r="H21" i="37"/>
  <c r="Q4" i="31"/>
  <c r="C9" i="37"/>
  <c r="Q10" i="5"/>
  <c r="H35" i="37"/>
  <c r="Q4" i="9"/>
  <c r="C31" i="37"/>
  <c r="G26" i="37"/>
  <c r="F21" i="37"/>
  <c r="Q10" i="14"/>
  <c r="H26" i="37"/>
  <c r="Q6" i="35"/>
  <c r="C5" i="37"/>
  <c r="Q6" i="29"/>
  <c r="C11" i="37"/>
  <c r="Q10" i="17"/>
  <c r="H23" i="37"/>
  <c r="Q4" i="2"/>
  <c r="C38" i="37"/>
  <c r="Q4" i="6"/>
  <c r="C34" i="37"/>
  <c r="Q12" i="16"/>
  <c r="H24" i="37"/>
  <c r="Q6" i="16"/>
  <c r="C24" i="37"/>
  <c r="Q4" i="8"/>
  <c r="C32" i="37"/>
  <c r="Q4" i="23"/>
  <c r="C17" i="37"/>
  <c r="Q4" i="21"/>
  <c r="C19" i="37"/>
  <c r="Q4" i="17"/>
  <c r="C23" i="37"/>
  <c r="Q4" i="20"/>
  <c r="Q6" i="30"/>
  <c r="C10" i="37"/>
  <c r="Q4" i="26"/>
  <c r="C14" i="37"/>
  <c r="Q6" i="36"/>
  <c r="C4" i="37"/>
  <c r="Q10" i="15"/>
  <c r="H25" i="37"/>
  <c r="Q12" i="30"/>
  <c r="H10" i="37"/>
  <c r="Q10" i="36"/>
  <c r="H4" i="37"/>
  <c r="Q4" i="3"/>
  <c r="C37" i="37"/>
  <c r="Q12" i="11"/>
  <c r="H29" i="37"/>
  <c r="Q10" i="9"/>
  <c r="H31" i="37"/>
  <c r="Q10" i="22"/>
  <c r="H18" i="37"/>
  <c r="Q12" i="29"/>
  <c r="H11" i="37"/>
  <c r="Q6" i="10"/>
  <c r="C30" i="37"/>
  <c r="Q6" i="27"/>
  <c r="Q4" i="32"/>
  <c r="C8" i="37"/>
  <c r="Q10" i="28"/>
  <c r="H12" i="37"/>
  <c r="F18" i="37"/>
  <c r="L36" i="37"/>
  <c r="Q12" i="8"/>
  <c r="H32" i="37"/>
  <c r="Q4" i="12"/>
  <c r="C28" i="37"/>
  <c r="Q10" i="2"/>
  <c r="H38" i="37"/>
  <c r="Q10" i="10"/>
  <c r="H30" i="37"/>
  <c r="Q4" i="34"/>
  <c r="C6" i="37"/>
  <c r="Q10" i="32"/>
  <c r="H8" i="37"/>
  <c r="Q10" i="35"/>
  <c r="H5" i="37"/>
  <c r="Q12" i="25"/>
  <c r="H15" i="37"/>
  <c r="Q6" i="18"/>
  <c r="C22" i="37"/>
  <c r="Q12" i="23"/>
  <c r="H17" i="37"/>
  <c r="Q10" i="3"/>
  <c r="H37" i="37"/>
  <c r="Q4" i="15"/>
  <c r="C25" i="37"/>
  <c r="Q12" i="17"/>
  <c r="Q12" i="21"/>
  <c r="H19" i="37"/>
  <c r="Q6" i="33"/>
  <c r="C7" i="37"/>
  <c r="Q12" i="34"/>
  <c r="H6" i="37"/>
  <c r="Q4" i="28"/>
  <c r="C12" i="37"/>
  <c r="K14" i="37"/>
  <c r="Q12" i="28"/>
  <c r="Q6" i="25"/>
  <c r="Q12" i="35"/>
  <c r="Q4" i="35"/>
  <c r="Q6" i="34"/>
  <c r="Q10" i="34"/>
  <c r="Q4" i="33"/>
  <c r="Q12" i="32"/>
  <c r="Q6" i="23"/>
  <c r="Q12" i="22"/>
  <c r="Q10" i="21"/>
  <c r="Q10" i="19"/>
  <c r="Q6" i="17"/>
  <c r="Q12" i="15"/>
  <c r="Q12" i="13"/>
  <c r="Q12" i="10"/>
  <c r="Q4" i="10"/>
  <c r="Q12" i="9"/>
  <c r="Q10" i="8"/>
  <c r="Q12" i="5"/>
  <c r="Q6" i="4"/>
  <c r="Q6" i="3"/>
  <c r="Q6" i="2"/>
  <c r="Q6" i="12"/>
  <c r="Q12" i="14"/>
  <c r="Q10" i="18"/>
  <c r="Q6" i="31"/>
  <c r="Q10" i="6"/>
  <c r="Q4" i="24"/>
  <c r="Q12" i="3"/>
  <c r="Q4" i="29"/>
  <c r="Q10" i="23"/>
  <c r="Q6" i="8"/>
  <c r="Q4" i="16"/>
  <c r="Q10" i="16"/>
  <c r="Q4" i="18"/>
  <c r="Q10" i="11"/>
  <c r="Q4" i="13"/>
  <c r="Q12" i="2"/>
  <c r="Q10" i="12"/>
  <c r="Q6" i="6"/>
  <c r="Q12" i="26"/>
  <c r="Q10" i="26"/>
  <c r="Q6" i="15"/>
  <c r="Q10" i="29"/>
  <c r="Q10" i="33"/>
  <c r="Q10" i="20"/>
  <c r="Q12" i="20"/>
  <c r="Q4" i="11"/>
  <c r="Q10" i="30"/>
  <c r="Q6" i="21"/>
  <c r="Q12" i="31"/>
  <c r="C42" i="37" l="1"/>
  <c r="D14" i="39" s="1"/>
  <c r="C43" i="37"/>
  <c r="E14" i="39" s="1"/>
  <c r="H42" i="37"/>
  <c r="D25" i="39" s="1"/>
  <c r="H43" i="37"/>
  <c r="E25" i="39" s="1"/>
  <c r="K30" i="37"/>
  <c r="L30" i="37"/>
  <c r="K23" i="37"/>
  <c r="L23" i="37"/>
  <c r="K19" i="37"/>
  <c r="L19" i="37"/>
  <c r="K31" i="37"/>
  <c r="L31" i="37"/>
  <c r="K10" i="37"/>
  <c r="L10" i="37"/>
  <c r="G10" i="37"/>
  <c r="F10" i="37"/>
  <c r="K9" i="37"/>
  <c r="L9" i="37"/>
  <c r="K28" i="37"/>
  <c r="L28" i="37"/>
  <c r="L15" i="37"/>
  <c r="K15" i="37"/>
  <c r="G22" i="37"/>
  <c r="F22" i="37"/>
  <c r="G6" i="37"/>
  <c r="F6" i="37"/>
  <c r="K32" i="37"/>
  <c r="L32" i="37"/>
  <c r="G32" i="37"/>
  <c r="F32" i="37"/>
  <c r="G38" i="37"/>
  <c r="F38" i="37"/>
  <c r="L26" i="37"/>
  <c r="K26" i="37"/>
  <c r="F9" i="37"/>
  <c r="G9" i="37"/>
  <c r="F15" i="37"/>
  <c r="G15" i="37"/>
  <c r="L7" i="37"/>
  <c r="K7" i="37"/>
  <c r="F30" i="37"/>
  <c r="G30" i="37"/>
  <c r="F24" i="37"/>
  <c r="G24" i="37"/>
  <c r="K21" i="37"/>
  <c r="L21" i="37"/>
  <c r="K6" i="37"/>
  <c r="L6" i="37"/>
  <c r="K11" i="37"/>
  <c r="L11" i="37"/>
  <c r="G37" i="37"/>
  <c r="F37" i="37"/>
  <c r="G4" i="37"/>
  <c r="F4" i="37"/>
  <c r="K16" i="37"/>
  <c r="L16" i="37"/>
  <c r="K22" i="37"/>
  <c r="L22" i="37"/>
  <c r="K37" i="37"/>
  <c r="L37" i="37"/>
  <c r="L5" i="37"/>
  <c r="K5" i="37"/>
  <c r="K38" i="37"/>
  <c r="L38" i="37"/>
  <c r="K12" i="37"/>
  <c r="L12" i="37"/>
  <c r="G19" i="37"/>
  <c r="F19" i="37"/>
  <c r="L24" i="37"/>
  <c r="K24" i="37"/>
  <c r="F11" i="37"/>
  <c r="G11" i="37"/>
  <c r="F31" i="37"/>
  <c r="G31" i="37"/>
  <c r="F27" i="37"/>
  <c r="G27" i="37"/>
  <c r="G29" i="37"/>
  <c r="F29" i="37"/>
  <c r="G12" i="37"/>
  <c r="F12" i="37"/>
  <c r="L29" i="37"/>
  <c r="K29" i="37"/>
  <c r="G23" i="37"/>
  <c r="F23" i="37"/>
  <c r="G7" i="37"/>
  <c r="F7" i="37"/>
  <c r="L18" i="37"/>
  <c r="K18" i="37"/>
  <c r="K4" i="37"/>
  <c r="L4" i="37"/>
  <c r="G14" i="37"/>
  <c r="F14" i="37"/>
  <c r="G36" i="37"/>
  <c r="F36" i="37"/>
  <c r="L34" i="37"/>
  <c r="K34" i="37"/>
  <c r="L25" i="37"/>
  <c r="K25" i="37"/>
  <c r="G25" i="37"/>
  <c r="F25" i="37"/>
  <c r="L17" i="37"/>
  <c r="K17" i="37"/>
  <c r="K8" i="37"/>
  <c r="L8" i="37"/>
  <c r="F28" i="37"/>
  <c r="G28" i="37"/>
  <c r="F8" i="37"/>
  <c r="G8" i="37"/>
  <c r="F17" i="37"/>
  <c r="G17" i="37"/>
  <c r="G34" i="37"/>
  <c r="F34" i="37"/>
  <c r="G5" i="37"/>
  <c r="F5" i="37"/>
  <c r="K35" i="37"/>
  <c r="L35" i="37"/>
  <c r="L27" i="37"/>
  <c r="K27" i="37"/>
  <c r="G16" i="37"/>
  <c r="F16" i="37"/>
  <c r="K43" i="37" l="1"/>
  <c r="E28" i="39" s="1"/>
  <c r="K42" i="37"/>
  <c r="D28" i="39" s="1"/>
  <c r="G43" i="37"/>
  <c r="G42" i="37"/>
  <c r="D18" i="39" s="1"/>
  <c r="L42" i="37"/>
  <c r="L43" i="37"/>
  <c r="E29" i="39" s="1"/>
  <c r="F43" i="37"/>
  <c r="F42" i="37"/>
  <c r="E17" i="39"/>
  <c r="D17" i="39"/>
  <c r="D29" i="39"/>
  <c r="E18" i="3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Jim</author>
  </authors>
  <commentList>
    <comment ref="D39" authorId="0" shapeId="0" xr:uid="{7B2B7FB8-B58A-4A0E-A3C3-1ADA4D2B51DF}">
      <text>
        <r>
          <rPr>
            <b/>
            <sz val="9"/>
            <color indexed="81"/>
            <rFont val="Tahoma"/>
            <family val="2"/>
          </rPr>
          <t>Jim:</t>
        </r>
        <r>
          <rPr>
            <sz val="9"/>
            <color indexed="81"/>
            <rFont val="Tahoma"/>
            <family val="2"/>
          </rPr>
          <t xml:space="preserve">
Can be found as Laclede (LG) 2015 EPS before the name change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Jim</author>
  </authors>
  <commentList>
    <comment ref="E46" authorId="0" shapeId="0" xr:uid="{FE82953A-C944-472C-97D9-2B4A934FD4A9}">
      <text>
        <r>
          <rPr>
            <b/>
            <sz val="9"/>
            <color indexed="81"/>
            <rFont val="Tahoma"/>
            <family val="2"/>
          </rPr>
          <t>Jim:</t>
        </r>
        <r>
          <rPr>
            <sz val="9"/>
            <color indexed="81"/>
            <rFont val="Tahoma"/>
            <family val="2"/>
          </rPr>
          <t xml:space="preserve">
Drops slightly after acquisition of Nicor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Jim</author>
  </authors>
  <commentList>
    <comment ref="E50" authorId="0" shapeId="0" xr:uid="{CC89F361-284A-4573-AF3A-A080EF5F3DC0}">
      <text>
        <r>
          <rPr>
            <b/>
            <sz val="9"/>
            <color indexed="81"/>
            <rFont val="Tahoma"/>
            <family val="2"/>
          </rPr>
          <t>Jim:</t>
        </r>
        <r>
          <rPr>
            <sz val="9"/>
            <color indexed="81"/>
            <rFont val="Tahoma"/>
            <family val="2"/>
          </rPr>
          <t xml:space="preserve">
No WRDS pull found, so overriden to 2.16:
https://fintel.io/fg/us/gas/EarningsPerShareBasic</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Jim</author>
  </authors>
  <commentList>
    <comment ref="E50" authorId="0" shapeId="0" xr:uid="{913D858A-0E67-47DF-8D27-BAC60FD5C8AC}">
      <text>
        <r>
          <rPr>
            <b/>
            <sz val="9"/>
            <color indexed="81"/>
            <rFont val="Tahoma"/>
            <family val="2"/>
          </rPr>
          <t>Jim:</t>
        </r>
        <r>
          <rPr>
            <sz val="9"/>
            <color indexed="81"/>
            <rFont val="Tahoma"/>
            <family val="2"/>
          </rPr>
          <t xml:space="preserve">
FY2010 EPS calculated from: 
https://fintel.io/fg/us/gas/EarningsPerShareDiluted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Jim</author>
  </authors>
  <commentList>
    <comment ref="E52" authorId="0" shapeId="0" xr:uid="{AEDDDC8E-BA89-4AEC-A948-CE627FF66762}">
      <text>
        <r>
          <rPr>
            <b/>
            <sz val="9"/>
            <color indexed="81"/>
            <rFont val="Tahoma"/>
            <family val="2"/>
          </rPr>
          <t>Jim:</t>
        </r>
        <r>
          <rPr>
            <sz val="9"/>
            <color indexed="81"/>
            <rFont val="Tahoma"/>
            <family val="2"/>
          </rPr>
          <t xml:space="preserve">
FY2009 earnings
https://fintel.io/fg/us/gas/EarningsPerShareDiluted</t>
        </r>
      </text>
    </comment>
  </commentList>
</comments>
</file>

<file path=xl/sharedStrings.xml><?xml version="1.0" encoding="utf-8"?>
<sst xmlns="http://schemas.openxmlformats.org/spreadsheetml/2006/main" count="3116" uniqueCount="347">
  <si>
    <t>Official Ticker</t>
  </si>
  <si>
    <t>IBES Ticker</t>
  </si>
  <si>
    <t>Company Name</t>
  </si>
  <si>
    <t>Annual EPS 2015</t>
  </si>
  <si>
    <t>Annual EPS 2019</t>
  </si>
  <si>
    <t>Mean Estimate</t>
  </si>
  <si>
    <t>Median Estimate</t>
  </si>
  <si>
    <t>Actual Growth Rate</t>
  </si>
  <si>
    <t>Mean Est. Growth Rate</t>
  </si>
  <si>
    <t>Median Est. Growth Rate</t>
  </si>
  <si>
    <t>Forecast Error for Mean</t>
  </si>
  <si>
    <t xml:space="preserve">Forecast Error for Median </t>
  </si>
  <si>
    <t>Number of Estimates</t>
  </si>
  <si>
    <t>Std. Dev</t>
  </si>
  <si>
    <t xml:space="preserve">Average Figures </t>
  </si>
  <si>
    <t>AEE</t>
  </si>
  <si>
    <t>Average Actual Long-term EPS Growth Rate</t>
  </si>
  <si>
    <t>ALE</t>
  </si>
  <si>
    <t>Average of Mean Est. Long-Term EPS Growth Rate</t>
  </si>
  <si>
    <t>BKH</t>
  </si>
  <si>
    <t>Forecast Error for Mean (%)</t>
  </si>
  <si>
    <t>CMS</t>
  </si>
  <si>
    <t>Average of Median Est. Long-Term EPS Growth Rate</t>
  </si>
  <si>
    <t>CNP</t>
  </si>
  <si>
    <t>Forecast Error for Median (%)</t>
  </si>
  <si>
    <t>D</t>
  </si>
  <si>
    <t>Median Figures</t>
  </si>
  <si>
    <t>DTE</t>
  </si>
  <si>
    <t>Median Actual Long-term EPS Growth Rate</t>
  </si>
  <si>
    <t>DUK</t>
  </si>
  <si>
    <t>Median of Mean Est. LT Growth Rate</t>
  </si>
  <si>
    <t>ED</t>
  </si>
  <si>
    <t>Forecast Error for Median of the Mean Est. (%)</t>
  </si>
  <si>
    <t>EIX</t>
  </si>
  <si>
    <t>Median of the Median Est. LT Growth Rate</t>
  </si>
  <si>
    <t>EXC</t>
  </si>
  <si>
    <t>HE</t>
  </si>
  <si>
    <t>Sample Size Statistics</t>
  </si>
  <si>
    <t>IDA</t>
  </si>
  <si>
    <t>Average # of Analysts</t>
  </si>
  <si>
    <t>LNT</t>
  </si>
  <si>
    <t>Number of Firms</t>
  </si>
  <si>
    <t>NEE</t>
  </si>
  <si>
    <t>NWE</t>
  </si>
  <si>
    <t>OGE</t>
  </si>
  <si>
    <t>PCG</t>
  </si>
  <si>
    <t>PEG</t>
  </si>
  <si>
    <t>PNM</t>
  </si>
  <si>
    <t>PNW</t>
  </si>
  <si>
    <t>POM</t>
  </si>
  <si>
    <t>POR</t>
  </si>
  <si>
    <t>PPL</t>
  </si>
  <si>
    <t>SCG</t>
  </si>
  <si>
    <t>SO</t>
  </si>
  <si>
    <t>SRE</t>
  </si>
  <si>
    <t>WEC</t>
  </si>
  <si>
    <t>XEL</t>
  </si>
  <si>
    <t>Annual EPS 2014</t>
  </si>
  <si>
    <t>Annual EPS 2018</t>
  </si>
  <si>
    <t>ETR</t>
  </si>
  <si>
    <t>NST</t>
  </si>
  <si>
    <t>Annual EPS 2013</t>
  </si>
  <si>
    <t>Annual EPS 2017</t>
  </si>
  <si>
    <t>AVA</t>
  </si>
  <si>
    <t>WR</t>
  </si>
  <si>
    <t>Annual EPS 2012</t>
  </si>
  <si>
    <t>Annual EPS 2016</t>
  </si>
  <si>
    <t>FE</t>
  </si>
  <si>
    <t>GXP</t>
  </si>
  <si>
    <t>OTTR</t>
  </si>
  <si>
    <t>Annual EPS 2011</t>
  </si>
  <si>
    <t>CNL</t>
  </si>
  <si>
    <t>EDE</t>
  </si>
  <si>
    <t>MGEE</t>
  </si>
  <si>
    <t>PGN</t>
  </si>
  <si>
    <t>TE</t>
  </si>
  <si>
    <t>VVC</t>
  </si>
  <si>
    <t>Annual EPS 2010</t>
  </si>
  <si>
    <t>NU</t>
  </si>
  <si>
    <t>UIL</t>
  </si>
  <si>
    <t>Annual EPS 2009</t>
  </si>
  <si>
    <t>Annual EPS 2008</t>
  </si>
  <si>
    <t>Annual EPS 2007</t>
  </si>
  <si>
    <t>CEG</t>
  </si>
  <si>
    <t>CV</t>
  </si>
  <si>
    <t>Annual EPS 2006</t>
  </si>
  <si>
    <t>DPL</t>
  </si>
  <si>
    <t>Annual EPS 2005</t>
  </si>
  <si>
    <t>CIN</t>
  </si>
  <si>
    <t>FPL</t>
  </si>
  <si>
    <t>Annual EPS 2004</t>
  </si>
  <si>
    <t>PSD</t>
  </si>
  <si>
    <t>Annual EPS 2003</t>
  </si>
  <si>
    <t>EAS</t>
  </si>
  <si>
    <t>Annual EPS 2002</t>
  </si>
  <si>
    <t>WPS</t>
  </si>
  <si>
    <t>Annual EPS 2001</t>
  </si>
  <si>
    <t>Annual EPS 2000</t>
  </si>
  <si>
    <t>Annual EPS 1999</t>
  </si>
  <si>
    <t>Annual EPS 1998</t>
  </si>
  <si>
    <t>Annual EPS 1997</t>
  </si>
  <si>
    <t>Annual EPS 1996</t>
  </si>
  <si>
    <t>Annual EPS 1995</t>
  </si>
  <si>
    <t>Annual EPS 1994</t>
  </si>
  <si>
    <t>Annual EPS 1993</t>
  </si>
  <si>
    <t>Annual EPS 1992</t>
  </si>
  <si>
    <t>Annual EPS 1991</t>
  </si>
  <si>
    <t>Annual EPS 1990</t>
  </si>
  <si>
    <t>Annual EPS 1989</t>
  </si>
  <si>
    <t>Annual EPS 1988</t>
  </si>
  <si>
    <t>Annual EPS 1987</t>
  </si>
  <si>
    <t>Annual EPS 1986</t>
  </si>
  <si>
    <t>Annual EPS 1985</t>
  </si>
  <si>
    <t>Annual EPS 1984</t>
  </si>
  <si>
    <t>Annual EPS 1983</t>
  </si>
  <si>
    <t>Annual EPS 1982</t>
  </si>
  <si>
    <t>Annual EPS 1981</t>
  </si>
  <si>
    <t xml:space="preserve">Year </t>
  </si>
  <si>
    <t>Mean Actual Long-Term Growth Rate</t>
  </si>
  <si>
    <t>Avg. Mean Est. Long-Term Growth Rate</t>
  </si>
  <si>
    <t>Avg. Median Est. Long-Term Growth Rate</t>
  </si>
  <si>
    <t>Forecast Error for the Avg. Mean Est. (%)</t>
  </si>
  <si>
    <t>Forecast Error for the Avg. Median Est (%)</t>
  </si>
  <si>
    <t>Median Actual Long-Term Growth Rate</t>
  </si>
  <si>
    <t>Median of the Mean Est. Long-Term Growth Rate</t>
  </si>
  <si>
    <t>Median of the Median Est. of the Long-Term Growth Rate</t>
  </si>
  <si>
    <t>Forecast Error for Median Mean Est.</t>
  </si>
  <si>
    <t>Forecast Error for Median Median Est.</t>
  </si>
  <si>
    <t>Average Number of Analyst Estimates</t>
  </si>
  <si>
    <t>README</t>
  </si>
  <si>
    <t>Overall Average</t>
  </si>
  <si>
    <t>Overall Median</t>
  </si>
  <si>
    <t>ATO</t>
  </si>
  <si>
    <t>CPK</t>
  </si>
  <si>
    <t>NJR</t>
  </si>
  <si>
    <t>NI</t>
  </si>
  <si>
    <t>NWN</t>
  </si>
  <si>
    <t>OGS</t>
  </si>
  <si>
    <t>SJI</t>
  </si>
  <si>
    <t>SWX</t>
  </si>
  <si>
    <t>SR</t>
  </si>
  <si>
    <t>-</t>
  </si>
  <si>
    <t>SPIRE INC</t>
  </si>
  <si>
    <t>LG</t>
  </si>
  <si>
    <t>GAS</t>
  </si>
  <si>
    <t>WGL</t>
  </si>
  <si>
    <t>PNY</t>
  </si>
  <si>
    <t>AGL RESOURCES</t>
  </si>
  <si>
    <t>ATG</t>
  </si>
  <si>
    <t>CGC</t>
  </si>
  <si>
    <t>KSE</t>
  </si>
  <si>
    <t>Ticker</t>
  </si>
  <si>
    <t>WRDS Input List</t>
  </si>
  <si>
    <t>IBES Tickers</t>
  </si>
  <si>
    <t>Current Utility Companies</t>
  </si>
  <si>
    <t>OFTICKER</t>
  </si>
  <si>
    <t>ALLETE, Inc.</t>
  </si>
  <si>
    <t>UEP</t>
  </si>
  <si>
    <t>Alliant Energy Corporation</t>
  </si>
  <si>
    <t>AGR</t>
  </si>
  <si>
    <t>00YE</t>
  </si>
  <si>
    <t>Ameren Corporation</t>
  </si>
  <si>
    <t>MPL</t>
  </si>
  <si>
    <t>Avangrid, Inc.</t>
  </si>
  <si>
    <t>WWP</t>
  </si>
  <si>
    <t>Avista Corporation</t>
  </si>
  <si>
    <t>BHP</t>
  </si>
  <si>
    <t>Black Hills Corporation</t>
  </si>
  <si>
    <t>BGE</t>
  </si>
  <si>
    <t>CenterPoint Energy, Inc.</t>
  </si>
  <si>
    <t>CMS Energy Corporation</t>
  </si>
  <si>
    <t>Consolidated Edison, Inc.</t>
  </si>
  <si>
    <t>Dominion Energy, Inc.</t>
  </si>
  <si>
    <t>HOU</t>
  </si>
  <si>
    <t>DTE Energy Corporation</t>
  </si>
  <si>
    <t>Duke Energy Corporation</t>
  </si>
  <si>
    <t>Edison International</t>
  </si>
  <si>
    <t>Entergy Corporation</t>
  </si>
  <si>
    <t>Evergy, Inc.</t>
  </si>
  <si>
    <t>EVRG</t>
  </si>
  <si>
    <t>Exelon Corporation</t>
  </si>
  <si>
    <t>NGE</t>
  </si>
  <si>
    <t>FirstEnergy Corp.</t>
  </si>
  <si>
    <t>Hawaiian Electric Industries, Inc.</t>
  </si>
  <si>
    <t>IDACORP, Inc.</t>
  </si>
  <si>
    <t>SCE</t>
  </si>
  <si>
    <t>MGE Energy, Inc.</t>
  </si>
  <si>
    <t>MSU</t>
  </si>
  <si>
    <t>NextEra Energy, Inc.</t>
  </si>
  <si>
    <t>KAN</t>
  </si>
  <si>
    <t>NorthWestern Corporation</t>
  </si>
  <si>
    <t>PE</t>
  </si>
  <si>
    <t>OGE Energy Corp.</t>
  </si>
  <si>
    <t>OEC</t>
  </si>
  <si>
    <t>Otter Tail Corporation</t>
  </si>
  <si>
    <t>PG&amp;E Corporation</t>
  </si>
  <si>
    <t>KLT</t>
  </si>
  <si>
    <t>Pinnacle West Capital Corporation</t>
  </si>
  <si>
    <t>PNM Resources, Inc.</t>
  </si>
  <si>
    <t>Portland General Electric Company</t>
  </si>
  <si>
    <t>WPL</t>
  </si>
  <si>
    <t>PPL Corporation</t>
  </si>
  <si>
    <t>MDSN</t>
  </si>
  <si>
    <t>Public Service Enterprise Group Incorporated</t>
  </si>
  <si>
    <t>Sempra Energy</t>
  </si>
  <si>
    <t>@T6I</t>
  </si>
  <si>
    <t>The Southern Company</t>
  </si>
  <si>
    <t>WEC Energy Group, Inc.</t>
  </si>
  <si>
    <t>NWPS</t>
  </si>
  <si>
    <t xml:space="preserve">Xcel Energy Inc. </t>
  </si>
  <si>
    <t>Old Utility Companies</t>
  </si>
  <si>
    <t>Year Acquired</t>
  </si>
  <si>
    <t>Acquirer</t>
  </si>
  <si>
    <t>Cleco Corporation</t>
  </si>
  <si>
    <t>El Paso Electric Company</t>
  </si>
  <si>
    <t>EE</t>
  </si>
  <si>
    <t>CPL</t>
  </si>
  <si>
    <t>Great Plains Energy Incorporated</t>
  </si>
  <si>
    <t>SCANA Corporation</t>
  </si>
  <si>
    <t>AZP</t>
  </si>
  <si>
    <t>Westar Energy, Inc.</t>
  </si>
  <si>
    <t>Pepco Holdings, Inc.</t>
  </si>
  <si>
    <t>PORO</t>
  </si>
  <si>
    <t>TECO Energy, Inc.</t>
  </si>
  <si>
    <t>Central Vermont Public Serv. Corp</t>
  </si>
  <si>
    <t>Northeast Utilities</t>
  </si>
  <si>
    <t>Progress Energy Inc</t>
  </si>
  <si>
    <t>DPL Inc</t>
  </si>
  <si>
    <t>SDO</t>
  </si>
  <si>
    <t>NSTAR</t>
  </si>
  <si>
    <t>UIL Holdings Corporation</t>
  </si>
  <si>
    <t>Florida P&amp;L</t>
  </si>
  <si>
    <t>SIG</t>
  </si>
  <si>
    <t>Energy East Corp.</t>
  </si>
  <si>
    <t>WPC</t>
  </si>
  <si>
    <t>Puget Energy</t>
  </si>
  <si>
    <t>WPS Resources</t>
  </si>
  <si>
    <t>Merged with People's Energy</t>
  </si>
  <si>
    <t>CINergy Corp</t>
  </si>
  <si>
    <t>Bought by Duke Energy for $9.1 bn in stock</t>
  </si>
  <si>
    <t>NSP</t>
  </si>
  <si>
    <t>Constellation Energy</t>
  </si>
  <si>
    <t>Bought by Exelon Corporation</t>
  </si>
  <si>
    <t>Vectren Corp</t>
  </si>
  <si>
    <t>Companies Used in Study</t>
  </si>
  <si>
    <t>Atmos Energy Company (NYSE-ATO)</t>
  </si>
  <si>
    <t>EGAS</t>
  </si>
  <si>
    <t>Chesapeake Utilities (NYSE-CPK)</t>
  </si>
  <si>
    <t>CHPK</t>
  </si>
  <si>
    <t>New Jersey Resources Corp. (NYSE-NJR)</t>
  </si>
  <si>
    <t>Nisource Inc (NYSE-NI)</t>
  </si>
  <si>
    <t>Northwest Natural Holdings (NYSE-NWN)</t>
  </si>
  <si>
    <t>NWNG</t>
  </si>
  <si>
    <t>ONE Gas, Inc.(NYSE-OGS)</t>
  </si>
  <si>
    <t>OGSW</t>
  </si>
  <si>
    <t>South Jersey Industries, Inc. (NYSE-SJI)</t>
  </si>
  <si>
    <t>Southwest Gas Company (NYSE-SWX)</t>
  </si>
  <si>
    <t>Spire (NYSE-SR)</t>
  </si>
  <si>
    <t>AGLT</t>
  </si>
  <si>
    <t>Acquisition Details</t>
  </si>
  <si>
    <t>AGL Resources</t>
  </si>
  <si>
    <t>*bought by Southern Company in 2017</t>
  </si>
  <si>
    <t>Laclede Group, Inc.</t>
  </si>
  <si>
    <t>*renamed to Spire in 2016, prompted by the company's M&amp;A initiatives</t>
  </si>
  <si>
    <t>Nicor</t>
  </si>
  <si>
    <t>*bought by AGL Resources in 2011, which was later bought by Southern Company Gas</t>
  </si>
  <si>
    <t>Piedmont Natural Gas, Inc.</t>
  </si>
  <si>
    <t>*bought by Duke Energy in 2016</t>
  </si>
  <si>
    <t>WGL Holdings, Inc.</t>
  </si>
  <si>
    <t xml:space="preserve">*Before 1998 was just Washington Gas, then became WGL Holdings in 2000 and was bought in 2017 AltaGas Ltd. </t>
  </si>
  <si>
    <t>MN</t>
  </si>
  <si>
    <t>Cascade Natural Gas Corp.</t>
  </si>
  <si>
    <t>*bought in 2007 by MDU Resources Group</t>
  </si>
  <si>
    <t>PGL</t>
  </si>
  <si>
    <t>Keyspan Corp.</t>
  </si>
  <si>
    <t>*bought by London-based National Grid in 2007, formed in 1998 by the merger of Brooklyn Union Gas and the electric-assets of Long Island Lighting Co (LILCO)</t>
  </si>
  <si>
    <t>Peoples Energy Corp.</t>
  </si>
  <si>
    <t>*bought by Integrys in 2007, which was later acquired by WEC Energy Group in 2015</t>
  </si>
  <si>
    <t>Statistic Measured</t>
  </si>
  <si>
    <t>Average</t>
  </si>
  <si>
    <t>Median</t>
  </si>
  <si>
    <t>Study 1: Mean Figures</t>
  </si>
  <si>
    <t>Study 2: Median Figures</t>
  </si>
  <si>
    <t>Measurements Defined</t>
  </si>
  <si>
    <t>Bought by Northeast Utilities</t>
  </si>
  <si>
    <t xml:space="preserve">&lt; - - - - - - - - READ ME </t>
  </si>
  <si>
    <t>READ ME - - - - - &gt;</t>
  </si>
  <si>
    <t>IMPORTANT NOTES</t>
  </si>
  <si>
    <r>
      <t xml:space="preserve">These graphs were creating using the </t>
    </r>
    <r>
      <rPr>
        <b/>
        <sz val="11"/>
        <color theme="1"/>
        <rFont val="Calibri"/>
        <family val="2"/>
        <scheme val="minor"/>
      </rPr>
      <t>median</t>
    </r>
    <r>
      <rPr>
        <sz val="11"/>
        <color theme="1"/>
        <rFont val="Calibri"/>
        <family val="2"/>
        <scheme val="minor"/>
      </rPr>
      <t xml:space="preserve"> of each statistic measured. Therefore, "Actual LTG Rate" here is the </t>
    </r>
    <r>
      <rPr>
        <b/>
        <sz val="11"/>
        <color theme="1"/>
        <rFont val="Calibri"/>
        <family val="2"/>
        <scheme val="minor"/>
      </rPr>
      <t>median</t>
    </r>
    <r>
      <rPr>
        <sz val="11"/>
        <color theme="1"/>
        <rFont val="Calibri"/>
        <family val="2"/>
        <scheme val="minor"/>
      </rPr>
      <t xml:space="preserve"> actual long-term growth rate of each year. "Median Est. LTG Rate" is the median of the </t>
    </r>
    <r>
      <rPr>
        <b/>
        <sz val="11"/>
        <color theme="1"/>
        <rFont val="Calibri"/>
        <family val="2"/>
        <scheme val="minor"/>
      </rPr>
      <t>median consensus</t>
    </r>
    <r>
      <rPr>
        <sz val="11"/>
        <color theme="1"/>
        <rFont val="Calibri"/>
        <family val="2"/>
        <scheme val="minor"/>
      </rPr>
      <t xml:space="preserve"> long-term growth rate projections from WRDS. "Mean Est. LTG Rate" is measured again by using the median of the reported </t>
    </r>
    <r>
      <rPr>
        <b/>
        <sz val="11"/>
        <color theme="1"/>
        <rFont val="Calibri"/>
        <family val="2"/>
        <scheme val="minor"/>
      </rPr>
      <t>mean consensus</t>
    </r>
    <r>
      <rPr>
        <sz val="11"/>
        <color theme="1"/>
        <rFont val="Calibri"/>
        <family val="2"/>
        <scheme val="minor"/>
      </rPr>
      <t xml:space="preserve"> long-term growth rate projections for each year from WRDS. The graph "Number of Firms and Number of Analysts" is the same in each study</t>
    </r>
  </si>
  <si>
    <t>READ ME - - - - -&gt;</t>
  </si>
  <si>
    <r>
      <t xml:space="preserve">Biggest thing to bear in mind is WRDS reports </t>
    </r>
    <r>
      <rPr>
        <b/>
        <sz val="11"/>
        <color theme="1"/>
        <rFont val="Calibri"/>
        <family val="2"/>
        <scheme val="minor"/>
      </rPr>
      <t>mean consensus</t>
    </r>
    <r>
      <rPr>
        <sz val="11"/>
        <color theme="1"/>
        <rFont val="Calibri"/>
        <family val="2"/>
        <scheme val="minor"/>
      </rPr>
      <t xml:space="preserve"> projections and </t>
    </r>
    <r>
      <rPr>
        <b/>
        <sz val="11"/>
        <color theme="1"/>
        <rFont val="Calibri"/>
        <family val="2"/>
        <scheme val="minor"/>
      </rPr>
      <t>median consensus</t>
    </r>
    <r>
      <rPr>
        <sz val="11"/>
        <color theme="1"/>
        <rFont val="Calibri"/>
        <family val="2"/>
        <scheme val="minor"/>
      </rPr>
      <t xml:space="preserve"> projections for long-term growth. In this study, we compare aggregate actual growth rates against these aggregate consensus projections. When taking the average or median of consensus estimates it results in descriptions such as "avg. mean est. long-term growth" or "median of the mean est. long-term growth" since the original statistic is reported as a mean consensus</t>
    </r>
    <r>
      <rPr>
        <b/>
        <sz val="11"/>
        <color theme="1"/>
        <rFont val="Calibri"/>
        <family val="2"/>
        <scheme val="minor"/>
      </rPr>
      <t xml:space="preserve"> </t>
    </r>
    <r>
      <rPr>
        <sz val="11"/>
        <color theme="1"/>
        <rFont val="Calibri"/>
        <family val="2"/>
        <scheme val="minor"/>
      </rPr>
      <t xml:space="preserve">or median consensus projection, but we are looking at the data in aggregation </t>
    </r>
  </si>
  <si>
    <r>
      <t xml:space="preserve">"avg. median est. long-term growth rate" is the average of the </t>
    </r>
    <r>
      <rPr>
        <b/>
        <sz val="11"/>
        <color theme="1"/>
        <rFont val="Calibri"/>
        <family val="2"/>
        <scheme val="minor"/>
      </rPr>
      <t>median consensus estimates</t>
    </r>
    <r>
      <rPr>
        <sz val="11"/>
        <color theme="1"/>
        <rFont val="Calibri"/>
        <family val="2"/>
        <scheme val="minor"/>
      </rPr>
      <t xml:space="preserve"> for each company's long-term growth projections</t>
    </r>
  </si>
  <si>
    <r>
      <t xml:space="preserve">-Calculated by ((Avg. </t>
    </r>
    <r>
      <rPr>
        <b/>
        <sz val="11"/>
        <color theme="1"/>
        <rFont val="Calibri"/>
        <family val="2"/>
        <scheme val="minor"/>
      </rPr>
      <t>Mean Consensus</t>
    </r>
    <r>
      <rPr>
        <sz val="11"/>
        <color theme="1"/>
        <rFont val="Calibri"/>
        <family val="2"/>
        <scheme val="minor"/>
      </rPr>
      <t xml:space="preserve"> Estimate - Actual LTG rate) / Actual LTG Rate).  </t>
    </r>
  </si>
  <si>
    <r>
      <t xml:space="preserve">-Calculated by ((Avg. </t>
    </r>
    <r>
      <rPr>
        <b/>
        <sz val="11"/>
        <color theme="1"/>
        <rFont val="Calibri"/>
        <family val="2"/>
        <scheme val="minor"/>
      </rPr>
      <t xml:space="preserve">Median Consensus </t>
    </r>
    <r>
      <rPr>
        <sz val="11"/>
        <color theme="1"/>
        <rFont val="Calibri"/>
        <family val="2"/>
        <scheme val="minor"/>
      </rPr>
      <t xml:space="preserve">Estimate - Actual LTG rate) / Actual LTG Rate).  </t>
    </r>
  </si>
  <si>
    <t>This is simply the average and median number of analysts covering each firm</t>
  </si>
  <si>
    <t>This refers to the average and median number of firms in the study</t>
  </si>
  <si>
    <r>
      <t xml:space="preserve">"avg. mean est. long-term growth rate" is the average of the </t>
    </r>
    <r>
      <rPr>
        <b/>
        <sz val="11"/>
        <color theme="1"/>
        <rFont val="Calibri"/>
        <family val="2"/>
        <scheme val="minor"/>
      </rPr>
      <t>mean consensus estimates</t>
    </r>
    <r>
      <rPr>
        <sz val="11"/>
        <color theme="1"/>
        <rFont val="Calibri"/>
        <family val="2"/>
        <scheme val="minor"/>
      </rPr>
      <t xml:space="preserve"> for each company's long-term growth projections</t>
    </r>
  </si>
  <si>
    <r>
      <t xml:space="preserve">"median of the mean est. long-term growth rate" is the median of the </t>
    </r>
    <r>
      <rPr>
        <b/>
        <sz val="11"/>
        <color theme="1"/>
        <rFont val="Calibri"/>
        <family val="2"/>
        <scheme val="minor"/>
      </rPr>
      <t>mean consensus estimates</t>
    </r>
    <r>
      <rPr>
        <sz val="11"/>
        <color theme="1"/>
        <rFont val="Calibri"/>
        <family val="2"/>
        <scheme val="minor"/>
      </rPr>
      <t xml:space="preserve"> for each company's long-term growth projections</t>
    </r>
  </si>
  <si>
    <r>
      <t xml:space="preserve">-Calculated by ((Median </t>
    </r>
    <r>
      <rPr>
        <b/>
        <sz val="11"/>
        <color theme="1"/>
        <rFont val="Calibri"/>
        <family val="2"/>
        <scheme val="minor"/>
      </rPr>
      <t>Mean Consensus</t>
    </r>
    <r>
      <rPr>
        <sz val="11"/>
        <color theme="1"/>
        <rFont val="Calibri"/>
        <family val="2"/>
        <scheme val="minor"/>
      </rPr>
      <t xml:space="preserve"> Estimate - Actual LTG rate) / Actual LTG Rate).  </t>
    </r>
  </si>
  <si>
    <r>
      <t xml:space="preserve">-Calculated by ((Median </t>
    </r>
    <r>
      <rPr>
        <b/>
        <sz val="11"/>
        <color theme="1"/>
        <rFont val="Calibri"/>
        <family val="2"/>
        <scheme val="minor"/>
      </rPr>
      <t xml:space="preserve">Median Consensus </t>
    </r>
    <r>
      <rPr>
        <sz val="11"/>
        <color theme="1"/>
        <rFont val="Calibri"/>
        <family val="2"/>
        <scheme val="minor"/>
      </rPr>
      <t xml:space="preserve">Estimate - Actual LTG rate) / Actual LTG Rate).  </t>
    </r>
  </si>
  <si>
    <t>-The average actual long-term growth rates for each year</t>
  </si>
  <si>
    <t>-The median actual long-term growth rates for each year</t>
  </si>
  <si>
    <r>
      <t xml:space="preserve">"median of the median est. long-term growth rate" is the average of the </t>
    </r>
    <r>
      <rPr>
        <b/>
        <sz val="11"/>
        <color theme="1"/>
        <rFont val="Calibri"/>
        <family val="2"/>
        <scheme val="minor"/>
      </rPr>
      <t>median consensus estimates</t>
    </r>
    <r>
      <rPr>
        <sz val="11"/>
        <color theme="1"/>
        <rFont val="Calibri"/>
        <family val="2"/>
        <scheme val="minor"/>
      </rPr>
      <t xml:space="preserve"> for each company's long-term growth projections</t>
    </r>
  </si>
  <si>
    <t>Notes for Mean Study Graphs (Study 1)</t>
  </si>
  <si>
    <t>Notes for Median Study Graphs (Study 2)</t>
  </si>
  <si>
    <r>
      <t xml:space="preserve">These graphs were creating using the average of each statistic measured. "Actual LTG Rate" here is the average actual long-term growth rate of each year. "Median Est. LTG Rate" is the average of the </t>
    </r>
    <r>
      <rPr>
        <b/>
        <sz val="11"/>
        <color theme="1"/>
        <rFont val="Calibri"/>
        <family val="2"/>
        <scheme val="minor"/>
      </rPr>
      <t xml:space="preserve">median consensus </t>
    </r>
    <r>
      <rPr>
        <sz val="11"/>
        <color theme="1"/>
        <rFont val="Calibri"/>
        <family val="2"/>
        <scheme val="minor"/>
      </rPr>
      <t xml:space="preserve">long-term growth rate projections from WRDS. "Mean Est. LTG Rate" is measured again by using the average of the </t>
    </r>
    <r>
      <rPr>
        <b/>
        <sz val="11"/>
        <color theme="1"/>
        <rFont val="Calibri"/>
        <family val="2"/>
        <scheme val="minor"/>
      </rPr>
      <t>mean consensus</t>
    </r>
    <r>
      <rPr>
        <sz val="11"/>
        <color theme="1"/>
        <rFont val="Calibri"/>
        <family val="2"/>
        <scheme val="minor"/>
      </rPr>
      <t xml:space="preserve"> long-term growth rate projections for each year from WRDS. Number of Firms vs Number of Analysts is the same in each study</t>
    </r>
  </si>
  <si>
    <t>Mean of all Estimates (Study 1)</t>
  </si>
  <si>
    <t>Median of all Estimates (Study 2)</t>
  </si>
  <si>
    <r>
      <t xml:space="preserve">I did two studies, one where I took the mean of each statistic measured and another where I took the median of each statistic measured. WRDS reports both the </t>
    </r>
    <r>
      <rPr>
        <b/>
        <sz val="11"/>
        <color theme="1"/>
        <rFont val="Calibri"/>
        <family val="2"/>
        <scheme val="minor"/>
      </rPr>
      <t xml:space="preserve">mean consensus </t>
    </r>
    <r>
      <rPr>
        <sz val="11"/>
        <color theme="1"/>
        <rFont val="Calibri"/>
        <family val="2"/>
        <scheme val="minor"/>
      </rPr>
      <t xml:space="preserve">and </t>
    </r>
    <r>
      <rPr>
        <b/>
        <sz val="11"/>
        <color theme="1"/>
        <rFont val="Calibri"/>
        <family val="2"/>
        <scheme val="minor"/>
      </rPr>
      <t>median consensus</t>
    </r>
    <r>
      <rPr>
        <sz val="11"/>
        <color theme="1"/>
        <rFont val="Calibri"/>
        <family val="2"/>
        <scheme val="minor"/>
      </rPr>
      <t xml:space="preserve"> LTG rate projections for each company, so this nomenclature may appear a little confusing at first. In Study 1: "Avg. Mean Est. Long-Term Growth Rate" refers to the average projected growth rate calculated from </t>
    </r>
    <r>
      <rPr>
        <b/>
        <sz val="11"/>
        <color theme="1"/>
        <rFont val="Calibri"/>
        <family val="2"/>
        <scheme val="minor"/>
      </rPr>
      <t xml:space="preserve">mean consensus </t>
    </r>
    <r>
      <rPr>
        <sz val="11"/>
        <color theme="1"/>
        <rFont val="Calibri"/>
        <family val="2"/>
        <scheme val="minor"/>
      </rPr>
      <t xml:space="preserve">estimates. "Avg. Median Est. Long-Term Growth Rate" is the average projected growth rate calculated from the </t>
    </r>
    <r>
      <rPr>
        <b/>
        <sz val="11"/>
        <color theme="1"/>
        <rFont val="Calibri"/>
        <family val="2"/>
        <scheme val="minor"/>
      </rPr>
      <t xml:space="preserve">median consensus </t>
    </r>
    <r>
      <rPr>
        <sz val="11"/>
        <color theme="1"/>
        <rFont val="Calibri"/>
        <family val="2"/>
        <scheme val="minor"/>
      </rPr>
      <t xml:space="preserve">estimates. In Study 2: "Median of the Mean Est...." refers to the median of the </t>
    </r>
    <r>
      <rPr>
        <b/>
        <sz val="11"/>
        <color theme="1"/>
        <rFont val="Calibri"/>
        <family val="2"/>
        <scheme val="minor"/>
      </rPr>
      <t>mean consensus</t>
    </r>
    <r>
      <rPr>
        <sz val="11"/>
        <color theme="1"/>
        <rFont val="Calibri"/>
        <family val="2"/>
        <scheme val="minor"/>
      </rPr>
      <t xml:space="preserve"> LTG projections from WRDS. "Median of the Median Est..." refers to the median of the </t>
    </r>
    <r>
      <rPr>
        <b/>
        <sz val="11"/>
        <color theme="1"/>
        <rFont val="Calibri"/>
        <family val="2"/>
        <scheme val="minor"/>
      </rPr>
      <t xml:space="preserve">median consensus </t>
    </r>
    <r>
      <rPr>
        <sz val="11"/>
        <color theme="1"/>
        <rFont val="Calibri"/>
        <family val="2"/>
        <scheme val="minor"/>
      </rPr>
      <t>LTG projections from WRDS.</t>
    </r>
  </si>
  <si>
    <t>Annual EPS 2020</t>
  </si>
  <si>
    <t>Annual EPS 2021</t>
  </si>
  <si>
    <t>PINNACLE WEST</t>
  </si>
  <si>
    <t>BLACK HILLS CP</t>
  </si>
  <si>
    <t>CMS ENERGY</t>
  </si>
  <si>
    <t>DOMINION INC</t>
  </si>
  <si>
    <t>DTE ENERGY</t>
  </si>
  <si>
    <t>DUKE ENERGY</t>
  </si>
  <si>
    <t>CONSOLIDATED EDI</t>
  </si>
  <si>
    <t>NEXTERA</t>
  </si>
  <si>
    <t>HAWAIIAN ELEC</t>
  </si>
  <si>
    <t>CENTERPNT ENERGY</t>
  </si>
  <si>
    <t>IDACORP INC.</t>
  </si>
  <si>
    <t>ALLETE INC</t>
  </si>
  <si>
    <t>ENTERGY</t>
  </si>
  <si>
    <t>XCEL ENERGY</t>
  </si>
  <si>
    <t>NORTHWESTERN US</t>
  </si>
  <si>
    <t>FIRSTENERGY</t>
  </si>
  <si>
    <t>OGE ENERGY CORP</t>
  </si>
  <si>
    <t>PG&amp;E US</t>
  </si>
  <si>
    <t>EXELON</t>
  </si>
  <si>
    <t>PSEG</t>
  </si>
  <si>
    <t>PNM RESOURCES</t>
  </si>
  <si>
    <t>PORTLAND GENERAL</t>
  </si>
  <si>
    <t>EDISON INTL</t>
  </si>
  <si>
    <t>SEMPRA ENER</t>
  </si>
  <si>
    <t>SOUTHERN CO</t>
  </si>
  <si>
    <t>AMEREN</t>
  </si>
  <si>
    <t>WEC ENERGY GROUP</t>
  </si>
  <si>
    <t>ALLIANT ENER</t>
  </si>
  <si>
    <t>AVISTA US</t>
  </si>
  <si>
    <t>CHESAPEAKE US</t>
  </si>
  <si>
    <t>ATMOS ENERGY CP</t>
  </si>
  <si>
    <t>NISOURCE</t>
  </si>
  <si>
    <t>NEW JERSEY RSRCE</t>
  </si>
  <si>
    <t>NORTHWEST NATRL</t>
  </si>
  <si>
    <t>ONE GAS INC</t>
  </si>
  <si>
    <t>SOUTHWEST HOLDG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</si>
</sst>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9"/>
      <color indexed="81"/>
      <name val="Tahoma"/>
      <family val="2"/>
    </font>
    <font>
      <sz val="9"/>
      <color indexed="81"/>
      <name val="Tahoma"/>
      <family val="2"/>
    </font>
    <font>
      <sz val="11"/>
      <color rgb="FF000000"/>
      <name val="Calibri"/>
      <family val="2"/>
      <scheme val="minor"/>
    </font>
    <font>
      <b/>
      <sz val="11"/>
      <color rgb="FF000000"/>
      <name val="Calibri"/>
      <family val="2"/>
      <scheme val="minor"/>
    </font>
    <font>
      <b/>
      <sz val="20"/>
      <color theme="1"/>
      <name val="Calibri"/>
      <family val="2"/>
      <scheme val="minor"/>
    </font>
    <font>
      <b/>
      <sz val="24"/>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rgb="FF003366"/>
        <bgColor indexed="64"/>
      </patternFill>
    </fill>
    <fill>
      <patternFill patternType="solid">
        <fgColor rgb="FFFFFF00"/>
        <bgColor indexed="64"/>
      </patternFill>
    </fill>
    <fill>
      <patternFill patternType="solid">
        <fgColor theme="2"/>
        <bgColor indexed="64"/>
      </patternFill>
    </fill>
    <fill>
      <patternFill patternType="solid">
        <fgColor theme="0"/>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15">
    <xf numFmtId="0" fontId="0" fillId="0" borderId="0" xfId="0"/>
    <xf numFmtId="2" fontId="0" fillId="0" borderId="0" xfId="0" applyNumberFormat="1"/>
    <xf numFmtId="10" fontId="0" fillId="0" borderId="0" xfId="0" applyNumberFormat="1"/>
    <xf numFmtId="164" fontId="0" fillId="0" borderId="0" xfId="0" applyNumberFormat="1"/>
    <xf numFmtId="9" fontId="0" fillId="0" borderId="0" xfId="1" applyFont="1"/>
    <xf numFmtId="165" fontId="0" fillId="0" borderId="0" xfId="0" applyNumberFormat="1"/>
    <xf numFmtId="0" fontId="2" fillId="0" borderId="0" xfId="0" applyFont="1" applyAlignment="1">
      <alignment wrapText="1"/>
    </xf>
    <xf numFmtId="0" fontId="2" fillId="3" borderId="4" xfId="0" applyFont="1" applyFill="1" applyBorder="1" applyAlignment="1">
      <alignment vertical="center" wrapText="1"/>
    </xf>
    <xf numFmtId="0" fontId="2" fillId="3" borderId="1" xfId="0" applyFont="1" applyFill="1" applyBorder="1" applyAlignment="1">
      <alignment wrapText="1"/>
    </xf>
    <xf numFmtId="0" fontId="2" fillId="3" borderId="2" xfId="0" applyFont="1" applyFill="1" applyBorder="1" applyAlignment="1">
      <alignment wrapText="1"/>
    </xf>
    <xf numFmtId="0" fontId="2" fillId="3" borderId="3" xfId="0" applyFont="1" applyFill="1" applyBorder="1" applyAlignment="1">
      <alignment wrapText="1"/>
    </xf>
    <xf numFmtId="0" fontId="0" fillId="0" borderId="4" xfId="0" applyBorder="1"/>
    <xf numFmtId="10" fontId="0" fillId="0" borderId="5" xfId="0" applyNumberFormat="1" applyBorder="1"/>
    <xf numFmtId="10" fontId="0" fillId="0" borderId="6" xfId="0" applyNumberFormat="1" applyBorder="1"/>
    <xf numFmtId="10" fontId="0" fillId="0" borderId="7" xfId="0" applyNumberFormat="1" applyBorder="1"/>
    <xf numFmtId="1" fontId="0" fillId="0" borderId="7" xfId="0" applyNumberFormat="1" applyBorder="1"/>
    <xf numFmtId="0" fontId="0" fillId="0" borderId="0" xfId="0" applyAlignment="1">
      <alignment horizontal="center"/>
    </xf>
    <xf numFmtId="0" fontId="0" fillId="0" borderId="0" xfId="0" applyAlignment="1">
      <alignment horizontal="center"/>
    </xf>
    <xf numFmtId="10" fontId="3" fillId="5" borderId="2" xfId="0" applyNumberFormat="1" applyFont="1" applyFill="1" applyBorder="1"/>
    <xf numFmtId="10" fontId="3" fillId="5" borderId="3" xfId="0" applyNumberFormat="1" applyFont="1" applyFill="1" applyBorder="1"/>
    <xf numFmtId="2" fontId="3" fillId="5" borderId="2" xfId="0" applyNumberFormat="1" applyFont="1" applyFill="1" applyBorder="1"/>
    <xf numFmtId="2" fontId="3" fillId="5" borderId="3" xfId="0" applyNumberFormat="1" applyFont="1" applyFill="1" applyBorder="1"/>
    <xf numFmtId="0" fontId="0" fillId="0" borderId="5" xfId="0" applyBorder="1"/>
    <xf numFmtId="0" fontId="3" fillId="5" borderId="0" xfId="0" applyFont="1" applyFill="1"/>
    <xf numFmtId="0" fontId="6" fillId="0" borderId="0" xfId="0" applyFont="1"/>
    <xf numFmtId="0" fontId="7" fillId="5" borderId="0" xfId="0" applyFont="1" applyFill="1"/>
    <xf numFmtId="14" fontId="0" fillId="0" borderId="0" xfId="0" applyNumberFormat="1"/>
    <xf numFmtId="0" fontId="3" fillId="5" borderId="8" xfId="0" applyFont="1" applyFill="1" applyBorder="1"/>
    <xf numFmtId="0" fontId="3" fillId="5" borderId="6" xfId="0" applyFont="1" applyFill="1" applyBorder="1"/>
    <xf numFmtId="0" fontId="0" fillId="0" borderId="7" xfId="0" applyBorder="1"/>
    <xf numFmtId="0" fontId="0" fillId="0" borderId="10" xfId="0" applyBorder="1"/>
    <xf numFmtId="0" fontId="0" fillId="0" borderId="12" xfId="0" applyBorder="1"/>
    <xf numFmtId="0" fontId="7" fillId="0" borderId="0" xfId="0" applyFont="1"/>
    <xf numFmtId="0" fontId="3" fillId="0" borderId="0" xfId="0" applyFont="1"/>
    <xf numFmtId="0" fontId="2" fillId="3" borderId="8" xfId="0" applyFont="1" applyFill="1" applyBorder="1"/>
    <xf numFmtId="0" fontId="2" fillId="3" borderId="6" xfId="0" applyFont="1" applyFill="1" applyBorder="1"/>
    <xf numFmtId="0" fontId="2" fillId="3" borderId="0" xfId="0" applyFont="1" applyFill="1"/>
    <xf numFmtId="0" fontId="0" fillId="5" borderId="5" xfId="0" applyFill="1" applyBorder="1" applyAlignment="1">
      <alignment wrapText="1"/>
    </xf>
    <xf numFmtId="2" fontId="0" fillId="0" borderId="5" xfId="0" applyNumberFormat="1" applyBorder="1"/>
    <xf numFmtId="2" fontId="0" fillId="0" borderId="7" xfId="0" applyNumberFormat="1" applyBorder="1"/>
    <xf numFmtId="0" fontId="0" fillId="5" borderId="10" xfId="0" applyFill="1" applyBorder="1" applyAlignment="1">
      <alignment wrapText="1"/>
    </xf>
    <xf numFmtId="2" fontId="0" fillId="0" borderId="10" xfId="0" applyNumberFormat="1" applyBorder="1"/>
    <xf numFmtId="2" fontId="0" fillId="0" borderId="12" xfId="0" applyNumberFormat="1" applyBorder="1"/>
    <xf numFmtId="0" fontId="2" fillId="0" borderId="0" xfId="0" applyFont="1" applyAlignment="1">
      <alignment horizontal="center"/>
    </xf>
    <xf numFmtId="10" fontId="0" fillId="5" borderId="5" xfId="0" applyNumberFormat="1" applyFill="1" applyBorder="1" applyAlignment="1">
      <alignment wrapText="1"/>
    </xf>
    <xf numFmtId="0" fontId="0" fillId="0" borderId="0" xfId="0" applyAlignment="1"/>
    <xf numFmtId="0" fontId="0" fillId="0" borderId="0" xfId="0" quotePrefix="1" applyBorder="1" applyAlignment="1">
      <alignment vertical="top" wrapText="1"/>
    </xf>
    <xf numFmtId="0" fontId="0" fillId="0" borderId="0" xfId="0" applyAlignment="1">
      <alignment horizontal="center" wrapText="1"/>
    </xf>
    <xf numFmtId="0" fontId="0" fillId="0" borderId="5" xfId="0" quotePrefix="1" applyBorder="1"/>
    <xf numFmtId="0" fontId="0" fillId="0" borderId="0" xfId="0" applyBorder="1"/>
    <xf numFmtId="10" fontId="0" fillId="0" borderId="0" xfId="0" applyNumberFormat="1" applyBorder="1"/>
    <xf numFmtId="0" fontId="0" fillId="0" borderId="0" xfId="0" applyFill="1" applyBorder="1" applyAlignment="1">
      <alignment horizontal="center" vertical="center" wrapText="1"/>
    </xf>
    <xf numFmtId="0" fontId="0" fillId="0" borderId="0" xfId="0" applyFill="1" applyBorder="1" applyAlignment="1">
      <alignment horizontal="center"/>
    </xf>
    <xf numFmtId="0" fontId="2" fillId="3" borderId="5" xfId="0" applyFont="1" applyFill="1" applyBorder="1" applyAlignment="1">
      <alignment horizontal="center"/>
    </xf>
    <xf numFmtId="0" fontId="2" fillId="3" borderId="0" xfId="0" applyFont="1" applyFill="1" applyBorder="1" applyAlignment="1">
      <alignment horizontal="center"/>
    </xf>
    <xf numFmtId="0" fontId="2" fillId="3" borderId="0" xfId="0" applyFont="1" applyFill="1" applyAlignment="1">
      <alignment horizontal="center"/>
    </xf>
    <xf numFmtId="0" fontId="3" fillId="4" borderId="1" xfId="0" applyFont="1" applyFill="1" applyBorder="1" applyAlignment="1">
      <alignment horizontal="center"/>
    </xf>
    <xf numFmtId="0" fontId="3" fillId="4" borderId="2" xfId="0" applyFont="1" applyFill="1" applyBorder="1" applyAlignment="1">
      <alignment horizontal="center"/>
    </xf>
    <xf numFmtId="0" fontId="3" fillId="4" borderId="3" xfId="0" applyFont="1" applyFill="1" applyBorder="1" applyAlignment="1">
      <alignment horizontal="center"/>
    </xf>
    <xf numFmtId="0" fontId="9" fillId="4" borderId="8" xfId="0" applyFont="1" applyFill="1" applyBorder="1" applyAlignment="1">
      <alignment horizontal="center" vertical="center"/>
    </xf>
    <xf numFmtId="0" fontId="9" fillId="4" borderId="9" xfId="0" applyFont="1" applyFill="1" applyBorder="1" applyAlignment="1">
      <alignment horizontal="center" vertical="center"/>
    </xf>
    <xf numFmtId="0" fontId="9" fillId="4" borderId="6" xfId="0" applyFont="1" applyFill="1" applyBorder="1" applyAlignment="1">
      <alignment horizontal="center" vertical="center"/>
    </xf>
    <xf numFmtId="0" fontId="9" fillId="4" borderId="5"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7" xfId="0" applyFont="1" applyFill="1" applyBorder="1" applyAlignment="1">
      <alignment horizontal="center" vertical="center"/>
    </xf>
    <xf numFmtId="0" fontId="9" fillId="4" borderId="10" xfId="0" applyFont="1" applyFill="1" applyBorder="1" applyAlignment="1">
      <alignment horizontal="center" vertical="center"/>
    </xf>
    <xf numFmtId="0" fontId="9" fillId="4" borderId="11" xfId="0" applyFont="1" applyFill="1" applyBorder="1" applyAlignment="1">
      <alignment horizontal="center" vertical="center"/>
    </xf>
    <xf numFmtId="0" fontId="9" fillId="4" borderId="12" xfId="0" applyFont="1" applyFill="1" applyBorder="1" applyAlignment="1">
      <alignment horizontal="center" vertical="center"/>
    </xf>
    <xf numFmtId="0" fontId="0" fillId="0" borderId="8" xfId="0" applyBorder="1" applyAlignment="1">
      <alignment horizontal="left" wrapText="1"/>
    </xf>
    <xf numFmtId="0" fontId="0" fillId="0" borderId="9" xfId="0" applyBorder="1" applyAlignment="1">
      <alignment horizontal="left" wrapText="1"/>
    </xf>
    <xf numFmtId="0" fontId="0" fillId="0" borderId="6" xfId="0" applyBorder="1" applyAlignment="1">
      <alignment horizontal="left" wrapText="1"/>
    </xf>
    <xf numFmtId="0" fontId="0" fillId="0" borderId="5" xfId="0" applyBorder="1" applyAlignment="1">
      <alignment horizontal="left" wrapText="1"/>
    </xf>
    <xf numFmtId="0" fontId="0" fillId="0" borderId="0" xfId="0" applyBorder="1" applyAlignment="1">
      <alignment horizontal="left" wrapText="1"/>
    </xf>
    <xf numFmtId="0" fontId="0" fillId="0" borderId="7" xfId="0" applyBorder="1" applyAlignment="1">
      <alignment horizontal="left" wrapText="1"/>
    </xf>
    <xf numFmtId="0" fontId="0" fillId="0" borderId="10" xfId="0"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0" fontId="0" fillId="0" borderId="5" xfId="0" applyBorder="1" applyAlignment="1">
      <alignment horizontal="center" vertical="top" wrapText="1"/>
    </xf>
    <xf numFmtId="0" fontId="0" fillId="0" borderId="0" xfId="0" applyAlignment="1">
      <alignment horizontal="center" vertical="top" wrapText="1"/>
    </xf>
    <xf numFmtId="0" fontId="0" fillId="0" borderId="7" xfId="0" applyBorder="1" applyAlignment="1">
      <alignment horizontal="center" vertical="top" wrapText="1"/>
    </xf>
    <xf numFmtId="0" fontId="0" fillId="0" borderId="10" xfId="0" applyBorder="1"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8" fillId="4" borderId="8"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7"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11" xfId="0" applyFont="1" applyFill="1" applyBorder="1" applyAlignment="1">
      <alignment horizontal="center" vertical="center"/>
    </xf>
    <xf numFmtId="0" fontId="8" fillId="4" borderId="12" xfId="0" applyFont="1" applyFill="1" applyBorder="1" applyAlignment="1">
      <alignment horizontal="center" vertical="center"/>
    </xf>
    <xf numFmtId="0" fontId="3" fillId="5" borderId="2" xfId="0" applyFont="1" applyFill="1" applyBorder="1" applyAlignment="1">
      <alignment horizontal="center"/>
    </xf>
    <xf numFmtId="0" fontId="3" fillId="5" borderId="3" xfId="0" applyFont="1" applyFill="1" applyBorder="1" applyAlignment="1">
      <alignment horizont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4" borderId="8" xfId="0" applyFill="1" applyBorder="1" applyAlignment="1">
      <alignment horizontal="center"/>
    </xf>
    <xf numFmtId="0" fontId="0" fillId="4" borderId="9" xfId="0" applyFill="1" applyBorder="1" applyAlignment="1">
      <alignment horizontal="center"/>
    </xf>
    <xf numFmtId="0" fontId="0" fillId="4" borderId="6" xfId="0" applyFill="1" applyBorder="1" applyAlignment="1">
      <alignment horizontal="center"/>
    </xf>
    <xf numFmtId="0" fontId="0" fillId="0" borderId="0" xfId="0" applyAlignment="1">
      <alignment horizontal="center"/>
    </xf>
    <xf numFmtId="0" fontId="0" fillId="0" borderId="8" xfId="0" quotePrefix="1" applyBorder="1" applyAlignment="1">
      <alignment horizontal="left" vertical="top" wrapText="1"/>
    </xf>
    <xf numFmtId="0" fontId="0" fillId="0" borderId="9" xfId="0" quotePrefix="1" applyBorder="1" applyAlignment="1">
      <alignment horizontal="left" vertical="top" wrapText="1"/>
    </xf>
    <xf numFmtId="0" fontId="0" fillId="0" borderId="6" xfId="0" quotePrefix="1" applyBorder="1" applyAlignment="1">
      <alignment horizontal="left" vertical="top" wrapText="1"/>
    </xf>
    <xf numFmtId="0" fontId="0" fillId="0" borderId="5" xfId="0" quotePrefix="1" applyBorder="1" applyAlignment="1">
      <alignment horizontal="left" vertical="top" wrapText="1"/>
    </xf>
    <xf numFmtId="0" fontId="0" fillId="0" borderId="0" xfId="0" quotePrefix="1" applyBorder="1" applyAlignment="1">
      <alignment horizontal="left" vertical="top" wrapText="1"/>
    </xf>
    <xf numFmtId="0" fontId="0" fillId="0" borderId="7" xfId="0" quotePrefix="1" applyBorder="1" applyAlignment="1">
      <alignment horizontal="left" vertical="top" wrapText="1"/>
    </xf>
    <xf numFmtId="0" fontId="0" fillId="0" borderId="10" xfId="0" quotePrefix="1" applyBorder="1" applyAlignment="1">
      <alignment horizontal="left" vertical="top" wrapText="1"/>
    </xf>
    <xf numFmtId="0" fontId="0" fillId="0" borderId="11" xfId="0" quotePrefix="1" applyBorder="1" applyAlignment="1">
      <alignment horizontal="left" vertical="top" wrapText="1"/>
    </xf>
    <xf numFmtId="0" fontId="0" fillId="0" borderId="12" xfId="0" quotePrefix="1" applyBorder="1" applyAlignment="1">
      <alignment horizontal="left" vertical="top" wrapText="1"/>
    </xf>
    <xf numFmtId="0" fontId="3" fillId="5" borderId="0" xfId="0" applyFont="1" applyFill="1" applyAlignment="1">
      <alignment horizontal="center"/>
    </xf>
    <xf numFmtId="0" fontId="0" fillId="2" borderId="0" xfId="0" applyFill="1" applyAlignment="1">
      <alignment horizontal="center"/>
    </xf>
    <xf numFmtId="0" fontId="0" fillId="6" borderId="0" xfId="0" applyFill="1"/>
    <xf numFmtId="0" fontId="0" fillId="6" borderId="0" xfId="0" applyFill="1" applyBorder="1" applyAlignment="1">
      <alignment horizontal="center"/>
    </xf>
    <xf numFmtId="0" fontId="0" fillId="6" borderId="0" xfId="0"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externalLink" Target="externalLinks/externalLink74.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externalLink" Target="externalLinks/externalLink20.xml"/><Relationship Id="rId84" Type="http://schemas.openxmlformats.org/officeDocument/2006/relationships/externalLink" Target="externalLinks/externalLink41.xml"/><Relationship Id="rId138" Type="http://schemas.openxmlformats.org/officeDocument/2006/relationships/externalLink" Target="externalLinks/externalLink95.xml"/><Relationship Id="rId159" Type="http://schemas.openxmlformats.org/officeDocument/2006/relationships/externalLink" Target="externalLinks/externalLink116.xml"/><Relationship Id="rId170" Type="http://schemas.openxmlformats.org/officeDocument/2006/relationships/externalLink" Target="externalLinks/externalLink127.xml"/><Relationship Id="rId191" Type="http://schemas.openxmlformats.org/officeDocument/2006/relationships/externalLink" Target="externalLinks/externalLink148.xml"/><Relationship Id="rId205" Type="http://schemas.openxmlformats.org/officeDocument/2006/relationships/customXml" Target="../customXml/item4.xml"/><Relationship Id="rId107" Type="http://schemas.openxmlformats.org/officeDocument/2006/relationships/externalLink" Target="externalLinks/externalLink64.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externalLink" Target="externalLinks/externalLink10.xml"/><Relationship Id="rId74" Type="http://schemas.openxmlformats.org/officeDocument/2006/relationships/externalLink" Target="externalLinks/externalLink31.xml"/><Relationship Id="rId128" Type="http://schemas.openxmlformats.org/officeDocument/2006/relationships/externalLink" Target="externalLinks/externalLink85.xml"/><Relationship Id="rId149" Type="http://schemas.openxmlformats.org/officeDocument/2006/relationships/externalLink" Target="externalLinks/externalLink106.xml"/><Relationship Id="rId5" Type="http://schemas.openxmlformats.org/officeDocument/2006/relationships/worksheet" Target="worksheets/sheet5.xml"/><Relationship Id="rId95" Type="http://schemas.openxmlformats.org/officeDocument/2006/relationships/externalLink" Target="externalLinks/externalLink52.xml"/><Relationship Id="rId160" Type="http://schemas.openxmlformats.org/officeDocument/2006/relationships/externalLink" Target="externalLinks/externalLink117.xml"/><Relationship Id="rId181" Type="http://schemas.openxmlformats.org/officeDocument/2006/relationships/externalLink" Target="externalLinks/externalLink138.xml"/><Relationship Id="rId22" Type="http://schemas.openxmlformats.org/officeDocument/2006/relationships/worksheet" Target="worksheets/sheet22.xml"/><Relationship Id="rId43" Type="http://schemas.openxmlformats.org/officeDocument/2006/relationships/worksheet" Target="worksheets/sheet43.xml"/><Relationship Id="rId64" Type="http://schemas.openxmlformats.org/officeDocument/2006/relationships/externalLink" Target="externalLinks/externalLink21.xml"/><Relationship Id="rId118" Type="http://schemas.openxmlformats.org/officeDocument/2006/relationships/externalLink" Target="externalLinks/externalLink75.xml"/><Relationship Id="rId139" Type="http://schemas.openxmlformats.org/officeDocument/2006/relationships/externalLink" Target="externalLinks/externalLink96.xml"/><Relationship Id="rId85" Type="http://schemas.openxmlformats.org/officeDocument/2006/relationships/externalLink" Target="externalLinks/externalLink42.xml"/><Relationship Id="rId150" Type="http://schemas.openxmlformats.org/officeDocument/2006/relationships/externalLink" Target="externalLinks/externalLink107.xml"/><Relationship Id="rId171" Type="http://schemas.openxmlformats.org/officeDocument/2006/relationships/externalLink" Target="externalLinks/externalLink128.xml"/><Relationship Id="rId192" Type="http://schemas.openxmlformats.org/officeDocument/2006/relationships/externalLink" Target="externalLinks/externalLink149.xml"/><Relationship Id="rId12" Type="http://schemas.openxmlformats.org/officeDocument/2006/relationships/worksheet" Target="worksheets/sheet12.xml"/><Relationship Id="rId33" Type="http://schemas.openxmlformats.org/officeDocument/2006/relationships/worksheet" Target="worksheets/sheet33.xml"/><Relationship Id="rId108" Type="http://schemas.openxmlformats.org/officeDocument/2006/relationships/externalLink" Target="externalLinks/externalLink65.xml"/><Relationship Id="rId129" Type="http://schemas.openxmlformats.org/officeDocument/2006/relationships/externalLink" Target="externalLinks/externalLink86.xml"/><Relationship Id="rId54" Type="http://schemas.openxmlformats.org/officeDocument/2006/relationships/externalLink" Target="externalLinks/externalLink11.xml"/><Relationship Id="rId75" Type="http://schemas.openxmlformats.org/officeDocument/2006/relationships/externalLink" Target="externalLinks/externalLink32.xml"/><Relationship Id="rId96" Type="http://schemas.openxmlformats.org/officeDocument/2006/relationships/externalLink" Target="externalLinks/externalLink53.xml"/><Relationship Id="rId140" Type="http://schemas.openxmlformats.org/officeDocument/2006/relationships/externalLink" Target="externalLinks/externalLink97.xml"/><Relationship Id="rId161" Type="http://schemas.openxmlformats.org/officeDocument/2006/relationships/externalLink" Target="externalLinks/externalLink118.xml"/><Relationship Id="rId182" Type="http://schemas.openxmlformats.org/officeDocument/2006/relationships/externalLink" Target="externalLinks/externalLink139.xml"/><Relationship Id="rId6" Type="http://schemas.openxmlformats.org/officeDocument/2006/relationships/worksheet" Target="worksheets/sheet6.xml"/><Relationship Id="rId23" Type="http://schemas.openxmlformats.org/officeDocument/2006/relationships/worksheet" Target="worksheets/sheet23.xml"/><Relationship Id="rId119" Type="http://schemas.openxmlformats.org/officeDocument/2006/relationships/externalLink" Target="externalLinks/externalLink76.xml"/><Relationship Id="rId44" Type="http://schemas.openxmlformats.org/officeDocument/2006/relationships/externalLink" Target="externalLinks/externalLink1.xml"/><Relationship Id="rId65" Type="http://schemas.openxmlformats.org/officeDocument/2006/relationships/externalLink" Target="externalLinks/externalLink22.xml"/><Relationship Id="rId86" Type="http://schemas.openxmlformats.org/officeDocument/2006/relationships/externalLink" Target="externalLinks/externalLink43.xml"/><Relationship Id="rId130" Type="http://schemas.openxmlformats.org/officeDocument/2006/relationships/externalLink" Target="externalLinks/externalLink87.xml"/><Relationship Id="rId151" Type="http://schemas.openxmlformats.org/officeDocument/2006/relationships/externalLink" Target="externalLinks/externalLink108.xml"/><Relationship Id="rId172" Type="http://schemas.openxmlformats.org/officeDocument/2006/relationships/externalLink" Target="externalLinks/externalLink129.xml"/><Relationship Id="rId193" Type="http://schemas.openxmlformats.org/officeDocument/2006/relationships/externalLink" Target="externalLinks/externalLink150.xml"/><Relationship Id="rId13" Type="http://schemas.openxmlformats.org/officeDocument/2006/relationships/worksheet" Target="worksheets/sheet13.xml"/><Relationship Id="rId109" Type="http://schemas.openxmlformats.org/officeDocument/2006/relationships/externalLink" Target="externalLinks/externalLink66.xml"/><Relationship Id="rId34" Type="http://schemas.openxmlformats.org/officeDocument/2006/relationships/worksheet" Target="worksheets/sheet34.xml"/><Relationship Id="rId55" Type="http://schemas.openxmlformats.org/officeDocument/2006/relationships/externalLink" Target="externalLinks/externalLink12.xml"/><Relationship Id="rId76" Type="http://schemas.openxmlformats.org/officeDocument/2006/relationships/externalLink" Target="externalLinks/externalLink33.xml"/><Relationship Id="rId97" Type="http://schemas.openxmlformats.org/officeDocument/2006/relationships/externalLink" Target="externalLinks/externalLink54.xml"/><Relationship Id="rId120" Type="http://schemas.openxmlformats.org/officeDocument/2006/relationships/externalLink" Target="externalLinks/externalLink77.xml"/><Relationship Id="rId141" Type="http://schemas.openxmlformats.org/officeDocument/2006/relationships/externalLink" Target="externalLinks/externalLink98.xml"/><Relationship Id="rId7" Type="http://schemas.openxmlformats.org/officeDocument/2006/relationships/worksheet" Target="worksheets/sheet7.xml"/><Relationship Id="rId162" Type="http://schemas.openxmlformats.org/officeDocument/2006/relationships/externalLink" Target="externalLinks/externalLink119.xml"/><Relationship Id="rId183" Type="http://schemas.openxmlformats.org/officeDocument/2006/relationships/externalLink" Target="externalLinks/externalLink140.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externalLink" Target="externalLinks/externalLink2.xml"/><Relationship Id="rId66" Type="http://schemas.openxmlformats.org/officeDocument/2006/relationships/externalLink" Target="externalLinks/externalLink23.xml"/><Relationship Id="rId87" Type="http://schemas.openxmlformats.org/officeDocument/2006/relationships/externalLink" Target="externalLinks/externalLink44.xml"/><Relationship Id="rId110" Type="http://schemas.openxmlformats.org/officeDocument/2006/relationships/externalLink" Target="externalLinks/externalLink67.xml"/><Relationship Id="rId115" Type="http://schemas.openxmlformats.org/officeDocument/2006/relationships/externalLink" Target="externalLinks/externalLink72.xml"/><Relationship Id="rId131" Type="http://schemas.openxmlformats.org/officeDocument/2006/relationships/externalLink" Target="externalLinks/externalLink88.xml"/><Relationship Id="rId136" Type="http://schemas.openxmlformats.org/officeDocument/2006/relationships/externalLink" Target="externalLinks/externalLink93.xml"/><Relationship Id="rId157" Type="http://schemas.openxmlformats.org/officeDocument/2006/relationships/externalLink" Target="externalLinks/externalLink114.xml"/><Relationship Id="rId178" Type="http://schemas.openxmlformats.org/officeDocument/2006/relationships/externalLink" Target="externalLinks/externalLink135.xml"/><Relationship Id="rId61" Type="http://schemas.openxmlformats.org/officeDocument/2006/relationships/externalLink" Target="externalLinks/externalLink18.xml"/><Relationship Id="rId82" Type="http://schemas.openxmlformats.org/officeDocument/2006/relationships/externalLink" Target="externalLinks/externalLink39.xml"/><Relationship Id="rId152" Type="http://schemas.openxmlformats.org/officeDocument/2006/relationships/externalLink" Target="externalLinks/externalLink109.xml"/><Relationship Id="rId173" Type="http://schemas.openxmlformats.org/officeDocument/2006/relationships/externalLink" Target="externalLinks/externalLink130.xml"/><Relationship Id="rId194" Type="http://schemas.openxmlformats.org/officeDocument/2006/relationships/externalLink" Target="externalLinks/externalLink151.xml"/><Relationship Id="rId199" Type="http://schemas.openxmlformats.org/officeDocument/2006/relationships/styles" Target="styles.xml"/><Relationship Id="rId203" Type="http://schemas.openxmlformats.org/officeDocument/2006/relationships/customXml" Target="../customXml/item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externalLink" Target="externalLinks/externalLink13.xml"/><Relationship Id="rId77" Type="http://schemas.openxmlformats.org/officeDocument/2006/relationships/externalLink" Target="externalLinks/externalLink34.xml"/><Relationship Id="rId100" Type="http://schemas.openxmlformats.org/officeDocument/2006/relationships/externalLink" Target="externalLinks/externalLink57.xml"/><Relationship Id="rId105" Type="http://schemas.openxmlformats.org/officeDocument/2006/relationships/externalLink" Target="externalLinks/externalLink62.xml"/><Relationship Id="rId126" Type="http://schemas.openxmlformats.org/officeDocument/2006/relationships/externalLink" Target="externalLinks/externalLink83.xml"/><Relationship Id="rId147" Type="http://schemas.openxmlformats.org/officeDocument/2006/relationships/externalLink" Target="externalLinks/externalLink104.xml"/><Relationship Id="rId168" Type="http://schemas.openxmlformats.org/officeDocument/2006/relationships/externalLink" Target="externalLinks/externalLink125.xml"/><Relationship Id="rId8" Type="http://schemas.openxmlformats.org/officeDocument/2006/relationships/worksheet" Target="worksheets/sheet8.xml"/><Relationship Id="rId51" Type="http://schemas.openxmlformats.org/officeDocument/2006/relationships/externalLink" Target="externalLinks/externalLink8.xml"/><Relationship Id="rId72" Type="http://schemas.openxmlformats.org/officeDocument/2006/relationships/externalLink" Target="externalLinks/externalLink29.xml"/><Relationship Id="rId93" Type="http://schemas.openxmlformats.org/officeDocument/2006/relationships/externalLink" Target="externalLinks/externalLink50.xml"/><Relationship Id="rId98" Type="http://schemas.openxmlformats.org/officeDocument/2006/relationships/externalLink" Target="externalLinks/externalLink55.xml"/><Relationship Id="rId121" Type="http://schemas.openxmlformats.org/officeDocument/2006/relationships/externalLink" Target="externalLinks/externalLink78.xml"/><Relationship Id="rId142" Type="http://schemas.openxmlformats.org/officeDocument/2006/relationships/externalLink" Target="externalLinks/externalLink99.xml"/><Relationship Id="rId163" Type="http://schemas.openxmlformats.org/officeDocument/2006/relationships/externalLink" Target="externalLinks/externalLink120.xml"/><Relationship Id="rId184" Type="http://schemas.openxmlformats.org/officeDocument/2006/relationships/externalLink" Target="externalLinks/externalLink141.xml"/><Relationship Id="rId189" Type="http://schemas.openxmlformats.org/officeDocument/2006/relationships/externalLink" Target="externalLinks/externalLink146.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externalLink" Target="externalLinks/externalLink3.xml"/><Relationship Id="rId67" Type="http://schemas.openxmlformats.org/officeDocument/2006/relationships/externalLink" Target="externalLinks/externalLink24.xml"/><Relationship Id="rId116" Type="http://schemas.openxmlformats.org/officeDocument/2006/relationships/externalLink" Target="externalLinks/externalLink73.xml"/><Relationship Id="rId137" Type="http://schemas.openxmlformats.org/officeDocument/2006/relationships/externalLink" Target="externalLinks/externalLink94.xml"/><Relationship Id="rId158" Type="http://schemas.openxmlformats.org/officeDocument/2006/relationships/externalLink" Target="externalLinks/externalLink115.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externalLink" Target="externalLinks/externalLink19.xml"/><Relationship Id="rId83" Type="http://schemas.openxmlformats.org/officeDocument/2006/relationships/externalLink" Target="externalLinks/externalLink40.xml"/><Relationship Id="rId88" Type="http://schemas.openxmlformats.org/officeDocument/2006/relationships/externalLink" Target="externalLinks/externalLink45.xml"/><Relationship Id="rId111" Type="http://schemas.openxmlformats.org/officeDocument/2006/relationships/externalLink" Target="externalLinks/externalLink68.xml"/><Relationship Id="rId132" Type="http://schemas.openxmlformats.org/officeDocument/2006/relationships/externalLink" Target="externalLinks/externalLink89.xml"/><Relationship Id="rId153" Type="http://schemas.openxmlformats.org/officeDocument/2006/relationships/externalLink" Target="externalLinks/externalLink110.xml"/><Relationship Id="rId174" Type="http://schemas.openxmlformats.org/officeDocument/2006/relationships/externalLink" Target="externalLinks/externalLink131.xml"/><Relationship Id="rId179" Type="http://schemas.openxmlformats.org/officeDocument/2006/relationships/externalLink" Target="externalLinks/externalLink136.xml"/><Relationship Id="rId195" Type="http://schemas.openxmlformats.org/officeDocument/2006/relationships/externalLink" Target="externalLinks/externalLink152.xml"/><Relationship Id="rId190" Type="http://schemas.openxmlformats.org/officeDocument/2006/relationships/externalLink" Target="externalLinks/externalLink147.xml"/><Relationship Id="rId204" Type="http://schemas.openxmlformats.org/officeDocument/2006/relationships/customXml" Target="../customXml/item3.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externalLink" Target="externalLinks/externalLink14.xml"/><Relationship Id="rId106" Type="http://schemas.openxmlformats.org/officeDocument/2006/relationships/externalLink" Target="externalLinks/externalLink63.xml"/><Relationship Id="rId127" Type="http://schemas.openxmlformats.org/officeDocument/2006/relationships/externalLink" Target="externalLinks/externalLink84.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externalLink" Target="externalLinks/externalLink9.xml"/><Relationship Id="rId73" Type="http://schemas.openxmlformats.org/officeDocument/2006/relationships/externalLink" Target="externalLinks/externalLink30.xml"/><Relationship Id="rId78" Type="http://schemas.openxmlformats.org/officeDocument/2006/relationships/externalLink" Target="externalLinks/externalLink35.xml"/><Relationship Id="rId94" Type="http://schemas.openxmlformats.org/officeDocument/2006/relationships/externalLink" Target="externalLinks/externalLink51.xml"/><Relationship Id="rId99" Type="http://schemas.openxmlformats.org/officeDocument/2006/relationships/externalLink" Target="externalLinks/externalLink56.xml"/><Relationship Id="rId101" Type="http://schemas.openxmlformats.org/officeDocument/2006/relationships/externalLink" Target="externalLinks/externalLink58.xml"/><Relationship Id="rId122" Type="http://schemas.openxmlformats.org/officeDocument/2006/relationships/externalLink" Target="externalLinks/externalLink79.xml"/><Relationship Id="rId143" Type="http://schemas.openxmlformats.org/officeDocument/2006/relationships/externalLink" Target="externalLinks/externalLink100.xml"/><Relationship Id="rId148" Type="http://schemas.openxmlformats.org/officeDocument/2006/relationships/externalLink" Target="externalLinks/externalLink105.xml"/><Relationship Id="rId164" Type="http://schemas.openxmlformats.org/officeDocument/2006/relationships/externalLink" Target="externalLinks/externalLink121.xml"/><Relationship Id="rId169" Type="http://schemas.openxmlformats.org/officeDocument/2006/relationships/externalLink" Target="externalLinks/externalLink126.xml"/><Relationship Id="rId185" Type="http://schemas.openxmlformats.org/officeDocument/2006/relationships/externalLink" Target="externalLinks/externalLink142.xml"/><Relationship Id="rId4" Type="http://schemas.openxmlformats.org/officeDocument/2006/relationships/worksheet" Target="worksheets/sheet4.xml"/><Relationship Id="rId9" Type="http://schemas.openxmlformats.org/officeDocument/2006/relationships/worksheet" Target="worksheets/sheet9.xml"/><Relationship Id="rId180" Type="http://schemas.openxmlformats.org/officeDocument/2006/relationships/externalLink" Target="externalLinks/externalLink137.xml"/><Relationship Id="rId26" Type="http://schemas.openxmlformats.org/officeDocument/2006/relationships/worksheet" Target="worksheets/sheet26.xml"/><Relationship Id="rId47" Type="http://schemas.openxmlformats.org/officeDocument/2006/relationships/externalLink" Target="externalLinks/externalLink4.xml"/><Relationship Id="rId68" Type="http://schemas.openxmlformats.org/officeDocument/2006/relationships/externalLink" Target="externalLinks/externalLink25.xml"/><Relationship Id="rId89" Type="http://schemas.openxmlformats.org/officeDocument/2006/relationships/externalLink" Target="externalLinks/externalLink46.xml"/><Relationship Id="rId112" Type="http://schemas.openxmlformats.org/officeDocument/2006/relationships/externalLink" Target="externalLinks/externalLink69.xml"/><Relationship Id="rId133" Type="http://schemas.openxmlformats.org/officeDocument/2006/relationships/externalLink" Target="externalLinks/externalLink90.xml"/><Relationship Id="rId154" Type="http://schemas.openxmlformats.org/officeDocument/2006/relationships/externalLink" Target="externalLinks/externalLink111.xml"/><Relationship Id="rId175" Type="http://schemas.openxmlformats.org/officeDocument/2006/relationships/externalLink" Target="externalLinks/externalLink132.xml"/><Relationship Id="rId196" Type="http://schemas.openxmlformats.org/officeDocument/2006/relationships/externalLink" Target="externalLinks/externalLink153.xml"/><Relationship Id="rId200" Type="http://schemas.openxmlformats.org/officeDocument/2006/relationships/sharedStrings" Target="sharedStrings.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externalLink" Target="externalLinks/externalLink15.xml"/><Relationship Id="rId79" Type="http://schemas.openxmlformats.org/officeDocument/2006/relationships/externalLink" Target="externalLinks/externalLink36.xml"/><Relationship Id="rId102" Type="http://schemas.openxmlformats.org/officeDocument/2006/relationships/externalLink" Target="externalLinks/externalLink59.xml"/><Relationship Id="rId123" Type="http://schemas.openxmlformats.org/officeDocument/2006/relationships/externalLink" Target="externalLinks/externalLink80.xml"/><Relationship Id="rId144" Type="http://schemas.openxmlformats.org/officeDocument/2006/relationships/externalLink" Target="externalLinks/externalLink101.xml"/><Relationship Id="rId90" Type="http://schemas.openxmlformats.org/officeDocument/2006/relationships/externalLink" Target="externalLinks/externalLink47.xml"/><Relationship Id="rId165" Type="http://schemas.openxmlformats.org/officeDocument/2006/relationships/externalLink" Target="externalLinks/externalLink122.xml"/><Relationship Id="rId186" Type="http://schemas.openxmlformats.org/officeDocument/2006/relationships/externalLink" Target="externalLinks/externalLink143.xml"/><Relationship Id="rId27" Type="http://schemas.openxmlformats.org/officeDocument/2006/relationships/worksheet" Target="worksheets/sheet27.xml"/><Relationship Id="rId48" Type="http://schemas.openxmlformats.org/officeDocument/2006/relationships/externalLink" Target="externalLinks/externalLink5.xml"/><Relationship Id="rId69" Type="http://schemas.openxmlformats.org/officeDocument/2006/relationships/externalLink" Target="externalLinks/externalLink26.xml"/><Relationship Id="rId113" Type="http://schemas.openxmlformats.org/officeDocument/2006/relationships/externalLink" Target="externalLinks/externalLink70.xml"/><Relationship Id="rId134" Type="http://schemas.openxmlformats.org/officeDocument/2006/relationships/externalLink" Target="externalLinks/externalLink91.xml"/><Relationship Id="rId80" Type="http://schemas.openxmlformats.org/officeDocument/2006/relationships/externalLink" Target="externalLinks/externalLink37.xml"/><Relationship Id="rId155" Type="http://schemas.openxmlformats.org/officeDocument/2006/relationships/externalLink" Target="externalLinks/externalLink112.xml"/><Relationship Id="rId176" Type="http://schemas.openxmlformats.org/officeDocument/2006/relationships/externalLink" Target="externalLinks/externalLink133.xml"/><Relationship Id="rId197" Type="http://schemas.openxmlformats.org/officeDocument/2006/relationships/externalLink" Target="externalLinks/externalLink154.xml"/><Relationship Id="rId201" Type="http://schemas.openxmlformats.org/officeDocument/2006/relationships/calcChain" Target="calcChain.xml"/><Relationship Id="rId17" Type="http://schemas.openxmlformats.org/officeDocument/2006/relationships/worksheet" Target="worksheets/sheet17.xml"/><Relationship Id="rId38" Type="http://schemas.openxmlformats.org/officeDocument/2006/relationships/worksheet" Target="worksheets/sheet38.xml"/><Relationship Id="rId59" Type="http://schemas.openxmlformats.org/officeDocument/2006/relationships/externalLink" Target="externalLinks/externalLink16.xml"/><Relationship Id="rId103" Type="http://schemas.openxmlformats.org/officeDocument/2006/relationships/externalLink" Target="externalLinks/externalLink60.xml"/><Relationship Id="rId124" Type="http://schemas.openxmlformats.org/officeDocument/2006/relationships/externalLink" Target="externalLinks/externalLink81.xml"/><Relationship Id="rId70" Type="http://schemas.openxmlformats.org/officeDocument/2006/relationships/externalLink" Target="externalLinks/externalLink27.xml"/><Relationship Id="rId91" Type="http://schemas.openxmlformats.org/officeDocument/2006/relationships/externalLink" Target="externalLinks/externalLink48.xml"/><Relationship Id="rId145" Type="http://schemas.openxmlformats.org/officeDocument/2006/relationships/externalLink" Target="externalLinks/externalLink102.xml"/><Relationship Id="rId166" Type="http://schemas.openxmlformats.org/officeDocument/2006/relationships/externalLink" Target="externalLinks/externalLink123.xml"/><Relationship Id="rId187" Type="http://schemas.openxmlformats.org/officeDocument/2006/relationships/externalLink" Target="externalLinks/externalLink144.xml"/><Relationship Id="rId1" Type="http://schemas.openxmlformats.org/officeDocument/2006/relationships/worksheet" Target="worksheets/sheet1.xml"/><Relationship Id="rId28" Type="http://schemas.openxmlformats.org/officeDocument/2006/relationships/worksheet" Target="worksheets/sheet28.xml"/><Relationship Id="rId49" Type="http://schemas.openxmlformats.org/officeDocument/2006/relationships/externalLink" Target="externalLinks/externalLink6.xml"/><Relationship Id="rId114" Type="http://schemas.openxmlformats.org/officeDocument/2006/relationships/externalLink" Target="externalLinks/externalLink71.xml"/><Relationship Id="rId60" Type="http://schemas.openxmlformats.org/officeDocument/2006/relationships/externalLink" Target="externalLinks/externalLink17.xml"/><Relationship Id="rId81" Type="http://schemas.openxmlformats.org/officeDocument/2006/relationships/externalLink" Target="externalLinks/externalLink38.xml"/><Relationship Id="rId135" Type="http://schemas.openxmlformats.org/officeDocument/2006/relationships/externalLink" Target="externalLinks/externalLink92.xml"/><Relationship Id="rId156" Type="http://schemas.openxmlformats.org/officeDocument/2006/relationships/externalLink" Target="externalLinks/externalLink113.xml"/><Relationship Id="rId177" Type="http://schemas.openxmlformats.org/officeDocument/2006/relationships/externalLink" Target="externalLinks/externalLink134.xml"/><Relationship Id="rId198" Type="http://schemas.openxmlformats.org/officeDocument/2006/relationships/theme" Target="theme/theme1.xml"/><Relationship Id="rId202" Type="http://schemas.openxmlformats.org/officeDocument/2006/relationships/customXml" Target="../customXml/item1.xml"/><Relationship Id="rId18" Type="http://schemas.openxmlformats.org/officeDocument/2006/relationships/worksheet" Target="worksheets/sheet18.xml"/><Relationship Id="rId39" Type="http://schemas.openxmlformats.org/officeDocument/2006/relationships/worksheet" Target="worksheets/sheet39.xml"/><Relationship Id="rId50" Type="http://schemas.openxmlformats.org/officeDocument/2006/relationships/externalLink" Target="externalLinks/externalLink7.xml"/><Relationship Id="rId104" Type="http://schemas.openxmlformats.org/officeDocument/2006/relationships/externalLink" Target="externalLinks/externalLink61.xml"/><Relationship Id="rId125" Type="http://schemas.openxmlformats.org/officeDocument/2006/relationships/externalLink" Target="externalLinks/externalLink82.xml"/><Relationship Id="rId146" Type="http://schemas.openxmlformats.org/officeDocument/2006/relationships/externalLink" Target="externalLinks/externalLink103.xml"/><Relationship Id="rId167" Type="http://schemas.openxmlformats.org/officeDocument/2006/relationships/externalLink" Target="externalLinks/externalLink124.xml"/><Relationship Id="rId188" Type="http://schemas.openxmlformats.org/officeDocument/2006/relationships/externalLink" Target="externalLinks/externalLink145.xml"/><Relationship Id="rId71" Type="http://schemas.openxmlformats.org/officeDocument/2006/relationships/externalLink" Target="externalLinks/externalLink28.xml"/><Relationship Id="rId92" Type="http://schemas.openxmlformats.org/officeDocument/2006/relationships/externalLink" Target="externalLinks/externalLink49.xml"/><Relationship Id="rId2" Type="http://schemas.openxmlformats.org/officeDocument/2006/relationships/worksheet" Target="worksheets/sheet2.xml"/><Relationship Id="rId29" Type="http://schemas.openxmlformats.org/officeDocument/2006/relationships/worksheet" Target="worksheets/sheet2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solidFill>
                  <a:sysClr val="windowText" lastClr="000000"/>
                </a:solidFill>
              </a:rPr>
              <a:t>Number of Firms</a:t>
            </a:r>
            <a:r>
              <a:rPr lang="en-US" baseline="0">
                <a:solidFill>
                  <a:sysClr val="windowText" lastClr="000000"/>
                </a:solidFill>
              </a:rPr>
              <a:t> and Number of Analysts</a:t>
            </a:r>
            <a:endParaRPr lang="en-US">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1"/>
          <c:order val="1"/>
          <c:tx>
            <c:strRef>
              <c:f>'Master Summary'!$N$3</c:f>
              <c:strCache>
                <c:ptCount val="1"/>
                <c:pt idx="0">
                  <c:v>Number of Firms</c:v>
                </c:pt>
              </c:strCache>
            </c:strRef>
          </c:tx>
          <c:spPr>
            <a:ln w="28575" cap="rnd">
              <a:solidFill>
                <a:srgbClr val="FF0000"/>
              </a:solidFill>
              <a:round/>
            </a:ln>
            <a:effectLst/>
          </c:spPr>
          <c:marker>
            <c:symbol val="none"/>
          </c:marker>
          <c:cat>
            <c:numRef>
              <c:f>'Master Summary'!$B$4:$B$40</c:f>
              <c:numCache>
                <c:formatCode>General</c:formatCode>
                <c:ptCount val="37"/>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pt idx="34">
                  <c:v>2019</c:v>
                </c:pt>
                <c:pt idx="35">
                  <c:v>2020</c:v>
                </c:pt>
                <c:pt idx="36">
                  <c:v>2021</c:v>
                </c:pt>
              </c:numCache>
            </c:numRef>
          </c:cat>
          <c:val>
            <c:numRef>
              <c:f>'Master Summary'!$N$4:$N$40</c:f>
              <c:numCache>
                <c:formatCode>0</c:formatCode>
                <c:ptCount val="37"/>
                <c:pt idx="0">
                  <c:v>32</c:v>
                </c:pt>
                <c:pt idx="1">
                  <c:v>35</c:v>
                </c:pt>
                <c:pt idx="2">
                  <c:v>32</c:v>
                </c:pt>
                <c:pt idx="3">
                  <c:v>31</c:v>
                </c:pt>
                <c:pt idx="4">
                  <c:v>31</c:v>
                </c:pt>
                <c:pt idx="5">
                  <c:v>30</c:v>
                </c:pt>
                <c:pt idx="6">
                  <c:v>33</c:v>
                </c:pt>
                <c:pt idx="7">
                  <c:v>38</c:v>
                </c:pt>
                <c:pt idx="8">
                  <c:v>37</c:v>
                </c:pt>
                <c:pt idx="9">
                  <c:v>36</c:v>
                </c:pt>
                <c:pt idx="10">
                  <c:v>41</c:v>
                </c:pt>
                <c:pt idx="11">
                  <c:v>42</c:v>
                </c:pt>
                <c:pt idx="12">
                  <c:v>42</c:v>
                </c:pt>
                <c:pt idx="13">
                  <c:v>39</c:v>
                </c:pt>
                <c:pt idx="14">
                  <c:v>43</c:v>
                </c:pt>
                <c:pt idx="15">
                  <c:v>43</c:v>
                </c:pt>
                <c:pt idx="16">
                  <c:v>41</c:v>
                </c:pt>
                <c:pt idx="17">
                  <c:v>45</c:v>
                </c:pt>
                <c:pt idx="18">
                  <c:v>52</c:v>
                </c:pt>
                <c:pt idx="19">
                  <c:v>56</c:v>
                </c:pt>
                <c:pt idx="20">
                  <c:v>59</c:v>
                </c:pt>
                <c:pt idx="21">
                  <c:v>60</c:v>
                </c:pt>
                <c:pt idx="22">
                  <c:v>55</c:v>
                </c:pt>
                <c:pt idx="23">
                  <c:v>54</c:v>
                </c:pt>
                <c:pt idx="24">
                  <c:v>55</c:v>
                </c:pt>
                <c:pt idx="25">
                  <c:v>53</c:v>
                </c:pt>
                <c:pt idx="26">
                  <c:v>52</c:v>
                </c:pt>
                <c:pt idx="27">
                  <c:v>48</c:v>
                </c:pt>
                <c:pt idx="28">
                  <c:v>52</c:v>
                </c:pt>
                <c:pt idx="29">
                  <c:v>52</c:v>
                </c:pt>
                <c:pt idx="30">
                  <c:v>49</c:v>
                </c:pt>
                <c:pt idx="31">
                  <c:v>38</c:v>
                </c:pt>
                <c:pt idx="32">
                  <c:v>34</c:v>
                </c:pt>
                <c:pt idx="33">
                  <c:v>35</c:v>
                </c:pt>
                <c:pt idx="34">
                  <c:v>38</c:v>
                </c:pt>
                <c:pt idx="35">
                  <c:v>37</c:v>
                </c:pt>
                <c:pt idx="36">
                  <c:v>38</c:v>
                </c:pt>
              </c:numCache>
            </c:numRef>
          </c:val>
          <c:smooth val="0"/>
          <c:extLst>
            <c:ext xmlns:c16="http://schemas.microsoft.com/office/drawing/2014/chart" uri="{C3380CC4-5D6E-409C-BE32-E72D297353CC}">
              <c16:uniqueId val="{00000000-5385-4757-9F8E-E31B2B2C199D}"/>
            </c:ext>
          </c:extLst>
        </c:ser>
        <c:dLbls>
          <c:showLegendKey val="0"/>
          <c:showVal val="0"/>
          <c:showCatName val="0"/>
          <c:showSerName val="0"/>
          <c:showPercent val="0"/>
          <c:showBubbleSize val="0"/>
        </c:dLbls>
        <c:marker val="1"/>
        <c:smooth val="0"/>
        <c:axId val="696658159"/>
        <c:axId val="696655247"/>
      </c:lineChart>
      <c:lineChart>
        <c:grouping val="standard"/>
        <c:varyColors val="0"/>
        <c:ser>
          <c:idx val="0"/>
          <c:order val="0"/>
          <c:tx>
            <c:strRef>
              <c:f>'Master Summary'!$M$3</c:f>
              <c:strCache>
                <c:ptCount val="1"/>
                <c:pt idx="0">
                  <c:v>Average Number of Analyst Estimates</c:v>
                </c:pt>
              </c:strCache>
            </c:strRef>
          </c:tx>
          <c:spPr>
            <a:ln w="28575" cap="rnd">
              <a:solidFill>
                <a:schemeClr val="accent1"/>
              </a:solidFill>
              <a:round/>
            </a:ln>
            <a:effectLst/>
          </c:spPr>
          <c:marker>
            <c:symbol val="none"/>
          </c:marker>
          <c:cat>
            <c:numRef>
              <c:f>'Master Summary'!$B$4:$B$40</c:f>
              <c:numCache>
                <c:formatCode>General</c:formatCode>
                <c:ptCount val="37"/>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pt idx="34">
                  <c:v>2019</c:v>
                </c:pt>
                <c:pt idx="35">
                  <c:v>2020</c:v>
                </c:pt>
                <c:pt idx="36">
                  <c:v>2021</c:v>
                </c:pt>
              </c:numCache>
            </c:numRef>
          </c:cat>
          <c:val>
            <c:numRef>
              <c:f>'Master Summary'!$M$4:$M$40</c:f>
              <c:numCache>
                <c:formatCode>0.00</c:formatCode>
                <c:ptCount val="37"/>
                <c:pt idx="0">
                  <c:v>4.6875</c:v>
                </c:pt>
                <c:pt idx="1">
                  <c:v>6.628571428571429</c:v>
                </c:pt>
                <c:pt idx="2">
                  <c:v>7.8125</c:v>
                </c:pt>
                <c:pt idx="3">
                  <c:v>8.741935483870968</c:v>
                </c:pt>
                <c:pt idx="4">
                  <c:v>9.7741935483870961</c:v>
                </c:pt>
                <c:pt idx="5">
                  <c:v>8.8666666666666671</c:v>
                </c:pt>
                <c:pt idx="6">
                  <c:v>9.6666666666666661</c:v>
                </c:pt>
                <c:pt idx="7">
                  <c:v>7.4473684210526319</c:v>
                </c:pt>
                <c:pt idx="8">
                  <c:v>7.4054054054054053</c:v>
                </c:pt>
                <c:pt idx="9">
                  <c:v>7.5277777777777777</c:v>
                </c:pt>
                <c:pt idx="10">
                  <c:v>8.4390243902439028</c:v>
                </c:pt>
                <c:pt idx="11">
                  <c:v>7.8571428571428568</c:v>
                </c:pt>
                <c:pt idx="12">
                  <c:v>8.5238095238095237</c:v>
                </c:pt>
                <c:pt idx="13">
                  <c:v>7.1025641025641022</c:v>
                </c:pt>
                <c:pt idx="14">
                  <c:v>8.1162790697674421</c:v>
                </c:pt>
                <c:pt idx="15">
                  <c:v>9.2558139534883725</c:v>
                </c:pt>
                <c:pt idx="16">
                  <c:v>8</c:v>
                </c:pt>
                <c:pt idx="17">
                  <c:v>8</c:v>
                </c:pt>
                <c:pt idx="18">
                  <c:v>9</c:v>
                </c:pt>
                <c:pt idx="19">
                  <c:v>8.2142857142857135</c:v>
                </c:pt>
                <c:pt idx="20">
                  <c:v>7.1694915254237293</c:v>
                </c:pt>
                <c:pt idx="21">
                  <c:v>7.3</c:v>
                </c:pt>
                <c:pt idx="22">
                  <c:v>6.5272727272727273</c:v>
                </c:pt>
                <c:pt idx="23">
                  <c:v>5.0185185185185182</c:v>
                </c:pt>
                <c:pt idx="24">
                  <c:v>4.6363636363636367</c:v>
                </c:pt>
                <c:pt idx="25">
                  <c:v>3.1509433962264151</c:v>
                </c:pt>
                <c:pt idx="26">
                  <c:v>3.5576923076923075</c:v>
                </c:pt>
                <c:pt idx="27">
                  <c:v>2.8125</c:v>
                </c:pt>
                <c:pt idx="28">
                  <c:v>2.6538461538461537</c:v>
                </c:pt>
                <c:pt idx="29">
                  <c:v>3.4038461538461537</c:v>
                </c:pt>
                <c:pt idx="30">
                  <c:v>3.4081632653061225</c:v>
                </c:pt>
                <c:pt idx="31">
                  <c:v>2.0789473684210527</c:v>
                </c:pt>
                <c:pt idx="32">
                  <c:v>2</c:v>
                </c:pt>
                <c:pt idx="33">
                  <c:v>2.4857142857142858</c:v>
                </c:pt>
                <c:pt idx="34">
                  <c:v>2.8947368421052633</c:v>
                </c:pt>
                <c:pt idx="35">
                  <c:v>2.4594594594594597</c:v>
                </c:pt>
                <c:pt idx="36">
                  <c:v>2.0526315789473686</c:v>
                </c:pt>
              </c:numCache>
            </c:numRef>
          </c:val>
          <c:smooth val="0"/>
          <c:extLst>
            <c:ext xmlns:c16="http://schemas.microsoft.com/office/drawing/2014/chart" uri="{C3380CC4-5D6E-409C-BE32-E72D297353CC}">
              <c16:uniqueId val="{00000001-5385-4757-9F8E-E31B2B2C199D}"/>
            </c:ext>
          </c:extLst>
        </c:ser>
        <c:dLbls>
          <c:showLegendKey val="0"/>
          <c:showVal val="0"/>
          <c:showCatName val="0"/>
          <c:showSerName val="0"/>
          <c:showPercent val="0"/>
          <c:showBubbleSize val="0"/>
        </c:dLbls>
        <c:marker val="1"/>
        <c:smooth val="0"/>
        <c:axId val="727295888"/>
        <c:axId val="727300048"/>
      </c:lineChart>
      <c:dateAx>
        <c:axId val="696658159"/>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96655247"/>
        <c:crosses val="autoZero"/>
        <c:auto val="0"/>
        <c:lblOffset val="100"/>
        <c:baseTimeUnit val="days"/>
        <c:majorUnit val="3"/>
        <c:majorTimeUnit val="days"/>
      </c:dateAx>
      <c:valAx>
        <c:axId val="696655247"/>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solidFill>
                      <a:sysClr val="windowText" lastClr="000000"/>
                    </a:solidFill>
                    <a:latin typeface="+mj-lt"/>
                  </a:rPr>
                  <a:t>Number of Firms</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96658159"/>
        <c:crosses val="autoZero"/>
        <c:crossBetween val="between"/>
        <c:majorUnit val="10"/>
      </c:valAx>
      <c:valAx>
        <c:axId val="727300048"/>
        <c:scaling>
          <c:orientation val="minMax"/>
          <c:max val="15"/>
          <c:min val="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ysClr val="windowText" lastClr="000000"/>
                    </a:solidFill>
                  </a:rPr>
                  <a:t>Avg.</a:t>
                </a:r>
                <a:r>
                  <a:rPr lang="en-US" baseline="0">
                    <a:solidFill>
                      <a:sysClr val="windowText" lastClr="000000"/>
                    </a:solidFill>
                  </a:rPr>
                  <a:t> </a:t>
                </a:r>
                <a:r>
                  <a:rPr lang="en-US">
                    <a:solidFill>
                      <a:sysClr val="windowText" lastClr="000000"/>
                    </a:solidFill>
                  </a:rPr>
                  <a:t>Number of Analyst</a:t>
                </a:r>
                <a:r>
                  <a:rPr lang="en-US" baseline="0">
                    <a:solidFill>
                      <a:sysClr val="windowText" lastClr="000000"/>
                    </a:solidFill>
                  </a:rPr>
                  <a:t> Estimates</a:t>
                </a:r>
                <a:endParaRPr lang="en-US">
                  <a:solidFill>
                    <a:sysClr val="windowText" lastClr="000000"/>
                  </a:solidFill>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27295888"/>
        <c:crosses val="max"/>
        <c:crossBetween val="between"/>
        <c:majorUnit val="3"/>
      </c:valAx>
      <c:catAx>
        <c:axId val="727295888"/>
        <c:scaling>
          <c:orientation val="minMax"/>
        </c:scaling>
        <c:delete val="1"/>
        <c:axPos val="b"/>
        <c:numFmt formatCode="General" sourceLinked="1"/>
        <c:majorTickMark val="out"/>
        <c:minorTickMark val="none"/>
        <c:tickLblPos val="nextTo"/>
        <c:crossAx val="72730004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1" i="0" u="none" strike="noStrike" kern="1200" spc="0" baseline="0">
                <a:solidFill>
                  <a:schemeClr val="tx1">
                    <a:lumMod val="65000"/>
                    <a:lumOff val="35000"/>
                  </a:schemeClr>
                </a:solidFill>
                <a:latin typeface="Times New Roman" panose="02020603050405020304" pitchFamily="18" charset="0"/>
                <a:ea typeface="+mn-ea"/>
                <a:cs typeface="+mn-cs"/>
              </a:defRPr>
            </a:pPr>
            <a:r>
              <a:rPr lang="en-US"/>
              <a:t>Actual Long-Term EPS Growth Rate vs Forecasted Long-Term EPS Growth Rate</a:t>
            </a:r>
          </a:p>
        </c:rich>
      </c:tx>
      <c:overlay val="0"/>
      <c:spPr>
        <a:noFill/>
        <a:ln>
          <a:noFill/>
        </a:ln>
        <a:effectLst/>
      </c:spPr>
      <c:txPr>
        <a:bodyPr rot="0" spcFirstLastPara="1" vertOverflow="ellipsis" vert="horz" wrap="square" anchor="ctr" anchorCtr="1"/>
        <a:lstStyle/>
        <a:p>
          <a:pPr>
            <a:defRPr sz="1320" b="1" i="0" u="none" strike="noStrike" kern="1200" spc="0" baseline="0">
              <a:solidFill>
                <a:schemeClr val="tx1">
                  <a:lumMod val="65000"/>
                  <a:lumOff val="35000"/>
                </a:schemeClr>
              </a:solidFill>
              <a:latin typeface="Times New Roman" panose="02020603050405020304" pitchFamily="18" charset="0"/>
              <a:ea typeface="+mn-ea"/>
              <a:cs typeface="+mn-cs"/>
            </a:defRPr>
          </a:pPr>
          <a:endParaRPr lang="en-US"/>
        </a:p>
      </c:txPr>
    </c:title>
    <c:autoTitleDeleted val="0"/>
    <c:plotArea>
      <c:layout/>
      <c:lineChart>
        <c:grouping val="standard"/>
        <c:varyColors val="0"/>
        <c:ser>
          <c:idx val="0"/>
          <c:order val="0"/>
          <c:tx>
            <c:v>Actual Long-Term Growth Rate</c:v>
          </c:tx>
          <c:spPr>
            <a:ln w="28575" cap="rnd">
              <a:solidFill>
                <a:schemeClr val="tx2"/>
              </a:solidFill>
              <a:round/>
            </a:ln>
            <a:effectLst/>
          </c:spPr>
          <c:marker>
            <c:symbol val="none"/>
          </c:marker>
          <c:cat>
            <c:numRef>
              <c:f>'Master Summary'!$B$4:$B$40</c:f>
              <c:numCache>
                <c:formatCode>General</c:formatCode>
                <c:ptCount val="37"/>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pt idx="34">
                  <c:v>2019</c:v>
                </c:pt>
                <c:pt idx="35">
                  <c:v>2020</c:v>
                </c:pt>
                <c:pt idx="36">
                  <c:v>2021</c:v>
                </c:pt>
              </c:numCache>
            </c:numRef>
          </c:cat>
          <c:val>
            <c:numRef>
              <c:f>'Master Summary'!$C$4:$C$40</c:f>
              <c:numCache>
                <c:formatCode>0.00%</c:formatCode>
                <c:ptCount val="37"/>
                <c:pt idx="0">
                  <c:v>4.7727980554729259E-2</c:v>
                </c:pt>
                <c:pt idx="1">
                  <c:v>3.0584013885024752E-2</c:v>
                </c:pt>
                <c:pt idx="2">
                  <c:v>4.031618179379616E-3</c:v>
                </c:pt>
                <c:pt idx="3">
                  <c:v>2.1418703754931916E-2</c:v>
                </c:pt>
                <c:pt idx="4">
                  <c:v>1.8874924866652612E-2</c:v>
                </c:pt>
                <c:pt idx="5">
                  <c:v>3.7304137434383614E-2</c:v>
                </c:pt>
                <c:pt idx="6">
                  <c:v>3.3189339241744965E-3</c:v>
                </c:pt>
                <c:pt idx="7">
                  <c:v>-1.1533667348060676E-3</c:v>
                </c:pt>
                <c:pt idx="8">
                  <c:v>6.855265763847861E-3</c:v>
                </c:pt>
                <c:pt idx="9">
                  <c:v>4.01191837217829E-2</c:v>
                </c:pt>
                <c:pt idx="10">
                  <c:v>5.6261009870046466E-2</c:v>
                </c:pt>
                <c:pt idx="11">
                  <c:v>4.354411200436735E-2</c:v>
                </c:pt>
                <c:pt idx="12">
                  <c:v>3.371119375254398E-3</c:v>
                </c:pt>
                <c:pt idx="13">
                  <c:v>2.8011801182326854E-2</c:v>
                </c:pt>
                <c:pt idx="14">
                  <c:v>1.0140281000876801E-2</c:v>
                </c:pt>
                <c:pt idx="15">
                  <c:v>5.3921912051085714E-2</c:v>
                </c:pt>
                <c:pt idx="16">
                  <c:v>5.4490768030683152E-2</c:v>
                </c:pt>
                <c:pt idx="17">
                  <c:v>5.1878576543607439E-2</c:v>
                </c:pt>
                <c:pt idx="18">
                  <c:v>2.2647517178001439E-2</c:v>
                </c:pt>
                <c:pt idx="19">
                  <c:v>-1.2004801629145171E-2</c:v>
                </c:pt>
                <c:pt idx="20">
                  <c:v>7.3771733928725278E-3</c:v>
                </c:pt>
                <c:pt idx="21">
                  <c:v>1.5907388459863742E-2</c:v>
                </c:pt>
                <c:pt idx="22">
                  <c:v>4.7216752539611599E-2</c:v>
                </c:pt>
                <c:pt idx="23">
                  <c:v>2.3548342313893442E-2</c:v>
                </c:pt>
                <c:pt idx="24">
                  <c:v>4.3011337850378098E-2</c:v>
                </c:pt>
                <c:pt idx="25">
                  <c:v>3.003669004755358E-2</c:v>
                </c:pt>
                <c:pt idx="26">
                  <c:v>1.4699639786202985E-2</c:v>
                </c:pt>
                <c:pt idx="27">
                  <c:v>2.2990158591049647E-2</c:v>
                </c:pt>
                <c:pt idx="28">
                  <c:v>3.1323446658706115E-2</c:v>
                </c:pt>
                <c:pt idx="29">
                  <c:v>4.5302805339630423E-2</c:v>
                </c:pt>
                <c:pt idx="30">
                  <c:v>2.2778184726852332E-2</c:v>
                </c:pt>
                <c:pt idx="31">
                  <c:v>3.879797740096614E-2</c:v>
                </c:pt>
                <c:pt idx="32">
                  <c:v>4.515305896613931E-2</c:v>
                </c:pt>
                <c:pt idx="33">
                  <c:v>5.1409510802084842E-2</c:v>
                </c:pt>
                <c:pt idx="34">
                  <c:v>4.1751000792775161E-2</c:v>
                </c:pt>
                <c:pt idx="35">
                  <c:v>2.7558731795603995E-2</c:v>
                </c:pt>
                <c:pt idx="36">
                  <c:v>2.6747169618520493E-2</c:v>
                </c:pt>
              </c:numCache>
            </c:numRef>
          </c:val>
          <c:smooth val="0"/>
          <c:extLst>
            <c:ext xmlns:c16="http://schemas.microsoft.com/office/drawing/2014/chart" uri="{C3380CC4-5D6E-409C-BE32-E72D297353CC}">
              <c16:uniqueId val="{00000000-A7D0-4DA8-95E3-D7C93E56A298}"/>
            </c:ext>
          </c:extLst>
        </c:ser>
        <c:ser>
          <c:idx val="1"/>
          <c:order val="1"/>
          <c:tx>
            <c:v>Forecasted Long-Term Growth Rate</c:v>
          </c:tx>
          <c:spPr>
            <a:ln w="28575" cap="rnd">
              <a:solidFill>
                <a:srgbClr val="FF0000"/>
              </a:solidFill>
              <a:round/>
            </a:ln>
            <a:effectLst/>
          </c:spPr>
          <c:marker>
            <c:symbol val="none"/>
          </c:marker>
          <c:cat>
            <c:numRef>
              <c:f>'Master Summary'!$B$4:$B$40</c:f>
              <c:numCache>
                <c:formatCode>General</c:formatCode>
                <c:ptCount val="37"/>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pt idx="34">
                  <c:v>2019</c:v>
                </c:pt>
                <c:pt idx="35">
                  <c:v>2020</c:v>
                </c:pt>
                <c:pt idx="36">
                  <c:v>2021</c:v>
                </c:pt>
              </c:numCache>
            </c:numRef>
          </c:cat>
          <c:val>
            <c:numRef>
              <c:f>'Master Summary'!$D$4:$D$40</c:f>
              <c:numCache>
                <c:formatCode>0.00%</c:formatCode>
                <c:ptCount val="37"/>
                <c:pt idx="0">
                  <c:v>5.4278124999999997E-2</c:v>
                </c:pt>
                <c:pt idx="1">
                  <c:v>5.5828571428571436E-2</c:v>
                </c:pt>
                <c:pt idx="2">
                  <c:v>5.2281250000000015E-2</c:v>
                </c:pt>
                <c:pt idx="3">
                  <c:v>5.3245161290322585E-2</c:v>
                </c:pt>
                <c:pt idx="4">
                  <c:v>4.9141935483870962E-2</c:v>
                </c:pt>
                <c:pt idx="5">
                  <c:v>4.5056666666666662E-2</c:v>
                </c:pt>
                <c:pt idx="6">
                  <c:v>4.5760606060606057E-2</c:v>
                </c:pt>
                <c:pt idx="7">
                  <c:v>5.0163157894736847E-2</c:v>
                </c:pt>
                <c:pt idx="8">
                  <c:v>4.6540540540540548E-2</c:v>
                </c:pt>
                <c:pt idx="9">
                  <c:v>4.5802777777777776E-2</c:v>
                </c:pt>
                <c:pt idx="10">
                  <c:v>4.3963414634146339E-2</c:v>
                </c:pt>
                <c:pt idx="11">
                  <c:v>5.1828571428571432E-2</c:v>
                </c:pt>
                <c:pt idx="12">
                  <c:v>4.543095238095237E-2</c:v>
                </c:pt>
                <c:pt idx="13">
                  <c:v>3.8510256410256405E-2</c:v>
                </c:pt>
                <c:pt idx="14">
                  <c:v>3.7079069767441859E-2</c:v>
                </c:pt>
                <c:pt idx="15">
                  <c:v>3.9339534883720932E-2</c:v>
                </c:pt>
                <c:pt idx="16">
                  <c:v>4.1597560975609765E-2</c:v>
                </c:pt>
                <c:pt idx="17">
                  <c:v>5.3746666666666658E-2</c:v>
                </c:pt>
                <c:pt idx="18">
                  <c:v>5.6550000000000017E-2</c:v>
                </c:pt>
                <c:pt idx="19">
                  <c:v>6.0201785714285742E-2</c:v>
                </c:pt>
                <c:pt idx="20">
                  <c:v>6.6889830508474565E-2</c:v>
                </c:pt>
                <c:pt idx="21">
                  <c:v>6.0451666666666667E-2</c:v>
                </c:pt>
                <c:pt idx="22">
                  <c:v>4.4767272727272739E-2</c:v>
                </c:pt>
                <c:pt idx="23">
                  <c:v>4.3788888888888884E-2</c:v>
                </c:pt>
                <c:pt idx="24">
                  <c:v>5.342363636363634E-2</c:v>
                </c:pt>
                <c:pt idx="25">
                  <c:v>6.2711320754716998E-2</c:v>
                </c:pt>
                <c:pt idx="26">
                  <c:v>7.7421153846153806E-2</c:v>
                </c:pt>
                <c:pt idx="27">
                  <c:v>6.631458333333333E-2</c:v>
                </c:pt>
                <c:pt idx="28">
                  <c:v>6.0336538461538462E-2</c:v>
                </c:pt>
                <c:pt idx="29">
                  <c:v>5.8519230769230775E-2</c:v>
                </c:pt>
                <c:pt idx="30">
                  <c:v>5.4459183673469393E-2</c:v>
                </c:pt>
                <c:pt idx="31">
                  <c:v>5.0834210526315787E-2</c:v>
                </c:pt>
                <c:pt idx="32">
                  <c:v>4.9376470588235299E-2</c:v>
                </c:pt>
                <c:pt idx="33">
                  <c:v>5.4500000000000021E-2</c:v>
                </c:pt>
                <c:pt idx="34">
                  <c:v>4.5697368421052639E-2</c:v>
                </c:pt>
                <c:pt idx="35">
                  <c:v>4.4116216216216218E-2</c:v>
                </c:pt>
                <c:pt idx="36">
                  <c:v>4.3000000000000003E-2</c:v>
                </c:pt>
              </c:numCache>
            </c:numRef>
          </c:val>
          <c:smooth val="0"/>
          <c:extLst>
            <c:ext xmlns:c16="http://schemas.microsoft.com/office/drawing/2014/chart" uri="{C3380CC4-5D6E-409C-BE32-E72D297353CC}">
              <c16:uniqueId val="{00000001-A7D0-4DA8-95E3-D7C93E56A298}"/>
            </c:ext>
          </c:extLst>
        </c:ser>
        <c:dLbls>
          <c:showLegendKey val="0"/>
          <c:showVal val="0"/>
          <c:showCatName val="0"/>
          <c:showSerName val="0"/>
          <c:showPercent val="0"/>
          <c:showBubbleSize val="0"/>
        </c:dLbls>
        <c:smooth val="0"/>
        <c:axId val="334053640"/>
        <c:axId val="334055280"/>
      </c:lineChart>
      <c:dateAx>
        <c:axId val="334053640"/>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Times New Roman" panose="02020603050405020304" pitchFamily="18" charset="0"/>
                <a:ea typeface="+mn-ea"/>
                <a:cs typeface="+mn-cs"/>
              </a:defRPr>
            </a:pPr>
            <a:endParaRPr lang="en-US"/>
          </a:p>
        </c:txPr>
        <c:crossAx val="334055280"/>
        <c:crosses val="autoZero"/>
        <c:auto val="0"/>
        <c:lblOffset val="100"/>
        <c:baseTimeUnit val="days"/>
        <c:majorUnit val="4"/>
        <c:majorTimeUnit val="days"/>
      </c:dateAx>
      <c:valAx>
        <c:axId val="334055280"/>
        <c:scaling>
          <c:orientation val="minMax"/>
        </c:scaling>
        <c:delete val="0"/>
        <c:axPos val="l"/>
        <c:majorGridlines>
          <c:spPr>
            <a:ln w="9525" cap="flat" cmpd="sng" algn="ctr">
              <a:noFill/>
              <a:round/>
            </a:ln>
            <a:effectLst/>
          </c:spPr>
        </c:majorGridlines>
        <c:numFmt formatCode="0.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Times New Roman" panose="02020603050405020304" pitchFamily="18" charset="0"/>
                <a:ea typeface="+mn-ea"/>
                <a:cs typeface="+mn-cs"/>
              </a:defRPr>
            </a:pPr>
            <a:endParaRPr lang="en-US"/>
          </a:p>
        </c:txPr>
        <c:crossAx val="334053640"/>
        <c:crosses val="autoZero"/>
        <c:crossBetween val="between"/>
        <c:majorUnit val="2.0000000000000004E-2"/>
      </c:valAx>
      <c:spPr>
        <a:noFill/>
        <a:ln>
          <a:noFill/>
        </a:ln>
        <a:effectLst/>
      </c:spPr>
    </c:plotArea>
    <c:legend>
      <c:legendPos val="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Times New Roman" panose="02020603050405020304" pitchFamily="18"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b="1" i="0" baseline="0">
          <a:latin typeface="Times New Roman" panose="02020603050405020304" pitchFamily="18"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solidFill>
                  <a:sysClr val="windowText" lastClr="000000"/>
                </a:solidFill>
              </a:rPr>
              <a:t>Number of Firms</a:t>
            </a:r>
            <a:r>
              <a:rPr lang="en-US" baseline="0">
                <a:solidFill>
                  <a:sysClr val="windowText" lastClr="000000"/>
                </a:solidFill>
              </a:rPr>
              <a:t> and Number of Analysts</a:t>
            </a:r>
            <a:endParaRPr lang="en-US">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1"/>
          <c:order val="1"/>
          <c:tx>
            <c:strRef>
              <c:f>'Master Summary'!$N$3</c:f>
              <c:strCache>
                <c:ptCount val="1"/>
                <c:pt idx="0">
                  <c:v>Number of Firms</c:v>
                </c:pt>
              </c:strCache>
            </c:strRef>
          </c:tx>
          <c:spPr>
            <a:ln w="28575" cap="rnd">
              <a:solidFill>
                <a:srgbClr val="FF0000"/>
              </a:solidFill>
              <a:round/>
            </a:ln>
            <a:effectLst/>
          </c:spPr>
          <c:marker>
            <c:symbol val="none"/>
          </c:marker>
          <c:cat>
            <c:numRef>
              <c:f>'Master Summary'!$B$4:$B$40</c:f>
              <c:numCache>
                <c:formatCode>General</c:formatCode>
                <c:ptCount val="37"/>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pt idx="34">
                  <c:v>2019</c:v>
                </c:pt>
                <c:pt idx="35">
                  <c:v>2020</c:v>
                </c:pt>
                <c:pt idx="36">
                  <c:v>2021</c:v>
                </c:pt>
              </c:numCache>
            </c:numRef>
          </c:cat>
          <c:val>
            <c:numRef>
              <c:f>'Master Summary'!$N$4:$N$40</c:f>
              <c:numCache>
                <c:formatCode>0</c:formatCode>
                <c:ptCount val="37"/>
                <c:pt idx="0">
                  <c:v>32</c:v>
                </c:pt>
                <c:pt idx="1">
                  <c:v>35</c:v>
                </c:pt>
                <c:pt idx="2">
                  <c:v>32</c:v>
                </c:pt>
                <c:pt idx="3">
                  <c:v>31</c:v>
                </c:pt>
                <c:pt idx="4">
                  <c:v>31</c:v>
                </c:pt>
                <c:pt idx="5">
                  <c:v>30</c:v>
                </c:pt>
                <c:pt idx="6">
                  <c:v>33</c:v>
                </c:pt>
                <c:pt idx="7">
                  <c:v>38</c:v>
                </c:pt>
                <c:pt idx="8">
                  <c:v>37</c:v>
                </c:pt>
                <c:pt idx="9">
                  <c:v>36</c:v>
                </c:pt>
                <c:pt idx="10">
                  <c:v>41</c:v>
                </c:pt>
                <c:pt idx="11">
                  <c:v>42</c:v>
                </c:pt>
                <c:pt idx="12">
                  <c:v>42</c:v>
                </c:pt>
                <c:pt idx="13">
                  <c:v>39</c:v>
                </c:pt>
                <c:pt idx="14">
                  <c:v>43</c:v>
                </c:pt>
                <c:pt idx="15">
                  <c:v>43</c:v>
                </c:pt>
                <c:pt idx="16">
                  <c:v>41</c:v>
                </c:pt>
                <c:pt idx="17">
                  <c:v>45</c:v>
                </c:pt>
                <c:pt idx="18">
                  <c:v>52</c:v>
                </c:pt>
                <c:pt idx="19">
                  <c:v>56</c:v>
                </c:pt>
                <c:pt idx="20">
                  <c:v>59</c:v>
                </c:pt>
                <c:pt idx="21">
                  <c:v>60</c:v>
                </c:pt>
                <c:pt idx="22">
                  <c:v>55</c:v>
                </c:pt>
                <c:pt idx="23">
                  <c:v>54</c:v>
                </c:pt>
                <c:pt idx="24">
                  <c:v>55</c:v>
                </c:pt>
                <c:pt idx="25">
                  <c:v>53</c:v>
                </c:pt>
                <c:pt idx="26">
                  <c:v>52</c:v>
                </c:pt>
                <c:pt idx="27">
                  <c:v>48</c:v>
                </c:pt>
                <c:pt idx="28">
                  <c:v>52</c:v>
                </c:pt>
                <c:pt idx="29">
                  <c:v>52</c:v>
                </c:pt>
                <c:pt idx="30">
                  <c:v>49</c:v>
                </c:pt>
                <c:pt idx="31">
                  <c:v>38</c:v>
                </c:pt>
                <c:pt idx="32">
                  <c:v>34</c:v>
                </c:pt>
                <c:pt idx="33">
                  <c:v>35</c:v>
                </c:pt>
                <c:pt idx="34">
                  <c:v>38</c:v>
                </c:pt>
                <c:pt idx="35">
                  <c:v>37</c:v>
                </c:pt>
                <c:pt idx="36">
                  <c:v>38</c:v>
                </c:pt>
              </c:numCache>
            </c:numRef>
          </c:val>
          <c:smooth val="0"/>
          <c:extLst>
            <c:ext xmlns:c16="http://schemas.microsoft.com/office/drawing/2014/chart" uri="{C3380CC4-5D6E-409C-BE32-E72D297353CC}">
              <c16:uniqueId val="{00000000-1944-46C9-9E31-5C29B5EB410E}"/>
            </c:ext>
          </c:extLst>
        </c:ser>
        <c:dLbls>
          <c:showLegendKey val="0"/>
          <c:showVal val="0"/>
          <c:showCatName val="0"/>
          <c:showSerName val="0"/>
          <c:showPercent val="0"/>
          <c:showBubbleSize val="0"/>
        </c:dLbls>
        <c:marker val="1"/>
        <c:smooth val="0"/>
        <c:axId val="696658159"/>
        <c:axId val="696655247"/>
      </c:lineChart>
      <c:lineChart>
        <c:grouping val="standard"/>
        <c:varyColors val="0"/>
        <c:ser>
          <c:idx val="0"/>
          <c:order val="0"/>
          <c:tx>
            <c:strRef>
              <c:f>'Master Summary'!$M$3</c:f>
              <c:strCache>
                <c:ptCount val="1"/>
                <c:pt idx="0">
                  <c:v>Average Number of Analyst Estimates</c:v>
                </c:pt>
              </c:strCache>
            </c:strRef>
          </c:tx>
          <c:spPr>
            <a:ln w="28575" cap="rnd">
              <a:solidFill>
                <a:schemeClr val="accent1"/>
              </a:solidFill>
              <a:round/>
            </a:ln>
            <a:effectLst/>
          </c:spPr>
          <c:marker>
            <c:symbol val="none"/>
          </c:marker>
          <c:cat>
            <c:numRef>
              <c:f>'Master Summary'!$B$4:$B$40</c:f>
              <c:numCache>
                <c:formatCode>General</c:formatCode>
                <c:ptCount val="37"/>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pt idx="34">
                  <c:v>2019</c:v>
                </c:pt>
                <c:pt idx="35">
                  <c:v>2020</c:v>
                </c:pt>
                <c:pt idx="36">
                  <c:v>2021</c:v>
                </c:pt>
              </c:numCache>
            </c:numRef>
          </c:cat>
          <c:val>
            <c:numRef>
              <c:f>'Master Summary'!$M$4:$M$40</c:f>
              <c:numCache>
                <c:formatCode>0.00</c:formatCode>
                <c:ptCount val="37"/>
                <c:pt idx="0">
                  <c:v>4.6875</c:v>
                </c:pt>
                <c:pt idx="1">
                  <c:v>6.628571428571429</c:v>
                </c:pt>
                <c:pt idx="2">
                  <c:v>7.8125</c:v>
                </c:pt>
                <c:pt idx="3">
                  <c:v>8.741935483870968</c:v>
                </c:pt>
                <c:pt idx="4">
                  <c:v>9.7741935483870961</c:v>
                </c:pt>
                <c:pt idx="5">
                  <c:v>8.8666666666666671</c:v>
                </c:pt>
                <c:pt idx="6">
                  <c:v>9.6666666666666661</c:v>
                </c:pt>
                <c:pt idx="7">
                  <c:v>7.4473684210526319</c:v>
                </c:pt>
                <c:pt idx="8">
                  <c:v>7.4054054054054053</c:v>
                </c:pt>
                <c:pt idx="9">
                  <c:v>7.5277777777777777</c:v>
                </c:pt>
                <c:pt idx="10">
                  <c:v>8.4390243902439028</c:v>
                </c:pt>
                <c:pt idx="11">
                  <c:v>7.8571428571428568</c:v>
                </c:pt>
                <c:pt idx="12">
                  <c:v>8.5238095238095237</c:v>
                </c:pt>
                <c:pt idx="13">
                  <c:v>7.1025641025641022</c:v>
                </c:pt>
                <c:pt idx="14">
                  <c:v>8.1162790697674421</c:v>
                </c:pt>
                <c:pt idx="15">
                  <c:v>9.2558139534883725</c:v>
                </c:pt>
                <c:pt idx="16">
                  <c:v>8</c:v>
                </c:pt>
                <c:pt idx="17">
                  <c:v>8</c:v>
                </c:pt>
                <c:pt idx="18">
                  <c:v>9</c:v>
                </c:pt>
                <c:pt idx="19">
                  <c:v>8.2142857142857135</c:v>
                </c:pt>
                <c:pt idx="20">
                  <c:v>7.1694915254237293</c:v>
                </c:pt>
                <c:pt idx="21">
                  <c:v>7.3</c:v>
                </c:pt>
                <c:pt idx="22">
                  <c:v>6.5272727272727273</c:v>
                </c:pt>
                <c:pt idx="23">
                  <c:v>5.0185185185185182</c:v>
                </c:pt>
                <c:pt idx="24">
                  <c:v>4.6363636363636367</c:v>
                </c:pt>
                <c:pt idx="25">
                  <c:v>3.1509433962264151</c:v>
                </c:pt>
                <c:pt idx="26">
                  <c:v>3.5576923076923075</c:v>
                </c:pt>
                <c:pt idx="27">
                  <c:v>2.8125</c:v>
                </c:pt>
                <c:pt idx="28">
                  <c:v>2.6538461538461537</c:v>
                </c:pt>
                <c:pt idx="29">
                  <c:v>3.4038461538461537</c:v>
                </c:pt>
                <c:pt idx="30">
                  <c:v>3.4081632653061225</c:v>
                </c:pt>
                <c:pt idx="31">
                  <c:v>2.0789473684210527</c:v>
                </c:pt>
                <c:pt idx="32">
                  <c:v>2</c:v>
                </c:pt>
                <c:pt idx="33">
                  <c:v>2.4857142857142858</c:v>
                </c:pt>
                <c:pt idx="34">
                  <c:v>2.8947368421052633</c:v>
                </c:pt>
                <c:pt idx="35">
                  <c:v>2.4594594594594597</c:v>
                </c:pt>
                <c:pt idx="36">
                  <c:v>2.0526315789473686</c:v>
                </c:pt>
              </c:numCache>
            </c:numRef>
          </c:val>
          <c:smooth val="0"/>
          <c:extLst>
            <c:ext xmlns:c16="http://schemas.microsoft.com/office/drawing/2014/chart" uri="{C3380CC4-5D6E-409C-BE32-E72D297353CC}">
              <c16:uniqueId val="{00000001-1944-46C9-9E31-5C29B5EB410E}"/>
            </c:ext>
          </c:extLst>
        </c:ser>
        <c:dLbls>
          <c:showLegendKey val="0"/>
          <c:showVal val="0"/>
          <c:showCatName val="0"/>
          <c:showSerName val="0"/>
          <c:showPercent val="0"/>
          <c:showBubbleSize val="0"/>
        </c:dLbls>
        <c:marker val="1"/>
        <c:smooth val="0"/>
        <c:axId val="727295888"/>
        <c:axId val="727300048"/>
      </c:lineChart>
      <c:dateAx>
        <c:axId val="696658159"/>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96655247"/>
        <c:crosses val="autoZero"/>
        <c:auto val="0"/>
        <c:lblOffset val="100"/>
        <c:baseTimeUnit val="days"/>
        <c:majorUnit val="3"/>
        <c:majorTimeUnit val="days"/>
      </c:dateAx>
      <c:valAx>
        <c:axId val="696655247"/>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solidFill>
                      <a:sysClr val="windowText" lastClr="000000"/>
                    </a:solidFill>
                    <a:latin typeface="+mj-lt"/>
                  </a:rPr>
                  <a:t>Number of Firms</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96658159"/>
        <c:crosses val="autoZero"/>
        <c:crossBetween val="between"/>
        <c:majorUnit val="10"/>
      </c:valAx>
      <c:valAx>
        <c:axId val="727300048"/>
        <c:scaling>
          <c:orientation val="minMax"/>
          <c:max val="15"/>
          <c:min val="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ysClr val="windowText" lastClr="000000"/>
                    </a:solidFill>
                  </a:rPr>
                  <a:t>Avg.</a:t>
                </a:r>
                <a:r>
                  <a:rPr lang="en-US" baseline="0">
                    <a:solidFill>
                      <a:sysClr val="windowText" lastClr="000000"/>
                    </a:solidFill>
                  </a:rPr>
                  <a:t> </a:t>
                </a:r>
                <a:r>
                  <a:rPr lang="en-US">
                    <a:solidFill>
                      <a:sysClr val="windowText" lastClr="000000"/>
                    </a:solidFill>
                  </a:rPr>
                  <a:t>Number of Analyst</a:t>
                </a:r>
                <a:r>
                  <a:rPr lang="en-US" baseline="0">
                    <a:solidFill>
                      <a:sysClr val="windowText" lastClr="000000"/>
                    </a:solidFill>
                  </a:rPr>
                  <a:t> Estimates</a:t>
                </a:r>
                <a:endParaRPr lang="en-US">
                  <a:solidFill>
                    <a:sysClr val="windowText" lastClr="000000"/>
                  </a:solidFill>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27295888"/>
        <c:crosses val="max"/>
        <c:crossBetween val="between"/>
        <c:majorUnit val="3"/>
      </c:valAx>
      <c:catAx>
        <c:axId val="727295888"/>
        <c:scaling>
          <c:orientation val="minMax"/>
        </c:scaling>
        <c:delete val="1"/>
        <c:axPos val="b"/>
        <c:numFmt formatCode="General" sourceLinked="1"/>
        <c:majorTickMark val="out"/>
        <c:minorTickMark val="none"/>
        <c:tickLblPos val="nextTo"/>
        <c:crossAx val="72730004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solidFill>
                  <a:sysClr val="windowText" lastClr="000000"/>
                </a:solidFill>
                <a:latin typeface="+mn-lt"/>
              </a:rPr>
              <a:t>Actual LTG</a:t>
            </a:r>
            <a:r>
              <a:rPr lang="en-US" baseline="0">
                <a:solidFill>
                  <a:sysClr val="windowText" lastClr="000000"/>
                </a:solidFill>
                <a:latin typeface="+mn-lt"/>
              </a:rPr>
              <a:t> Rate vs Mean Est. LTG Rate</a:t>
            </a:r>
            <a:endParaRPr lang="en-US">
              <a:solidFill>
                <a:sysClr val="windowText" lastClr="000000"/>
              </a:solidFill>
              <a:latin typeface="+mn-l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'Master Summary'!$H$3</c:f>
              <c:strCache>
                <c:ptCount val="1"/>
                <c:pt idx="0">
                  <c:v>Median Actual Long-Term Growth Rate</c:v>
                </c:pt>
              </c:strCache>
            </c:strRef>
          </c:tx>
          <c:spPr>
            <a:ln w="28575" cap="rnd">
              <a:solidFill>
                <a:srgbClr val="0070C0"/>
              </a:solidFill>
              <a:round/>
            </a:ln>
            <a:effectLst/>
          </c:spPr>
          <c:marker>
            <c:symbol val="none"/>
          </c:marker>
          <c:cat>
            <c:numRef>
              <c:f>'Master Summary'!$B$4:$B$40</c:f>
              <c:numCache>
                <c:formatCode>General</c:formatCode>
                <c:ptCount val="37"/>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pt idx="34">
                  <c:v>2019</c:v>
                </c:pt>
                <c:pt idx="35">
                  <c:v>2020</c:v>
                </c:pt>
                <c:pt idx="36">
                  <c:v>2021</c:v>
                </c:pt>
              </c:numCache>
            </c:numRef>
          </c:cat>
          <c:val>
            <c:numRef>
              <c:f>'Master Summary'!$H$4:$H$40</c:f>
              <c:numCache>
                <c:formatCode>0.00%</c:formatCode>
                <c:ptCount val="37"/>
                <c:pt idx="0">
                  <c:v>7.3768959121047084E-2</c:v>
                </c:pt>
                <c:pt idx="1">
                  <c:v>5.2081720391200292E-2</c:v>
                </c:pt>
                <c:pt idx="2">
                  <c:v>2.2776770133444479E-2</c:v>
                </c:pt>
                <c:pt idx="3">
                  <c:v>2.4778051217199115E-2</c:v>
                </c:pt>
                <c:pt idx="4">
                  <c:v>2.3466539510718309E-2</c:v>
                </c:pt>
                <c:pt idx="5">
                  <c:v>2.284730487205211E-2</c:v>
                </c:pt>
                <c:pt idx="6">
                  <c:v>2.1991162258356844E-2</c:v>
                </c:pt>
                <c:pt idx="7">
                  <c:v>1.9252744225793927E-3</c:v>
                </c:pt>
                <c:pt idx="8">
                  <c:v>4.0734040674157423E-3</c:v>
                </c:pt>
                <c:pt idx="9">
                  <c:v>1.7670985212781432E-2</c:v>
                </c:pt>
                <c:pt idx="10">
                  <c:v>3.0228072276681672E-2</c:v>
                </c:pt>
                <c:pt idx="11">
                  <c:v>4.7167144349696488E-2</c:v>
                </c:pt>
                <c:pt idx="12">
                  <c:v>1.9506343770096857E-2</c:v>
                </c:pt>
                <c:pt idx="13">
                  <c:v>3.7493345623905938E-2</c:v>
                </c:pt>
                <c:pt idx="14">
                  <c:v>1.8876248976651411E-2</c:v>
                </c:pt>
                <c:pt idx="15">
                  <c:v>4.0104688033748559E-2</c:v>
                </c:pt>
                <c:pt idx="16">
                  <c:v>6.2317977970623328E-2</c:v>
                </c:pt>
                <c:pt idx="17">
                  <c:v>5.0086986470783357E-2</c:v>
                </c:pt>
                <c:pt idx="18">
                  <c:v>2.4129627230222939E-2</c:v>
                </c:pt>
                <c:pt idx="19">
                  <c:v>-8.6082439827417367E-3</c:v>
                </c:pt>
                <c:pt idx="20">
                  <c:v>5.410476966502431E-3</c:v>
                </c:pt>
                <c:pt idx="21">
                  <c:v>2.6084767351192806E-2</c:v>
                </c:pt>
                <c:pt idx="22">
                  <c:v>5.182951797101909E-2</c:v>
                </c:pt>
                <c:pt idx="23">
                  <c:v>4.3067457914217622E-2</c:v>
                </c:pt>
                <c:pt idx="24">
                  <c:v>4.9817416359329902E-2</c:v>
                </c:pt>
                <c:pt idx="25">
                  <c:v>4.4916991100050208E-2</c:v>
                </c:pt>
                <c:pt idx="26">
                  <c:v>1.3693360751092287E-2</c:v>
                </c:pt>
                <c:pt idx="27">
                  <c:v>3.0398226054432098E-2</c:v>
                </c:pt>
                <c:pt idx="28">
                  <c:v>5.6536470546824424E-2</c:v>
                </c:pt>
                <c:pt idx="29">
                  <c:v>5.9961260802113614E-2</c:v>
                </c:pt>
                <c:pt idx="30">
                  <c:v>3.5959844827033516E-2</c:v>
                </c:pt>
                <c:pt idx="31">
                  <c:v>3.9837719391657922E-2</c:v>
                </c:pt>
                <c:pt idx="32">
                  <c:v>4.8814210410963899E-2</c:v>
                </c:pt>
                <c:pt idx="33">
                  <c:v>4.7427145361279566E-2</c:v>
                </c:pt>
                <c:pt idx="34">
                  <c:v>5.9770866443202286E-2</c:v>
                </c:pt>
                <c:pt idx="35">
                  <c:v>4.4525760583646212E-2</c:v>
                </c:pt>
                <c:pt idx="36">
                  <c:v>3.5402993861689436E-2</c:v>
                </c:pt>
              </c:numCache>
            </c:numRef>
          </c:val>
          <c:smooth val="0"/>
          <c:extLst>
            <c:ext xmlns:c16="http://schemas.microsoft.com/office/drawing/2014/chart" uri="{C3380CC4-5D6E-409C-BE32-E72D297353CC}">
              <c16:uniqueId val="{00000000-8E97-4806-AA0B-A83D218250CD}"/>
            </c:ext>
          </c:extLst>
        </c:ser>
        <c:ser>
          <c:idx val="1"/>
          <c:order val="1"/>
          <c:tx>
            <c:strRef>
              <c:f>'Master Summary'!$I$3</c:f>
              <c:strCache>
                <c:ptCount val="1"/>
                <c:pt idx="0">
                  <c:v>Median of the Mean Est. Long-Term Growth Rate</c:v>
                </c:pt>
              </c:strCache>
            </c:strRef>
          </c:tx>
          <c:spPr>
            <a:ln w="28575" cap="rnd">
              <a:solidFill>
                <a:srgbClr val="FF0000"/>
              </a:solidFill>
              <a:round/>
            </a:ln>
            <a:effectLst/>
          </c:spPr>
          <c:marker>
            <c:symbol val="none"/>
          </c:marker>
          <c:cat>
            <c:numRef>
              <c:f>'Master Summary'!$B$4:$B$40</c:f>
              <c:numCache>
                <c:formatCode>General</c:formatCode>
                <c:ptCount val="37"/>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pt idx="34">
                  <c:v>2019</c:v>
                </c:pt>
                <c:pt idx="35">
                  <c:v>2020</c:v>
                </c:pt>
                <c:pt idx="36">
                  <c:v>2021</c:v>
                </c:pt>
              </c:numCache>
            </c:numRef>
          </c:cat>
          <c:val>
            <c:numRef>
              <c:f>'Master Summary'!$I$4:$I$40</c:f>
              <c:numCache>
                <c:formatCode>0.00%</c:formatCode>
                <c:ptCount val="37"/>
                <c:pt idx="0">
                  <c:v>5.0500000000000003E-2</c:v>
                </c:pt>
                <c:pt idx="1">
                  <c:v>5.5E-2</c:v>
                </c:pt>
                <c:pt idx="2">
                  <c:v>5.1250000000000004E-2</c:v>
                </c:pt>
                <c:pt idx="3">
                  <c:v>4.8799999999999996E-2</c:v>
                </c:pt>
                <c:pt idx="4">
                  <c:v>4.7599999999999996E-2</c:v>
                </c:pt>
                <c:pt idx="5">
                  <c:v>4.2400000000000007E-2</c:v>
                </c:pt>
                <c:pt idx="6">
                  <c:v>4.2099999999999999E-2</c:v>
                </c:pt>
                <c:pt idx="7">
                  <c:v>4.6449999999999998E-2</c:v>
                </c:pt>
                <c:pt idx="8">
                  <c:v>3.7499999999999999E-2</c:v>
                </c:pt>
                <c:pt idx="9">
                  <c:v>3.9349999999999996E-2</c:v>
                </c:pt>
                <c:pt idx="10">
                  <c:v>0.04</c:v>
                </c:pt>
                <c:pt idx="11">
                  <c:v>0.04</c:v>
                </c:pt>
                <c:pt idx="12">
                  <c:v>4.0800000000000003E-2</c:v>
                </c:pt>
                <c:pt idx="13">
                  <c:v>3.6000000000000004E-2</c:v>
                </c:pt>
                <c:pt idx="14">
                  <c:v>3.5000000000000003E-2</c:v>
                </c:pt>
                <c:pt idx="15">
                  <c:v>3.8199999999999998E-2</c:v>
                </c:pt>
                <c:pt idx="16">
                  <c:v>0.04</c:v>
                </c:pt>
                <c:pt idx="17">
                  <c:v>4.3799999999999999E-2</c:v>
                </c:pt>
                <c:pt idx="18">
                  <c:v>4.809999999999999E-2</c:v>
                </c:pt>
                <c:pt idx="19">
                  <c:v>5.8249999999999996E-2</c:v>
                </c:pt>
                <c:pt idx="20">
                  <c:v>6.3799999999999996E-2</c:v>
                </c:pt>
                <c:pt idx="21">
                  <c:v>0.06</c:v>
                </c:pt>
                <c:pt idx="22">
                  <c:v>4.3299999999999998E-2</c:v>
                </c:pt>
                <c:pt idx="23">
                  <c:v>4.3050000000000005E-2</c:v>
                </c:pt>
                <c:pt idx="24">
                  <c:v>4.8000000000000001E-2</c:v>
                </c:pt>
                <c:pt idx="25">
                  <c:v>0.06</c:v>
                </c:pt>
                <c:pt idx="26">
                  <c:v>0.06</c:v>
                </c:pt>
                <c:pt idx="27">
                  <c:v>0.06</c:v>
                </c:pt>
                <c:pt idx="28">
                  <c:v>5.4150000000000004E-2</c:v>
                </c:pt>
                <c:pt idx="29">
                  <c:v>5.3650000000000003E-2</c:v>
                </c:pt>
                <c:pt idx="30">
                  <c:v>0.05</c:v>
                </c:pt>
                <c:pt idx="31">
                  <c:v>5.2650000000000002E-2</c:v>
                </c:pt>
                <c:pt idx="32">
                  <c:v>4.8100000000000004E-2</c:v>
                </c:pt>
                <c:pt idx="33">
                  <c:v>0.05</c:v>
                </c:pt>
                <c:pt idx="34">
                  <c:v>4.8149999999999998E-2</c:v>
                </c:pt>
                <c:pt idx="35">
                  <c:v>5.2999999999999999E-2</c:v>
                </c:pt>
                <c:pt idx="36">
                  <c:v>4.7100000000000003E-2</c:v>
                </c:pt>
              </c:numCache>
            </c:numRef>
          </c:val>
          <c:smooth val="0"/>
          <c:extLst>
            <c:ext xmlns:c16="http://schemas.microsoft.com/office/drawing/2014/chart" uri="{C3380CC4-5D6E-409C-BE32-E72D297353CC}">
              <c16:uniqueId val="{00000001-8E97-4806-AA0B-A83D218250CD}"/>
            </c:ext>
          </c:extLst>
        </c:ser>
        <c:dLbls>
          <c:showLegendKey val="0"/>
          <c:showVal val="0"/>
          <c:showCatName val="0"/>
          <c:showSerName val="0"/>
          <c:showPercent val="0"/>
          <c:showBubbleSize val="0"/>
        </c:dLbls>
        <c:smooth val="0"/>
        <c:axId val="858590160"/>
        <c:axId val="858590488"/>
      </c:lineChart>
      <c:dateAx>
        <c:axId val="858590160"/>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858590488"/>
        <c:crosses val="autoZero"/>
        <c:auto val="0"/>
        <c:lblOffset val="100"/>
        <c:baseTimeUnit val="days"/>
        <c:majorUnit val="3"/>
        <c:majorTimeUnit val="days"/>
      </c:dateAx>
      <c:valAx>
        <c:axId val="858590488"/>
        <c:scaling>
          <c:orientation val="minMax"/>
        </c:scaling>
        <c:delete val="0"/>
        <c:axPos val="l"/>
        <c:majorGridlines>
          <c:spPr>
            <a:ln w="9525" cap="flat" cmpd="sng" algn="ctr">
              <a:noFill/>
              <a:round/>
            </a:ln>
            <a:effectLst/>
          </c:spPr>
        </c:majorGridlines>
        <c:numFmt formatCode="0.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858590160"/>
        <c:crosses val="autoZero"/>
        <c:crossBetween val="between"/>
        <c:majorUnit val="2.0000000000000004E-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592656</xdr:colOff>
      <xdr:row>20</xdr:row>
      <xdr:rowOff>148588</xdr:rowOff>
    </xdr:from>
    <xdr:to>
      <xdr:col>9</xdr:col>
      <xdr:colOff>92531</xdr:colOff>
      <xdr:row>35</xdr:row>
      <xdr:rowOff>87836</xdr:rowOff>
    </xdr:to>
    <xdr:graphicFrame macro="">
      <xdr:nvGraphicFramePr>
        <xdr:cNvPr id="5" name="Chart 4">
          <a:extLst>
            <a:ext uri="{FF2B5EF4-FFF2-40B4-BE49-F238E27FC236}">
              <a16:creationId xmlns:a16="http://schemas.microsoft.com/office/drawing/2014/main" id="{9DF10EED-929D-47B1-99DC-1717AC3A2C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212799</xdr:colOff>
      <xdr:row>13</xdr:row>
      <xdr:rowOff>161050</xdr:rowOff>
    </xdr:from>
    <xdr:to>
      <xdr:col>24</xdr:col>
      <xdr:colOff>415635</xdr:colOff>
      <xdr:row>40</xdr:row>
      <xdr:rowOff>155863</xdr:rowOff>
    </xdr:to>
    <xdr:graphicFrame macro="">
      <xdr:nvGraphicFramePr>
        <xdr:cNvPr id="8" name="Chart 7">
          <a:extLst>
            <a:ext uri="{FF2B5EF4-FFF2-40B4-BE49-F238E27FC236}">
              <a16:creationId xmlns:a16="http://schemas.microsoft.com/office/drawing/2014/main" id="{33236ED1-F374-40C8-A685-029652447C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380365</xdr:colOff>
      <xdr:row>30</xdr:row>
      <xdr:rowOff>31796</xdr:rowOff>
    </xdr:from>
    <xdr:to>
      <xdr:col>17</xdr:col>
      <xdr:colOff>492447</xdr:colOff>
      <xdr:row>44</xdr:row>
      <xdr:rowOff>148617</xdr:rowOff>
    </xdr:to>
    <xdr:graphicFrame macro="">
      <xdr:nvGraphicFramePr>
        <xdr:cNvPr id="5" name="Chart 4">
          <a:extLst>
            <a:ext uri="{FF2B5EF4-FFF2-40B4-BE49-F238E27FC236}">
              <a16:creationId xmlns:a16="http://schemas.microsoft.com/office/drawing/2014/main" id="{CBDB01E5-93FF-491A-B717-FE8C83357A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586385</xdr:colOff>
      <xdr:row>13</xdr:row>
      <xdr:rowOff>86668</xdr:rowOff>
    </xdr:from>
    <xdr:to>
      <xdr:col>17</xdr:col>
      <xdr:colOff>217505</xdr:colOff>
      <xdr:row>28</xdr:row>
      <xdr:rowOff>161918</xdr:rowOff>
    </xdr:to>
    <xdr:graphicFrame macro="">
      <xdr:nvGraphicFramePr>
        <xdr:cNvPr id="9" name="Chart 8">
          <a:extLst>
            <a:ext uri="{FF2B5EF4-FFF2-40B4-BE49-F238E27FC236}">
              <a16:creationId xmlns:a16="http://schemas.microsoft.com/office/drawing/2014/main" id="{1E81CE88-6127-48D6-B1A4-BB718744C4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im\Dropbox\Electric%20Utilities%20Growth%20Rates\Master%20Summary.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Jim\Dropbox\Electric%20Utilities%20Growth%20Rates\Raw%20Data\2019%20Actual%20EPS.xlsx"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C:\Users\Jim\Dropbox\Electric%20Utilities%20Growth%20Rates\Raw%20Data\LTG%20Projections%20for%201998.xlsx"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C:\Users\Jim\Dropbox\Gas%20Utilities%20Growth%20Rates\Raw%20Data\Actuals\1994%20Gas%20Utilities%20Actual%20EPS.xlsx"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file:///C:\Users\Jim\Dropbox\Gas%20Utilities%20Growth%20Rates\Raw%20Data\Projections\Gas%20LTG%20Projections%20for%201998.xlsx"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file:///C:\Users\Jim\Dropbox\Electric%20Utilities%20Growth%20Rates\Raw%20Data\1993%20Actual%20EPS.xlsx"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file:///C:\Users\Jim\Dropbox\Electric%20Utilities%20Growth%20Rates\Raw%20Data\LTG%20Projections%20for%201997.xlsx"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file:///C:\Users\Jim\Dropbox\Gas%20Utilities%20Growth%20Rates\Raw%20Data\Actuals\1993%20Gas%20Utilities%20Actual%20EPS.xlsx"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file:///C:\Users\Jim\Dropbox\Gas%20Utilities%20Growth%20Rates\Raw%20Data\Projections\Gas%20LTG%20Projections%20for%201997.xlsx"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file:///C:\Users\Jim\Dropbox\Electric%20Utilities%20Growth%20Rates\Raw%20Data\1992%20Actual%20EPS.xlsx"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file:///C:\Users\Jim\Dropbox\Electric%20Utilities%20Growth%20Rates\Raw%20Data\LTG%20Projections%20for%201996.xlsx"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file:///C:\Users\Jim\Dropbox\Gas%20Utilities%20Growth%20Rates\Raw%20Data\Actuals\1992%20Gas%20Utilities%20Actual%20EPS.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Jim\Dropbox\Electric%20Utilities%20Growth%20Rates\Raw%20Data\LTG%20Projections%20for%202019.xlsx"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file:///C:\Users\Jim\Dropbox\Gas%20Utilities%20Growth%20Rates\Raw%20Data\Projections\Gas%20LTG%20Projections%20for%201996.xlsx"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file:///C:\Users\Jim\Dropbox\Electric%20Utilities%20Growth%20Rates\Raw%20Data\1991%20Actual%20EPS.xlsx"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file:///C:\Users\Jim\Dropbox\Electric%20Utilities%20Growth%20Rates\Raw%20Data\LTG%20Projections%20for%201995.xlsx" TargetMode="External"/></Relationships>
</file>

<file path=xl/externalLinks/_rels/externalLink113.xml.rels><?xml version="1.0" encoding="UTF-8" standalone="yes"?>
<Relationships xmlns="http://schemas.openxmlformats.org/package/2006/relationships"><Relationship Id="rId1" Type="http://schemas.openxmlformats.org/officeDocument/2006/relationships/externalLinkPath" Target="file:///C:\Users\Jim\Dropbox\Gas%20Utilities%20Growth%20Rates\Raw%20Data\Actuals\1991%20Gas%20Utilities%20Actual%20EPS.xlsx" TargetMode="External"/></Relationships>
</file>

<file path=xl/externalLinks/_rels/externalLink114.xml.rels><?xml version="1.0" encoding="UTF-8" standalone="yes"?>
<Relationships xmlns="http://schemas.openxmlformats.org/package/2006/relationships"><Relationship Id="rId1" Type="http://schemas.openxmlformats.org/officeDocument/2006/relationships/externalLinkPath" Target="file:///C:\Users\Jim\Dropbox\Gas%20Utilities%20Growth%20Rates\Raw%20Data\Projections\Gas%20LTG%20Projections%20for%201995.xlsx" TargetMode="External"/></Relationships>
</file>

<file path=xl/externalLinks/_rels/externalLink115.xml.rels><?xml version="1.0" encoding="UTF-8" standalone="yes"?>
<Relationships xmlns="http://schemas.openxmlformats.org/package/2006/relationships"><Relationship Id="rId1" Type="http://schemas.openxmlformats.org/officeDocument/2006/relationships/externalLinkPath" Target="file:///C:\Users\Jim\Dropbox\Electric%20Utilities%20Growth%20Rates\Raw%20Data\1990%20Actual%20EPS.xlsx" TargetMode="External"/></Relationships>
</file>

<file path=xl/externalLinks/_rels/externalLink116.xml.rels><?xml version="1.0" encoding="UTF-8" standalone="yes"?>
<Relationships xmlns="http://schemas.openxmlformats.org/package/2006/relationships"><Relationship Id="rId1" Type="http://schemas.openxmlformats.org/officeDocument/2006/relationships/externalLinkPath" Target="file:///C:\Users\Jim\Dropbox\Electric%20Utilities%20Growth%20Rates\Raw%20Data\LTG%20Projections%20for%201994.xlsx" TargetMode="External"/></Relationships>
</file>

<file path=xl/externalLinks/_rels/externalLink117.xml.rels><?xml version="1.0" encoding="UTF-8" standalone="yes"?>
<Relationships xmlns="http://schemas.openxmlformats.org/package/2006/relationships"><Relationship Id="rId1" Type="http://schemas.openxmlformats.org/officeDocument/2006/relationships/externalLinkPath" Target="file:///C:\Users\Jim\Dropbox\Gas%20Utilities%20Growth%20Rates\Raw%20Data\Actuals\1990%20Gas%20Utilities%20Actual%20EPS.xlsx" TargetMode="External"/></Relationships>
</file>

<file path=xl/externalLinks/_rels/externalLink118.xml.rels><?xml version="1.0" encoding="UTF-8" standalone="yes"?>
<Relationships xmlns="http://schemas.openxmlformats.org/package/2006/relationships"><Relationship Id="rId1" Type="http://schemas.openxmlformats.org/officeDocument/2006/relationships/externalLinkPath" Target="file:///C:\Users\Jim\Dropbox\Gas%20Utilities%20Growth%20Rates\Raw%20Data\Projections\Gas%20LTG%20Projections%20for%201994.xlsx" TargetMode="External"/></Relationships>
</file>

<file path=xl/externalLinks/_rels/externalLink119.xml.rels><?xml version="1.0" encoding="UTF-8" standalone="yes"?>
<Relationships xmlns="http://schemas.openxmlformats.org/package/2006/relationships"><Relationship Id="rId1" Type="http://schemas.openxmlformats.org/officeDocument/2006/relationships/externalLinkPath" Target="file:///C:\Users\Jim\Dropbox\Electric%20Utilities%20Growth%20Rates\Raw%20Data\1989%20Actual%20EPS.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Jim\Dropbox\Gas%20Utilities%20Growth%20Rates\Raw%20Data\Actuals\2019%20Gas%20Utilities%20Actual%20EPS.xlsx" TargetMode="External"/></Relationships>
</file>

<file path=xl/externalLinks/_rels/externalLink120.xml.rels><?xml version="1.0" encoding="UTF-8" standalone="yes"?>
<Relationships xmlns="http://schemas.openxmlformats.org/package/2006/relationships"><Relationship Id="rId1" Type="http://schemas.openxmlformats.org/officeDocument/2006/relationships/externalLinkPath" Target="file:///C:\Users\Jim\Dropbox\Electric%20Utilities%20Growth%20Rates\Raw%20Data\LTG%20Projections%20for%201993.xlsx" TargetMode="External"/></Relationships>
</file>

<file path=xl/externalLinks/_rels/externalLink121.xml.rels><?xml version="1.0" encoding="UTF-8" standalone="yes"?>
<Relationships xmlns="http://schemas.openxmlformats.org/package/2006/relationships"><Relationship Id="rId1" Type="http://schemas.openxmlformats.org/officeDocument/2006/relationships/externalLinkPath" Target="file:///C:\Users\Jim\Dropbox\Gas%20Utilities%20Growth%20Rates\Raw%20Data\Actuals\1989%20Gas%20Utilities%20Actual%20EPS.xlsx" TargetMode="External"/></Relationships>
</file>

<file path=xl/externalLinks/_rels/externalLink122.xml.rels><?xml version="1.0" encoding="UTF-8" standalone="yes"?>
<Relationships xmlns="http://schemas.openxmlformats.org/package/2006/relationships"><Relationship Id="rId1" Type="http://schemas.openxmlformats.org/officeDocument/2006/relationships/externalLinkPath" Target="file:///C:\Users\Jim\Dropbox\Gas%20Utilities%20Growth%20Rates\Raw%20Data\Projections\Gas%20LTG%20Projections%20for%201993.xlsx" TargetMode="External"/></Relationships>
</file>

<file path=xl/externalLinks/_rels/externalLink123.xml.rels><?xml version="1.0" encoding="UTF-8" standalone="yes"?>
<Relationships xmlns="http://schemas.openxmlformats.org/package/2006/relationships"><Relationship Id="rId1" Type="http://schemas.openxmlformats.org/officeDocument/2006/relationships/externalLinkPath" Target="file:///C:\Users\Jim\Dropbox\Electric%20Utilities%20Growth%20Rates\Raw%20Data\1988%20Actual%20EPS.xlsx" TargetMode="External"/></Relationships>
</file>

<file path=xl/externalLinks/_rels/externalLink124.xml.rels><?xml version="1.0" encoding="UTF-8" standalone="yes"?>
<Relationships xmlns="http://schemas.openxmlformats.org/package/2006/relationships"><Relationship Id="rId1" Type="http://schemas.openxmlformats.org/officeDocument/2006/relationships/externalLinkPath" Target="file:///C:\Users\Jim\Dropbox\Electric%20Utilities%20Growth%20Rates\Raw%20Data\LTG%20Projections%20for%201992.xlsx" TargetMode="External"/></Relationships>
</file>

<file path=xl/externalLinks/_rels/externalLink125.xml.rels><?xml version="1.0" encoding="UTF-8" standalone="yes"?>
<Relationships xmlns="http://schemas.openxmlformats.org/package/2006/relationships"><Relationship Id="rId1" Type="http://schemas.openxmlformats.org/officeDocument/2006/relationships/externalLinkPath" Target="file:///C:\Users\Jim\Dropbox\Gas%20Utilities%20Growth%20Rates\Raw%20Data\Actuals\1988%20Gas%20Utilities%20Actual%20EPS.xlsx" TargetMode="External"/></Relationships>
</file>

<file path=xl/externalLinks/_rels/externalLink126.xml.rels><?xml version="1.0" encoding="UTF-8" standalone="yes"?>
<Relationships xmlns="http://schemas.openxmlformats.org/package/2006/relationships"><Relationship Id="rId1" Type="http://schemas.openxmlformats.org/officeDocument/2006/relationships/externalLinkPath" Target="file:///C:\Users\Jim\Dropbox\Gas%20Utilities%20Growth%20Rates\Raw%20Data\Projections\Gas%20LTG%20Projections%20for%201992.xlsx" TargetMode="External"/></Relationships>
</file>

<file path=xl/externalLinks/_rels/externalLink127.xml.rels><?xml version="1.0" encoding="UTF-8" standalone="yes"?>
<Relationships xmlns="http://schemas.openxmlformats.org/package/2006/relationships"><Relationship Id="rId1" Type="http://schemas.openxmlformats.org/officeDocument/2006/relationships/externalLinkPath" Target="file:///C:\Users\Jim\Dropbox\Electric%20Utilities%20Growth%20Rates\Raw%20Data\1987%20Actual%20EPS.xlsx" TargetMode="External"/></Relationships>
</file>

<file path=xl/externalLinks/_rels/externalLink128.xml.rels><?xml version="1.0" encoding="UTF-8" standalone="yes"?>
<Relationships xmlns="http://schemas.openxmlformats.org/package/2006/relationships"><Relationship Id="rId1" Type="http://schemas.openxmlformats.org/officeDocument/2006/relationships/externalLinkPath" Target="file:///C:\Users\Jim\Dropbox\Electric%20Utilities%20Growth%20Rates\Raw%20Data\LTG%20Projections%20for%201991.xlsx" TargetMode="External"/></Relationships>
</file>

<file path=xl/externalLinks/_rels/externalLink129.xml.rels><?xml version="1.0" encoding="UTF-8" standalone="yes"?>
<Relationships xmlns="http://schemas.openxmlformats.org/package/2006/relationships"><Relationship Id="rId1" Type="http://schemas.openxmlformats.org/officeDocument/2006/relationships/externalLinkPath" Target="file:///C:\Users\Jim\Dropbox\Gas%20Utilities%20Growth%20Rates\Raw%20Data\Actuals\1987%20Gas%20Utilities%20Actual%20EPS.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Jim\Dropbox\Gas%20Utilities%20Growth%20Rates\Raw%20Data\Actuals\2015%20Gas%20Utilities%20Actual%20EPS.xlsx" TargetMode="External"/></Relationships>
</file>

<file path=xl/externalLinks/_rels/externalLink130.xml.rels><?xml version="1.0" encoding="UTF-8" standalone="yes"?>
<Relationships xmlns="http://schemas.openxmlformats.org/package/2006/relationships"><Relationship Id="rId1" Type="http://schemas.openxmlformats.org/officeDocument/2006/relationships/externalLinkPath" Target="file:///C:\Users\Jim\Dropbox\Gas%20Utilities%20Growth%20Rates\Raw%20Data\Projections\Gas%20LTG%20Projections%20for%201991.xlsx" TargetMode="External"/></Relationships>
</file>

<file path=xl/externalLinks/_rels/externalLink131.xml.rels><?xml version="1.0" encoding="UTF-8" standalone="yes"?>
<Relationships xmlns="http://schemas.openxmlformats.org/package/2006/relationships"><Relationship Id="rId1" Type="http://schemas.openxmlformats.org/officeDocument/2006/relationships/externalLinkPath" Target="file:///C:\Users\Jim\Dropbox\Electric%20Utilities%20Growth%20Rates\Raw%20Data\1986%20Actual%20EPS.xlsx" TargetMode="External"/></Relationships>
</file>

<file path=xl/externalLinks/_rels/externalLink132.xml.rels><?xml version="1.0" encoding="UTF-8" standalone="yes"?>
<Relationships xmlns="http://schemas.openxmlformats.org/package/2006/relationships"><Relationship Id="rId1" Type="http://schemas.openxmlformats.org/officeDocument/2006/relationships/externalLinkPath" Target="file:///C:\Users\Jim\Dropbox\Electric%20Utilities%20Growth%20Rates\Raw%20Data\LTG%20Projections%20for%201990.xlsx" TargetMode="External"/></Relationships>
</file>

<file path=xl/externalLinks/_rels/externalLink133.xml.rels><?xml version="1.0" encoding="UTF-8" standalone="yes"?>
<Relationships xmlns="http://schemas.openxmlformats.org/package/2006/relationships"><Relationship Id="rId1" Type="http://schemas.openxmlformats.org/officeDocument/2006/relationships/externalLinkPath" Target="file:///C:\Users\Jim\Dropbox\Gas%20Utilities%20Growth%20Rates\Raw%20Data\Actuals\1986%20Gas%20Utilities%20Actual%20EPS.xlsx" TargetMode="External"/></Relationships>
</file>

<file path=xl/externalLinks/_rels/externalLink134.xml.rels><?xml version="1.0" encoding="UTF-8" standalone="yes"?>
<Relationships xmlns="http://schemas.openxmlformats.org/package/2006/relationships"><Relationship Id="rId1" Type="http://schemas.openxmlformats.org/officeDocument/2006/relationships/externalLinkPath" Target="file:///C:\Users\Jim\Dropbox\Gas%20Utilities%20Growth%20Rates\Raw%20Data\Projections\Gas%20LTG%20Projections%20for%201990.xlsx" TargetMode="External"/></Relationships>
</file>

<file path=xl/externalLinks/_rels/externalLink135.xml.rels><?xml version="1.0" encoding="UTF-8" standalone="yes"?>
<Relationships xmlns="http://schemas.openxmlformats.org/package/2006/relationships"><Relationship Id="rId1" Type="http://schemas.openxmlformats.org/officeDocument/2006/relationships/externalLinkPath" Target="file:///C:\Users\Jim\Dropbox\Electric%20Utilities%20Growth%20Rates\Raw%20Data\1985%20Actual%20EPS.xlsx" TargetMode="External"/></Relationships>
</file>

<file path=xl/externalLinks/_rels/externalLink136.xml.rels><?xml version="1.0" encoding="UTF-8" standalone="yes"?>
<Relationships xmlns="http://schemas.openxmlformats.org/package/2006/relationships"><Relationship Id="rId1" Type="http://schemas.openxmlformats.org/officeDocument/2006/relationships/externalLinkPath" Target="file:///C:\Users\Jim\Dropbox\Electric%20Utilities%20Growth%20Rates\Raw%20Data\LTG%20Projections%20for%201989.xlsx" TargetMode="External"/></Relationships>
</file>

<file path=xl/externalLinks/_rels/externalLink137.xml.rels><?xml version="1.0" encoding="UTF-8" standalone="yes"?>
<Relationships xmlns="http://schemas.openxmlformats.org/package/2006/relationships"><Relationship Id="rId1" Type="http://schemas.openxmlformats.org/officeDocument/2006/relationships/externalLinkPath" Target="file:///C:\Users\Jim\Dropbox\Gas%20Utilities%20Growth%20Rates\Raw%20Data\Actuals\1985%20Gas%20Utilities%20Actual%20EPS.xlsx" TargetMode="External"/></Relationships>
</file>

<file path=xl/externalLinks/_rels/externalLink138.xml.rels><?xml version="1.0" encoding="UTF-8" standalone="yes"?>
<Relationships xmlns="http://schemas.openxmlformats.org/package/2006/relationships"><Relationship Id="rId1" Type="http://schemas.openxmlformats.org/officeDocument/2006/relationships/externalLinkPath" Target="file:///C:\Users\Jim\Dropbox\Gas%20Utilities%20Growth%20Rates\Raw%20Data\Projections\Gas%20LTG%20Projections%20for%201989.xlsx" TargetMode="External"/></Relationships>
</file>

<file path=xl/externalLinks/_rels/externalLink139.xml.rels><?xml version="1.0" encoding="UTF-8" standalone="yes"?>
<Relationships xmlns="http://schemas.openxmlformats.org/package/2006/relationships"><Relationship Id="rId1" Type="http://schemas.openxmlformats.org/officeDocument/2006/relationships/externalLinkPath" Target="file:///C:\Users\Jim\Dropbox\Electric%20Utilities%20Growth%20Rates\Raw%20Data\1984%20Actual%20EPS.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Jim\Dropbox\Gas%20Utilities%20Growth%20Rates\Raw%20Data\Projections\Gas%20LTG%20Projections%20for%202019.xlsx" TargetMode="External"/></Relationships>
</file>

<file path=xl/externalLinks/_rels/externalLink140.xml.rels><?xml version="1.0" encoding="UTF-8" standalone="yes"?>
<Relationships xmlns="http://schemas.openxmlformats.org/package/2006/relationships"><Relationship Id="rId1" Type="http://schemas.openxmlformats.org/officeDocument/2006/relationships/externalLinkPath" Target="file:///C:\Users\Jim\Dropbox\Electric%20Utilities%20Growth%20Rates\Raw%20Data\LTG%20Projections%20for%201988.xlsx" TargetMode="External"/></Relationships>
</file>

<file path=xl/externalLinks/_rels/externalLink141.xml.rels><?xml version="1.0" encoding="UTF-8" standalone="yes"?>
<Relationships xmlns="http://schemas.openxmlformats.org/package/2006/relationships"><Relationship Id="rId1" Type="http://schemas.openxmlformats.org/officeDocument/2006/relationships/externalLinkPath" Target="file:///C:\Users\Jim\Dropbox\Gas%20Utilities%20Growth%20Rates\Raw%20Data\Actuals\1984%20Gas%20Utilities%20Actual%20EPS.xlsx" TargetMode="External"/></Relationships>
</file>

<file path=xl/externalLinks/_rels/externalLink142.xml.rels><?xml version="1.0" encoding="UTF-8" standalone="yes"?>
<Relationships xmlns="http://schemas.openxmlformats.org/package/2006/relationships"><Relationship Id="rId1" Type="http://schemas.openxmlformats.org/officeDocument/2006/relationships/externalLinkPath" Target="file:///C:\Users\Jim\Dropbox\Gas%20Utilities%20Growth%20Rates\Raw%20Data\Projections\Gas%20LTG%20Projections%20for%201988.xlsx" TargetMode="External"/></Relationships>
</file>

<file path=xl/externalLinks/_rels/externalLink143.xml.rels><?xml version="1.0" encoding="UTF-8" standalone="yes"?>
<Relationships xmlns="http://schemas.openxmlformats.org/package/2006/relationships"><Relationship Id="rId1" Type="http://schemas.openxmlformats.org/officeDocument/2006/relationships/externalLinkPath" Target="file:///C:\Users\Jim\Dropbox\Electric%20Utilities%20Growth%20Rates\Raw%20Data\1983%20Actual%20EPS.xlsx" TargetMode="External"/></Relationships>
</file>

<file path=xl/externalLinks/_rels/externalLink144.xml.rels><?xml version="1.0" encoding="UTF-8" standalone="yes"?>
<Relationships xmlns="http://schemas.openxmlformats.org/package/2006/relationships"><Relationship Id="rId1" Type="http://schemas.openxmlformats.org/officeDocument/2006/relationships/externalLinkPath" Target="file:///C:\Users\Jim\Dropbox\Electric%20Utilities%20Growth%20Rates\Raw%20Data\LTG%20Projections%20for%201987.xlsx" TargetMode="External"/></Relationships>
</file>

<file path=xl/externalLinks/_rels/externalLink145.xml.rels><?xml version="1.0" encoding="UTF-8" standalone="yes"?>
<Relationships xmlns="http://schemas.openxmlformats.org/package/2006/relationships"><Relationship Id="rId1" Type="http://schemas.openxmlformats.org/officeDocument/2006/relationships/externalLinkPath" Target="file:///C:\Users\Jim\Dropbox\Gas%20Utilities%20Growth%20Rates\Raw%20Data\Actuals\1983%20Gas%20Utilities%20Actual%20EPS.xlsx" TargetMode="External"/></Relationships>
</file>

<file path=xl/externalLinks/_rels/externalLink146.xml.rels><?xml version="1.0" encoding="UTF-8" standalone="yes"?>
<Relationships xmlns="http://schemas.openxmlformats.org/package/2006/relationships"><Relationship Id="rId1" Type="http://schemas.openxmlformats.org/officeDocument/2006/relationships/externalLinkPath" Target="file:///C:\Users\Jim\Dropbox\Gas%20Utilities%20Growth%20Rates\Raw%20Data\Projections\Gas%20LTG%20Projections%20for%201987.xlsx" TargetMode="External"/></Relationships>
</file>

<file path=xl/externalLinks/_rels/externalLink147.xml.rels><?xml version="1.0" encoding="UTF-8" standalone="yes"?>
<Relationships xmlns="http://schemas.openxmlformats.org/package/2006/relationships"><Relationship Id="rId1" Type="http://schemas.openxmlformats.org/officeDocument/2006/relationships/externalLinkPath" Target="file:///C:\Users\Jim\Dropbox\Electric%20Utilities%20Growth%20Rates\Raw%20Data\1982%20Actual%20EPS.xlsx" TargetMode="External"/></Relationships>
</file>

<file path=xl/externalLinks/_rels/externalLink148.xml.rels><?xml version="1.0" encoding="UTF-8" standalone="yes"?>
<Relationships xmlns="http://schemas.openxmlformats.org/package/2006/relationships"><Relationship Id="rId1" Type="http://schemas.openxmlformats.org/officeDocument/2006/relationships/externalLinkPath" Target="file:///C:\Users\Jim\Dropbox\Electric%20Utilities%20Growth%20Rates\Raw%20Data\LTG%20Projections%20for%201986.xlsx" TargetMode="External"/></Relationships>
</file>

<file path=xl/externalLinks/_rels/externalLink149.xml.rels><?xml version="1.0" encoding="UTF-8" standalone="yes"?>
<Relationships xmlns="http://schemas.openxmlformats.org/package/2006/relationships"><Relationship Id="rId1" Type="http://schemas.openxmlformats.org/officeDocument/2006/relationships/externalLinkPath" Target="file:///C:\Users\Jim\Dropbox\Gas%20Utilities%20Growth%20Rates\Raw%20Data\Actuals\1982%20Gas%20Utilities%20Actual%20EPS.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Jim\Dropbox\Electric%20Utilities%20Growth%20Rates\Raw%20Data\2014%20Actual%20EPS.xlsx" TargetMode="External"/></Relationships>
</file>

<file path=xl/externalLinks/_rels/externalLink150.xml.rels><?xml version="1.0" encoding="UTF-8" standalone="yes"?>
<Relationships xmlns="http://schemas.openxmlformats.org/package/2006/relationships"><Relationship Id="rId1" Type="http://schemas.openxmlformats.org/officeDocument/2006/relationships/externalLinkPath" Target="file:///C:\Users\Jim\Dropbox\Gas%20Utilities%20Growth%20Rates\Raw%20Data\Projections\Gas%20LTG%20Projections%20for%201986.xlsx" TargetMode="External"/></Relationships>
</file>

<file path=xl/externalLinks/_rels/externalLink151.xml.rels><?xml version="1.0" encoding="UTF-8" standalone="yes"?>
<Relationships xmlns="http://schemas.openxmlformats.org/package/2006/relationships"><Relationship Id="rId1" Type="http://schemas.openxmlformats.org/officeDocument/2006/relationships/externalLinkPath" Target="file:///C:\Users\Jim\Dropbox\Electric%20Utilities%20Growth%20Rates\Raw%20Data\LTG%20Projections%20for%201985.xlsx" TargetMode="External"/></Relationships>
</file>

<file path=xl/externalLinks/_rels/externalLink152.xml.rels><?xml version="1.0" encoding="UTF-8" standalone="yes"?>
<Relationships xmlns="http://schemas.openxmlformats.org/package/2006/relationships"><Relationship Id="rId1" Type="http://schemas.openxmlformats.org/officeDocument/2006/relationships/externalLinkPath" Target="file:///C:\Users\Jim\Dropbox\Electric%20Utilities%20Growth%20Rates\Raw%20Data\1981%20Actual%20EPS.xlsx" TargetMode="External"/></Relationships>
</file>

<file path=xl/externalLinks/_rels/externalLink153.xml.rels><?xml version="1.0" encoding="UTF-8" standalone="yes"?>
<Relationships xmlns="http://schemas.openxmlformats.org/package/2006/relationships"><Relationship Id="rId1" Type="http://schemas.openxmlformats.org/officeDocument/2006/relationships/externalLinkPath" Target="file:///C:\Users\Jim\Dropbox\Gas%20Utilities%20Growth%20Rates\Raw%20Data\Actuals\1981%20Gas%20Utilities%20Actual%20EPS.xlsx" TargetMode="External"/></Relationships>
</file>

<file path=xl/externalLinks/_rels/externalLink154.xml.rels><?xml version="1.0" encoding="UTF-8" standalone="yes"?>
<Relationships xmlns="http://schemas.openxmlformats.org/package/2006/relationships"><Relationship Id="rId1" Type="http://schemas.openxmlformats.org/officeDocument/2006/relationships/externalLinkPath" Target="file:///C:\Users\Jim\Dropbox\Gas%20Utilities%20Growth%20Rates\Raw%20Data\Projections\Gas%20LTG%20Projections%20for%201985.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Jim\Dropbox\Electric%20Utilities%20Growth%20Rates\Raw%20Data\2018%20Actual%20EPS.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Jim\Dropbox\Electric%20Utilities%20Growth%20Rates\Raw%20Data\LTG%20Projections%20for%202018.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Jim\Dropbox\Gas%20Utilities%20Growth%20Rates\Raw%20Data\Actuals\2018%20Gas%20Utilities%20Actual%20EPS.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Jim\Dropbox\Gas%20Utilities%20Growth%20Rates\Raw%20Data\Actuals\2014%20Gas%20Utilities%20Actual%20EP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im\Dropbox\Electric%20Utilities%20Growth%20Rates\Raw%20Data\LTG%20Projections%20for%202020.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sers\Jim\Dropbox\Gas%20Utilities%20Growth%20Rates\Raw%20Data\Projections\Gas%20LTG%20Projections%20for%202018.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Jim\Dropbox\Electric%20Utilities%20Growth%20Rates\Raw%20Data\2013%20Actual%20EPS.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Users\Jim\Dropbox\Electric%20Utilities%20Growth%20Rates\Raw%20Data\2017%20Actual%20EPS.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Users\Jim\Dropbox\Electric%20Utilities%20Growth%20Rates\Raw%20Data\LTG%20Projections%20for%202017.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Users\Jim\Dropbox\Gas%20Utilities%20Growth%20Rates\Raw%20Data\Actuals\2013%20Gas%20Utilities%20Actual%20EPS.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Users\Jim\Dropbox\Gas%20Utilities%20Growth%20Rates\Raw%20Data\Actuals\2017%20Gas%20Utilities%20Actual%20EPS.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Users\Jim\Dropbox\Gas%20Utilities%20Growth%20Rates\Raw%20Data\Projections\Gas%20LTG%20Projections%20for%202017.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Users\Jim\Dropbox\Electric%20Utilities%20Growth%20Rates\Raw%20Data\2012%20Actual%20EPS.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Users\Jim\Dropbox\Electric%20Utilities%20Growth%20Rates\Raw%20Data\LTG%20Projections%20for%202016.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Users\Jim\Dropbox\Gas%20Utilities%20Growth%20Rates\Raw%20Data\Actuals\2012%20Gas%20Utilities%20Actual%20EP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Jim\Dropbox\Electric%20Utilities%20Growth%20Rates\Raw%20Data\2016%20Actual%20EPS.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Users\Jim\Dropbox\Gas%20Utilities%20Growth%20Rates\Raw%20Data\Projections\Gas%20LTG%20Projections%20for%202016.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Users\Jim\Dropbox\Electric%20Utilities%20Growth%20Rates\Raw%20Data\2011%20Actual%20EPS.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Users\Jim\Dropbox\Electric%20Utilities%20Growth%20Rates\Raw%20Data\LTG%20Projections%20for%202015.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Users\Jim\Dropbox\Gas%20Utilities%20Growth%20Rates\Raw%20Data\Actuals\2011%20Gas%20Utilities%20Actual%20EPS%20.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Users\Jim\Dropbox\Gas%20Utilities%20Growth%20Rates\Raw%20Data\Projections\Gas%20LTG%20Projections%20for%202015.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Users\Jim\Dropbox\Electric%20Utilities%20Growth%20Rates\Raw%20Data\2010%20Actual%20EPS.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Users\Jim\Dropbox\Electric%20Utilities%20Growth%20Rates\Raw%20Data\LTG%20Projections%20for%202014.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Users\Jim\Dropbox\Gas%20Utilities%20Growth%20Rates\Raw%20Data\Actuals\2010%20Gas%20Utilities%20Actual%20EPS.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C:\Users\Jim\Dropbox\Gas%20Utilities%20Growth%20Rates\Raw%20Data\Projections\Gas%20LTG%20Projections%20for%202014.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Users\Jim\Dropbox\Electric%20Utilities%20Growth%20Rates\Raw%20Data\2009%20Actual%20EP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Jim\Dropbox\Electric%20Utilities%20Growth%20Rates\Raw%20Data\2020%20Actual%20EPS%20.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Users\Jim\Dropbox\Electric%20Utilities%20Growth%20Rates\Raw%20Data\LTG%20Projections%20for%202013.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C:\Users\Jim\Dropbox\Gas%20Utilities%20Growth%20Rates\Raw%20Data\Actuals\2009%20Gas%20Utilities%20Actual%20EPS.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Users\Jim\Dropbox\Gas%20Utilities%20Growth%20Rates\Raw%20Data\Projections\Gas%20LTG%20Projections%20for%202013.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Users\Jim\Dropbox\Electric%20Utilities%20Growth%20Rates\Raw%20Data\2008%20Actual%20EPS.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C:\Users\Jim\Dropbox\Electric%20Utilities%20Growth%20Rates\Raw%20Data\LTG%20Projections%20for%202012.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C:\Users\Jim\Dropbox\Gas%20Utilities%20Growth%20Rates\Raw%20Data\Actuals\2008%20Gas%20Utilities%20Actual%20EPS.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C:\Users\Jim\Dropbox\Gas%20Utilities%20Growth%20Rates\Raw%20Data\Projections\Gas%20LTG%20Projections%20for%202012.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C:\Users\Jim\Dropbox\Electric%20Utilities%20Growth%20Rates\Raw%20Data\2007%20Actual%20EPS.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C:\Users\Jim\Dropbox\Electric%20Utilities%20Growth%20Rates\Raw%20Data\LTG%20Projections%20for%202011.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C:\Users\Jim\Dropbox\Gas%20Utilities%20Growth%20Rates\Raw%20Data\Actuals\2007%20Gas%20Utilities%20Actual%20EP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Jim\Dropbox\Gas%20Utilities%20Growth%20Rates\Gas%20Utilties%20Master%20Summary.xlsx"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C:\Users\Jim\Dropbox\Gas%20Utilities%20Growth%20Rates\Raw%20Data\Projections\Gas%20LTG%20Projections%20for%202011.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C:\Users\Jim\Dropbox\Electric%20Utilities%20Growth%20Rates\Raw%20Data\2006%20Actual%20EPS.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C:\Users\Jim\Dropbox\Electric%20Utilities%20Growth%20Rates\Raw%20Data\LTG%20Projections%20for%202010.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C:\Users\Jim\Dropbox\Gas%20Utilities%20Growth%20Rates\Raw%20Data\Actuals\2006%20Gas%20Utilities%20Actual%20EPS.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C:\Users\Jim\Dropbox\Gas%20Utilities%20Growth%20Rates\Raw%20Data\Projections\Gas%20LTG%20Projections%20for%202010.xlsx"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C:\Users\Jim\Dropbox\Electric%20Utilities%20Growth%20Rates\Raw%20Data\2005%20Actual%20EPS.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C:\Users\Jim\Dropbox\Electric%20Utilities%20Growth%20Rates\Raw%20Data\LTG%20Projections%20for%202009.xlsx"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C:\Users\Jim\Dropbox\Gas%20Utilities%20Growth%20Rates\Raw%20Data\Actuals\2005%20Gas%20Utilities%20Actual%20EPS.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C:\Users\Jim\Dropbox\Gas%20Utilities%20Growth%20Rates\Raw%20Data\Projections\Gas%20LTG%20Projections%20for%202009.xlsx"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C:\Users\Jim\Dropbox\Electric%20Utilities%20Growth%20Rates\Raw%20Data\2004%20Actual%20EP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Jim\Dropbox\Gas%20Utilities%20Growth%20Rates\Raw%20Data\Projections\Gas%20LTG%20Projections%20for%202020.xlsx"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C:\Users\Jim\Dropbox\Electric%20Utilities%20Growth%20Rates\Raw%20Data\LTG%20Projections%20for%202008.xlsx"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C:\Users\Jim\Dropbox\Gas%20Utilities%20Growth%20Rates\Raw%20Data\Actuals\2004%20Gas%20Utilities%20Actual%20EPS.xlsx"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C:\Users\Jim\Dropbox\Gas%20Utilities%20Growth%20Rates\Raw%20Data\Projections\Gas%20LTG%20Projections%20for%202008.xlsx"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C:\Users\Jim\Dropbox\Electric%20Utilities%20Growth%20Rates\Raw%20Data\2003%20Actual%20EPS.xlsx"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C:\Users\Jim\Dropbox\Electric%20Utilities%20Growth%20Rates\Raw%20Data\LTG%20Projections%20for%202007.xlsx"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C:\Users\Jim\Dropbox\Gas%20Utilities%20Growth%20Rates\Raw%20Data\Actuals\2003%20Gas%20Utilities%20Actual%20EPS.xlsx"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C:\Users\Jim\Dropbox\Gas%20Utilities%20Growth%20Rates\Raw%20Data\Projections\Gas%20LTG%20Projections%20for%202007.xlsx"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C:\Users\Jim\Dropbox\Electric%20Utilities%20Growth%20Rates\Raw%20Data\2002%20Actual%20EPS.xlsx"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C:\Users\Jim\Dropbox\Electric%20Utilities%20Growth%20Rates\Raw%20Data\LTG%20Projections%20for%202006.xlsx"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C:\Users\Jim\Dropbox\Gas%20Utilities%20Growth%20Rates\Raw%20Data\Actuals\2002%20Gas%20Utilities%20Actual%20EP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Jim\Dropbox\Gas%20Utilities%20Growth%20Rates\Raw%20Data\Actuals\2016%20Gas%20Utilities%20Actual%20EPS.xlsx"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C:\Users\Jim\Dropbox\Gas%20Utilities%20Growth%20Rates\Raw%20Data\Projections\Gas%20LTG%20Projections%20for%202006.xlsx"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C:\Users\Jim\Dropbox\Electric%20Utilities%20Growth%20Rates\Raw%20Data\2001%20Actual%20EPS.xlsx"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C:\Users\Jim\Dropbox\Electric%20Utilities%20Growth%20Rates\Raw%20Data\LTG%20Projections%20for%202005.xlsx"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C:\Users\Jim\Dropbox\Gas%20Utilities%20Growth%20Rates\Raw%20Data\Actuals\2001%20Gas%20Utilities%20Actual%20EPS.xlsx"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C:\Users\Jim\Dropbox\Gas%20Utilities%20Growth%20Rates\Raw%20Data\Projections\Gas%20LTG%20Projections%20for%202005.xlsx"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C:\Users\Jim\Dropbox\Electric%20Utilities%20Growth%20Rates\Raw%20Data\2000%20Actual%20EPS.xlsx"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C:\Users\Jim\Dropbox\Electric%20Utilities%20Growth%20Rates\Raw%20Data\LTG%20Projections%20for%202004.xlsx"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C:\Users\Jim\Dropbox\Gas%20Utilities%20Growth%20Rates\Raw%20Data\Actuals\2000%20Gas%20Utilities%20Actual%20EPS%20.xlsx"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C:\Users\Jim\Dropbox\Gas%20Utilities%20Growth%20Rates\Raw%20Data\Projections\Gas%20LTG%20Projections%20for%202004.xlsx"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C:\Users\Jim\Dropbox\Electric%20Utilities%20Growth%20Rates\Raw%20Data\1999%20Actual%20EP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Jim\Dropbox\Gas%20Utilities%20Growth%20Rates\Raw%20Data\Actuals\2020%20Gas%20Utilities%20Actual%20EPS.xlsx"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C:\Users\Jim\Dropbox\Electric%20Utilities%20Growth%20Rates\Raw%20Data\LTG%20Projections%20for%202003.xlsx"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C:\Users\Jim\Dropbox\Gas%20Utilities%20Growth%20Rates\Raw%20Data\Actuals\1999%20Gas%20Utilities%20Actual%20EPS.xlsx"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C:\Users\Jim\Dropbox\Gas%20Utilities%20Growth%20Rates\Raw%20Data\Projections\Gas%20LTG%20Projections%20for%202003.xlsx"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C:\Users\Jim\Dropbox\Electric%20Utilities%20Growth%20Rates\Raw%20Data\1998%20Actual%20EPS.xlsx"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C:\Users\Jim\Dropbox\Electric%20Utilities%20Growth%20Rates\Raw%20Data\LTG%20Projections%20for%202002.xlsx"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C:\Users\Jim\Dropbox\Gas%20Utilities%20Growth%20Rates\Raw%20Data\Actuals\1998%20Gas%20Utilities%20Actual%20EPS.xlsx"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C:\Users\Jim\Dropbox\Gas%20Utilities%20Growth%20Rates\Raw%20Data\Projections\Gas%20LTG%20Projections%20for%202002.xlsx"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C:\Users\Jim\Dropbox\Electric%20Utilities%20Growth%20Rates\Raw%20Data\1997%20Actual%20EPS.xlsx"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C:\Users\Jim\Dropbox\Electric%20Utilities%20Growth%20Rates\Raw%20Data\LTG%20Projections%20for%202001.xlsx"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C:\Users\Jim\Dropbox\Gas%20Utilities%20Growth%20Rates\Raw%20Data\Actuals\1997%20Gas%20Utilities%20Actual%20EP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Jim\Dropbox\Electric%20Utilities%20Growth%20Rates\Raw%20Data\2015%20Actual%20EPS.xlsx"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C:\Users\Jim\Dropbox\Gas%20Utilities%20Growth%20Rates\Raw%20Data\Projections\Gas%20LTG%20Projections%20for%202001.xlsx"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C:\Users\Jim\Dropbox\Electric%20Utilities%20Growth%20Rates\Raw%20Data\1996%20Actual%20EPS.xlsx"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C:\Users\Jim\Dropbox\Electric%20Utilities%20Growth%20Rates\Raw%20Data\LTG%20Projections%20for%202000.xlsx"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C:\Users\Jim\Dropbox\Gas%20Utilities%20Growth%20Rates\Raw%20Data\Actuals\1996%20Gas%20Utilities%20Actual%20EPS.xlsx"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C:\Users\Jim\Dropbox\Gas%20Utilities%20Growth%20Rates\Raw%20Data\Projections\Gas%20LTG%20Projections%20for%202000.xlsx"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C:\Users\Jim\Dropbox\Electric%20Utilities%20Growth%20Rates\Raw%20Data\1995%20Actual%20EPS.xlsx"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C:\Users\Jim\Dropbox\Electric%20Utilities%20Growth%20Rates\Raw%20Data\LTG%20Projections%20for%201999.xlsx"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C:\Users\Jim\Dropbox\Gas%20Utilities%20Growth%20Rates\Raw%20Data\Actuals\1995%20Gas%20Utilities%20Actual%20EPS.xlsx"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C:\Users\Jim\Dropbox\Gas%20Utilities%20Growth%20Rates\Raw%20Data\Projections\Gas%20LTG%20Projections%20for%201999.xlsx"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C:\Users\Jim\Dropbox\Electric%20Utilities%20Growth%20Rates\Raw%20Data\1994%20Actual%20EP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tatistics"/>
      <sheetName val="Median Study Graphs"/>
      <sheetName val="Mean Study Graphs"/>
      <sheetName val="Master Summary"/>
      <sheetName val="Ticker List"/>
      <sheetName val="2021"/>
      <sheetName val="2020"/>
      <sheetName val="2019"/>
      <sheetName val="2018"/>
      <sheetName val="2017"/>
      <sheetName val="2016"/>
      <sheetName val="2015"/>
      <sheetName val="2014"/>
      <sheetName val="2013"/>
      <sheetName val="2012"/>
      <sheetName val="2011"/>
      <sheetName val="2010"/>
      <sheetName val="2009"/>
      <sheetName val="2008"/>
      <sheetName val="2007"/>
      <sheetName val="2006"/>
      <sheetName val="2005"/>
      <sheetName val="2004"/>
      <sheetName val="2003"/>
      <sheetName val="2002"/>
      <sheetName val="2001"/>
      <sheetName val="2000"/>
      <sheetName val="1999"/>
      <sheetName val="1998"/>
      <sheetName val="1997"/>
      <sheetName val="1996"/>
      <sheetName val="1995"/>
      <sheetName val="1994"/>
      <sheetName val="1993"/>
      <sheetName val="1992"/>
      <sheetName val="1991"/>
      <sheetName val="1990"/>
      <sheetName val="1989"/>
      <sheetName val="1988"/>
      <sheetName val="1987"/>
      <sheetName val="1986"/>
      <sheetName val="1985"/>
    </sheetNames>
    <sheetDataSet>
      <sheetData sheetId="0"/>
      <sheetData sheetId="1"/>
      <sheetData sheetId="2"/>
      <sheetData sheetId="3"/>
      <sheetData sheetId="4">
        <row r="4">
          <cell r="H4" t="str">
            <v>AEE</v>
          </cell>
          <cell r="I4" t="str">
            <v>UEP</v>
          </cell>
        </row>
        <row r="5">
          <cell r="H5" t="str">
            <v>AGR</v>
          </cell>
          <cell r="I5" t="str">
            <v>00YE</v>
          </cell>
        </row>
        <row r="6">
          <cell r="H6" t="str">
            <v>ALE</v>
          </cell>
          <cell r="I6" t="str">
            <v>MPL</v>
          </cell>
        </row>
        <row r="7">
          <cell r="H7" t="str">
            <v>AVA</v>
          </cell>
          <cell r="I7" t="str">
            <v>WWP</v>
          </cell>
        </row>
        <row r="8">
          <cell r="H8" t="str">
            <v>BKH</v>
          </cell>
          <cell r="I8" t="str">
            <v>BHP</v>
          </cell>
        </row>
        <row r="9">
          <cell r="H9" t="str">
            <v>CEG</v>
          </cell>
          <cell r="I9" t="str">
            <v>BGE</v>
          </cell>
        </row>
        <row r="10">
          <cell r="H10" t="str">
            <v>CIN</v>
          </cell>
          <cell r="I10" t="str">
            <v>CIN</v>
          </cell>
        </row>
        <row r="11">
          <cell r="H11" t="str">
            <v>CMS</v>
          </cell>
          <cell r="I11" t="str">
            <v>CMS</v>
          </cell>
        </row>
        <row r="12">
          <cell r="H12" t="str">
            <v>CNL</v>
          </cell>
          <cell r="I12" t="str">
            <v>CNL</v>
          </cell>
        </row>
        <row r="13">
          <cell r="H13" t="str">
            <v>CNP</v>
          </cell>
          <cell r="I13" t="str">
            <v>HOU</v>
          </cell>
        </row>
        <row r="14">
          <cell r="H14" t="str">
            <v>CV</v>
          </cell>
          <cell r="I14" t="str">
            <v>CV</v>
          </cell>
        </row>
        <row r="15">
          <cell r="H15" t="str">
            <v>D</v>
          </cell>
          <cell r="I15" t="str">
            <v>D</v>
          </cell>
        </row>
        <row r="16">
          <cell r="H16" t="str">
            <v>DPL</v>
          </cell>
          <cell r="I16" t="str">
            <v>DPL</v>
          </cell>
        </row>
        <row r="17">
          <cell r="H17" t="str">
            <v>DTE</v>
          </cell>
          <cell r="I17" t="str">
            <v>DTE</v>
          </cell>
        </row>
        <row r="18">
          <cell r="H18" t="str">
            <v>DUK</v>
          </cell>
          <cell r="I18" t="str">
            <v>DUK</v>
          </cell>
        </row>
        <row r="19">
          <cell r="H19" t="str">
            <v>EAS</v>
          </cell>
          <cell r="I19" t="str">
            <v>NGE</v>
          </cell>
        </row>
        <row r="20">
          <cell r="H20" t="str">
            <v>ED</v>
          </cell>
          <cell r="I20" t="str">
            <v>ED</v>
          </cell>
        </row>
        <row r="21">
          <cell r="H21" t="str">
            <v>EDE</v>
          </cell>
          <cell r="I21" t="str">
            <v>EDE</v>
          </cell>
        </row>
        <row r="22">
          <cell r="H22" t="str">
            <v>EIX</v>
          </cell>
          <cell r="I22" t="str">
            <v>SCE</v>
          </cell>
        </row>
        <row r="23">
          <cell r="H23" t="str">
            <v>ETR</v>
          </cell>
          <cell r="I23" t="str">
            <v>MSU</v>
          </cell>
        </row>
        <row r="24">
          <cell r="H24" t="str">
            <v>EVRG</v>
          </cell>
          <cell r="I24" t="str">
            <v>KAN</v>
          </cell>
        </row>
        <row r="25">
          <cell r="H25" t="str">
            <v>EXC</v>
          </cell>
          <cell r="I25" t="str">
            <v>PE</v>
          </cell>
        </row>
        <row r="26">
          <cell r="H26" t="str">
            <v>FE</v>
          </cell>
          <cell r="I26" t="str">
            <v>OEC</v>
          </cell>
        </row>
        <row r="27">
          <cell r="H27" t="str">
            <v>FPL</v>
          </cell>
          <cell r="I27" t="str">
            <v>FPL</v>
          </cell>
        </row>
        <row r="28">
          <cell r="H28" t="str">
            <v>GXP</v>
          </cell>
          <cell r="I28" t="str">
            <v>KLT</v>
          </cell>
        </row>
        <row r="29">
          <cell r="H29" t="str">
            <v>HE</v>
          </cell>
          <cell r="I29" t="str">
            <v>HE</v>
          </cell>
        </row>
        <row r="30">
          <cell r="H30" t="str">
            <v>IDA</v>
          </cell>
          <cell r="I30" t="str">
            <v>IDA</v>
          </cell>
        </row>
        <row r="31">
          <cell r="H31" t="str">
            <v>LNT</v>
          </cell>
          <cell r="I31" t="str">
            <v>WPL</v>
          </cell>
        </row>
        <row r="32">
          <cell r="H32" t="str">
            <v>MGEE</v>
          </cell>
          <cell r="I32" t="str">
            <v>MDSN</v>
          </cell>
        </row>
        <row r="33">
          <cell r="H33" t="str">
            <v>NEE</v>
          </cell>
          <cell r="I33" t="str">
            <v>FPL</v>
          </cell>
        </row>
        <row r="34">
          <cell r="H34" t="str">
            <v>NST</v>
          </cell>
          <cell r="I34" t="str">
            <v>@T6I</v>
          </cell>
        </row>
        <row r="35">
          <cell r="H35" t="str">
            <v>NU</v>
          </cell>
          <cell r="I35" t="str">
            <v>NU</v>
          </cell>
        </row>
        <row r="36">
          <cell r="H36" t="str">
            <v>NWE</v>
          </cell>
          <cell r="I36" t="str">
            <v>NWPS</v>
          </cell>
        </row>
        <row r="37">
          <cell r="H37" t="str">
            <v>OGE</v>
          </cell>
          <cell r="I37" t="str">
            <v>OGE</v>
          </cell>
        </row>
        <row r="38">
          <cell r="H38" t="str">
            <v>OTTR</v>
          </cell>
          <cell r="I38" t="str">
            <v>OTTR</v>
          </cell>
        </row>
        <row r="39">
          <cell r="H39" t="str">
            <v>PCG</v>
          </cell>
          <cell r="I39" t="str">
            <v>PCG</v>
          </cell>
        </row>
        <row r="40">
          <cell r="H40" t="str">
            <v>PEG</v>
          </cell>
          <cell r="I40" t="str">
            <v>PEG</v>
          </cell>
        </row>
        <row r="41">
          <cell r="H41" t="str">
            <v>PGN</v>
          </cell>
          <cell r="I41" t="str">
            <v>CPL</v>
          </cell>
        </row>
        <row r="42">
          <cell r="H42" t="str">
            <v>PNM</v>
          </cell>
          <cell r="I42" t="str">
            <v>PNM</v>
          </cell>
        </row>
        <row r="43">
          <cell r="H43" t="str">
            <v>PNW</v>
          </cell>
          <cell r="I43" t="str">
            <v>AZP</v>
          </cell>
        </row>
        <row r="44">
          <cell r="H44" t="str">
            <v>POM</v>
          </cell>
          <cell r="I44" t="str">
            <v>POM</v>
          </cell>
        </row>
        <row r="45">
          <cell r="H45" t="str">
            <v>POR</v>
          </cell>
          <cell r="I45" t="str">
            <v>PORO</v>
          </cell>
        </row>
        <row r="46">
          <cell r="H46" t="str">
            <v>PPL</v>
          </cell>
          <cell r="I46" t="str">
            <v>PPL</v>
          </cell>
        </row>
        <row r="47">
          <cell r="H47" t="str">
            <v>PSD</v>
          </cell>
          <cell r="I47" t="str">
            <v>PSD</v>
          </cell>
        </row>
        <row r="48">
          <cell r="H48" t="str">
            <v>SCG</v>
          </cell>
          <cell r="I48" t="str">
            <v>SCG</v>
          </cell>
        </row>
        <row r="49">
          <cell r="H49" t="str">
            <v>SO</v>
          </cell>
          <cell r="I49" t="str">
            <v>SO</v>
          </cell>
        </row>
        <row r="50">
          <cell r="H50" t="str">
            <v>SRE</v>
          </cell>
          <cell r="I50" t="str">
            <v>SDO</v>
          </cell>
        </row>
        <row r="51">
          <cell r="H51" t="str">
            <v>TE</v>
          </cell>
          <cell r="I51" t="str">
            <v>TE</v>
          </cell>
        </row>
        <row r="52">
          <cell r="H52" t="str">
            <v>UIL</v>
          </cell>
          <cell r="I52" t="str">
            <v>UIL</v>
          </cell>
        </row>
        <row r="53">
          <cell r="H53" t="str">
            <v>VVC</v>
          </cell>
          <cell r="I53" t="str">
            <v>SIG</v>
          </cell>
        </row>
        <row r="54">
          <cell r="H54" t="str">
            <v>WEC</v>
          </cell>
          <cell r="I54" t="str">
            <v>WPC</v>
          </cell>
        </row>
        <row r="55">
          <cell r="H55" t="str">
            <v>WPS</v>
          </cell>
          <cell r="I55" t="str">
            <v>WPS</v>
          </cell>
        </row>
        <row r="56">
          <cell r="H56" t="str">
            <v>WR</v>
          </cell>
          <cell r="I56" t="str">
            <v>KAN</v>
          </cell>
        </row>
        <row r="57">
          <cell r="H57" t="str">
            <v>XEL</v>
          </cell>
          <cell r="I57" t="str">
            <v>NSP</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RDS"/>
    </sheetNames>
    <sheetDataSet>
      <sheetData sheetId="0">
        <row r="1">
          <cell r="A1" t="str">
            <v>OFTIC</v>
          </cell>
          <cell r="B1" t="str">
            <v>IBES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USFIRM=0 if from .INT file and USFIRM=1 if from .US file</v>
          </cell>
          <cell r="L1" t="str">
            <v>Forecast Period End Date (SAS Format)</v>
          </cell>
          <cell r="M1" t="str">
            <v>Actual Value, from the Detail Actuals File</v>
          </cell>
          <cell r="N1" t="str">
            <v>Announce date of the Actual, from the Detail Actuals File</v>
          </cell>
        </row>
        <row r="2">
          <cell r="A2" t="str">
            <v>AGR</v>
          </cell>
          <cell r="B2" t="str">
            <v>00YE</v>
          </cell>
          <cell r="C2" t="str">
            <v>AVANGRID</v>
          </cell>
          <cell r="D2">
            <v>20191219</v>
          </cell>
          <cell r="E2" t="str">
            <v>EPS</v>
          </cell>
          <cell r="F2" t="str">
            <v>ANN</v>
          </cell>
          <cell r="G2">
            <v>1</v>
          </cell>
          <cell r="H2">
            <v>10</v>
          </cell>
          <cell r="I2">
            <v>2.25</v>
          </cell>
          <cell r="J2">
            <v>2.2400000000000002</v>
          </cell>
          <cell r="K2">
            <v>1</v>
          </cell>
          <cell r="L2">
            <v>20191231</v>
          </cell>
          <cell r="M2">
            <v>2.17</v>
          </cell>
          <cell r="N2">
            <v>20200225</v>
          </cell>
        </row>
        <row r="3">
          <cell r="A3" t="str">
            <v>PNW</v>
          </cell>
          <cell r="B3" t="str">
            <v>AZP</v>
          </cell>
          <cell r="C3" t="str">
            <v>PINNACLE WEST</v>
          </cell>
          <cell r="D3">
            <v>20191219</v>
          </cell>
          <cell r="E3" t="str">
            <v>EPS</v>
          </cell>
          <cell r="F3" t="str">
            <v>ANN</v>
          </cell>
          <cell r="G3">
            <v>1</v>
          </cell>
          <cell r="H3">
            <v>13</v>
          </cell>
          <cell r="I3">
            <v>4.68</v>
          </cell>
          <cell r="J3">
            <v>4.68</v>
          </cell>
          <cell r="K3">
            <v>1</v>
          </cell>
          <cell r="L3">
            <v>20191231</v>
          </cell>
          <cell r="M3">
            <v>4.7699999999999996</v>
          </cell>
          <cell r="N3">
            <v>20200221</v>
          </cell>
        </row>
        <row r="4">
          <cell r="A4" t="str">
            <v>BKH</v>
          </cell>
          <cell r="B4" t="str">
            <v>BHP</v>
          </cell>
          <cell r="C4" t="str">
            <v>BLACK HILLS CP</v>
          </cell>
          <cell r="D4">
            <v>20191219</v>
          </cell>
          <cell r="E4" t="str">
            <v>EPS</v>
          </cell>
          <cell r="F4" t="str">
            <v>ANN</v>
          </cell>
          <cell r="G4">
            <v>1</v>
          </cell>
          <cell r="H4">
            <v>7</v>
          </cell>
          <cell r="I4">
            <v>3.5</v>
          </cell>
          <cell r="J4">
            <v>3.43</v>
          </cell>
          <cell r="K4">
            <v>1</v>
          </cell>
          <cell r="L4">
            <v>20191231</v>
          </cell>
          <cell r="M4">
            <v>3.53</v>
          </cell>
          <cell r="N4">
            <v>20200206</v>
          </cell>
        </row>
        <row r="5">
          <cell r="A5" t="str">
            <v>CMS</v>
          </cell>
          <cell r="B5" t="str">
            <v>CMS</v>
          </cell>
          <cell r="C5" t="str">
            <v>CMS ENERGY</v>
          </cell>
          <cell r="D5">
            <v>20191219</v>
          </cell>
          <cell r="E5" t="str">
            <v>EPS</v>
          </cell>
          <cell r="F5" t="str">
            <v>ANN</v>
          </cell>
          <cell r="G5">
            <v>1</v>
          </cell>
          <cell r="H5">
            <v>17</v>
          </cell>
          <cell r="I5">
            <v>2.4900000000000002</v>
          </cell>
          <cell r="J5">
            <v>2.4900000000000002</v>
          </cell>
          <cell r="K5">
            <v>1</v>
          </cell>
          <cell r="L5">
            <v>20191231</v>
          </cell>
          <cell r="M5">
            <v>2.4900000000000002</v>
          </cell>
          <cell r="N5">
            <v>20200130</v>
          </cell>
        </row>
        <row r="6">
          <cell r="A6" t="str">
            <v>D</v>
          </cell>
          <cell r="B6" t="str">
            <v>D</v>
          </cell>
          <cell r="C6" t="str">
            <v>DOMINION US</v>
          </cell>
          <cell r="D6">
            <v>20191219</v>
          </cell>
          <cell r="E6" t="str">
            <v>EPS</v>
          </cell>
          <cell r="F6" t="str">
            <v>ANN</v>
          </cell>
          <cell r="G6">
            <v>1</v>
          </cell>
          <cell r="H6">
            <v>14</v>
          </cell>
          <cell r="I6">
            <v>4.2</v>
          </cell>
          <cell r="J6">
            <v>4.21</v>
          </cell>
          <cell r="K6">
            <v>1</v>
          </cell>
          <cell r="L6">
            <v>20191231</v>
          </cell>
          <cell r="M6">
            <v>4.24</v>
          </cell>
          <cell r="N6">
            <v>20200211</v>
          </cell>
        </row>
        <row r="7">
          <cell r="A7" t="str">
            <v>DTE</v>
          </cell>
          <cell r="B7" t="str">
            <v>DTE</v>
          </cell>
          <cell r="C7" t="str">
            <v>DTE ENERGY</v>
          </cell>
          <cell r="D7">
            <v>20191219</v>
          </cell>
          <cell r="E7" t="str">
            <v>EPS</v>
          </cell>
          <cell r="F7" t="str">
            <v>ANN</v>
          </cell>
          <cell r="G7">
            <v>1</v>
          </cell>
          <cell r="H7">
            <v>14</v>
          </cell>
          <cell r="I7">
            <v>6.25</v>
          </cell>
          <cell r="J7">
            <v>6.24</v>
          </cell>
          <cell r="K7">
            <v>1</v>
          </cell>
          <cell r="L7">
            <v>20191231</v>
          </cell>
          <cell r="M7">
            <v>6.3</v>
          </cell>
          <cell r="N7">
            <v>20200205</v>
          </cell>
        </row>
        <row r="8">
          <cell r="A8" t="str">
            <v>DUK</v>
          </cell>
          <cell r="B8" t="str">
            <v>DUK</v>
          </cell>
          <cell r="C8" t="str">
            <v>DUKE ENERGY</v>
          </cell>
          <cell r="D8">
            <v>20191219</v>
          </cell>
          <cell r="E8" t="str">
            <v>EPS</v>
          </cell>
          <cell r="F8" t="str">
            <v>ANN</v>
          </cell>
          <cell r="G8">
            <v>1</v>
          </cell>
          <cell r="H8">
            <v>18</v>
          </cell>
          <cell r="I8">
            <v>5.01</v>
          </cell>
          <cell r="J8">
            <v>5.0199999999999996</v>
          </cell>
          <cell r="K8">
            <v>1</v>
          </cell>
          <cell r="L8">
            <v>20191231</v>
          </cell>
          <cell r="M8">
            <v>5.0599999999999996</v>
          </cell>
          <cell r="N8">
            <v>20200213</v>
          </cell>
        </row>
        <row r="9">
          <cell r="A9" t="str">
            <v>ED</v>
          </cell>
          <cell r="B9" t="str">
            <v>ED</v>
          </cell>
          <cell r="C9" t="str">
            <v>CONSOLIDATED EDI</v>
          </cell>
          <cell r="D9">
            <v>20191219</v>
          </cell>
          <cell r="E9" t="str">
            <v>EPS</v>
          </cell>
          <cell r="F9" t="str">
            <v>ANN</v>
          </cell>
          <cell r="G9">
            <v>1</v>
          </cell>
          <cell r="H9">
            <v>15</v>
          </cell>
          <cell r="I9">
            <v>4.3099999999999996</v>
          </cell>
          <cell r="J9">
            <v>4.32</v>
          </cell>
          <cell r="K9">
            <v>1</v>
          </cell>
          <cell r="L9">
            <v>20191231</v>
          </cell>
          <cell r="M9">
            <v>4.38</v>
          </cell>
          <cell r="N9">
            <v>20200220</v>
          </cell>
        </row>
        <row r="10">
          <cell r="A10" t="str">
            <v>NEE</v>
          </cell>
          <cell r="B10" t="str">
            <v>FPL</v>
          </cell>
          <cell r="C10" t="str">
            <v>NEXTERA ENERGY</v>
          </cell>
          <cell r="D10">
            <v>20191219</v>
          </cell>
          <cell r="E10" t="str">
            <v>EPS</v>
          </cell>
          <cell r="F10" t="str">
            <v>ANN</v>
          </cell>
          <cell r="G10">
            <v>1</v>
          </cell>
          <cell r="H10">
            <v>17</v>
          </cell>
          <cell r="I10">
            <v>2.1</v>
          </cell>
          <cell r="J10">
            <v>2.09</v>
          </cell>
          <cell r="K10">
            <v>1</v>
          </cell>
          <cell r="L10">
            <v>20191231</v>
          </cell>
          <cell r="M10">
            <v>2.0924999999999998</v>
          </cell>
          <cell r="N10">
            <v>20200124</v>
          </cell>
        </row>
        <row r="11">
          <cell r="A11" t="str">
            <v>HE</v>
          </cell>
          <cell r="B11" t="str">
            <v>HE</v>
          </cell>
          <cell r="C11" t="str">
            <v>HAWAIIAN ELEC</v>
          </cell>
          <cell r="D11">
            <v>20191219</v>
          </cell>
          <cell r="E11" t="str">
            <v>EPS</v>
          </cell>
          <cell r="F11" t="str">
            <v>ANN</v>
          </cell>
          <cell r="G11">
            <v>1</v>
          </cell>
          <cell r="H11">
            <v>6</v>
          </cell>
          <cell r="I11">
            <v>1.91</v>
          </cell>
          <cell r="J11">
            <v>1.92</v>
          </cell>
          <cell r="K11">
            <v>1</v>
          </cell>
          <cell r="L11">
            <v>20191231</v>
          </cell>
          <cell r="M11">
            <v>1.99</v>
          </cell>
          <cell r="N11">
            <v>20200213</v>
          </cell>
        </row>
        <row r="12">
          <cell r="A12" t="str">
            <v>CNP</v>
          </cell>
          <cell r="B12" t="str">
            <v>HOU</v>
          </cell>
          <cell r="C12" t="str">
            <v>CENTERPNT ENERGY</v>
          </cell>
          <cell r="D12">
            <v>20191219</v>
          </cell>
          <cell r="E12" t="str">
            <v>EPS</v>
          </cell>
          <cell r="F12" t="str">
            <v>ANN</v>
          </cell>
          <cell r="G12">
            <v>1</v>
          </cell>
          <cell r="H12">
            <v>14</v>
          </cell>
          <cell r="I12">
            <v>1.69</v>
          </cell>
          <cell r="J12">
            <v>1.69</v>
          </cell>
          <cell r="K12">
            <v>1</v>
          </cell>
          <cell r="L12">
            <v>20191231</v>
          </cell>
          <cell r="M12">
            <v>1.79</v>
          </cell>
          <cell r="N12">
            <v>20200227</v>
          </cell>
        </row>
        <row r="13">
          <cell r="A13" t="str">
            <v>IDA</v>
          </cell>
          <cell r="B13" t="str">
            <v>IDA</v>
          </cell>
          <cell r="C13" t="str">
            <v>IDACORP INC.</v>
          </cell>
          <cell r="D13">
            <v>20191219</v>
          </cell>
          <cell r="E13" t="str">
            <v>EPS</v>
          </cell>
          <cell r="F13" t="str">
            <v>ANN</v>
          </cell>
          <cell r="G13">
            <v>1</v>
          </cell>
          <cell r="H13">
            <v>3</v>
          </cell>
          <cell r="I13">
            <v>4.45</v>
          </cell>
          <cell r="J13">
            <v>4.4400000000000004</v>
          </cell>
          <cell r="K13">
            <v>1</v>
          </cell>
          <cell r="L13">
            <v>20191231</v>
          </cell>
          <cell r="M13">
            <v>4.6100000000000003</v>
          </cell>
          <cell r="N13">
            <v>20200220</v>
          </cell>
        </row>
        <row r="14">
          <cell r="A14" t="str">
            <v>EVRG</v>
          </cell>
          <cell r="B14" t="str">
            <v>KAN</v>
          </cell>
          <cell r="C14" t="str">
            <v>EVERGY</v>
          </cell>
          <cell r="D14">
            <v>20191219</v>
          </cell>
          <cell r="E14" t="str">
            <v>EPS</v>
          </cell>
          <cell r="F14" t="str">
            <v>ANN</v>
          </cell>
          <cell r="G14">
            <v>1</v>
          </cell>
          <cell r="H14">
            <v>9</v>
          </cell>
          <cell r="I14">
            <v>2.9</v>
          </cell>
          <cell r="J14">
            <v>2.89</v>
          </cell>
          <cell r="K14">
            <v>1</v>
          </cell>
          <cell r="L14">
            <v>20191231</v>
          </cell>
          <cell r="M14">
            <v>2.89</v>
          </cell>
          <cell r="N14">
            <v>20200302</v>
          </cell>
        </row>
        <row r="15">
          <cell r="A15" t="str">
            <v>ALE</v>
          </cell>
          <cell r="B15" t="str">
            <v>MPL</v>
          </cell>
          <cell r="C15" t="str">
            <v>ALLETE INC</v>
          </cell>
          <cell r="D15">
            <v>20191219</v>
          </cell>
          <cell r="E15" t="str">
            <v>EPS</v>
          </cell>
          <cell r="F15" t="str">
            <v>ANN</v>
          </cell>
          <cell r="G15">
            <v>1</v>
          </cell>
          <cell r="H15">
            <v>3</v>
          </cell>
          <cell r="I15">
            <v>3.55</v>
          </cell>
          <cell r="J15">
            <v>3.56</v>
          </cell>
          <cell r="K15">
            <v>1</v>
          </cell>
          <cell r="L15">
            <v>20191231</v>
          </cell>
          <cell r="M15">
            <v>3.59</v>
          </cell>
          <cell r="N15">
            <v>20200213</v>
          </cell>
        </row>
        <row r="16">
          <cell r="A16" t="str">
            <v>ETR</v>
          </cell>
          <cell r="B16" t="str">
            <v>MSU</v>
          </cell>
          <cell r="C16" t="str">
            <v>ENTERGY</v>
          </cell>
          <cell r="D16">
            <v>20191219</v>
          </cell>
          <cell r="E16" t="str">
            <v>EPS</v>
          </cell>
          <cell r="F16" t="str">
            <v>ANN</v>
          </cell>
          <cell r="G16">
            <v>1</v>
          </cell>
          <cell r="H16">
            <v>10</v>
          </cell>
          <cell r="I16">
            <v>5.35</v>
          </cell>
          <cell r="J16">
            <v>5.34</v>
          </cell>
          <cell r="K16">
            <v>1</v>
          </cell>
          <cell r="L16">
            <v>20191231</v>
          </cell>
          <cell r="M16">
            <v>5.4</v>
          </cell>
          <cell r="N16">
            <v>20200219</v>
          </cell>
        </row>
        <row r="17">
          <cell r="A17" t="str">
            <v>XEL</v>
          </cell>
          <cell r="B17" t="str">
            <v>NSP</v>
          </cell>
          <cell r="C17" t="str">
            <v>XCEL ENERGY</v>
          </cell>
          <cell r="D17">
            <v>20191219</v>
          </cell>
          <cell r="E17" t="str">
            <v>EPS</v>
          </cell>
          <cell r="F17" t="str">
            <v>ANN</v>
          </cell>
          <cell r="G17">
            <v>1</v>
          </cell>
          <cell r="H17">
            <v>15</v>
          </cell>
          <cell r="I17">
            <v>2.62</v>
          </cell>
          <cell r="J17">
            <v>2.62</v>
          </cell>
          <cell r="K17">
            <v>1</v>
          </cell>
          <cell r="L17">
            <v>20191231</v>
          </cell>
          <cell r="M17">
            <v>2.64</v>
          </cell>
          <cell r="N17">
            <v>20200130</v>
          </cell>
        </row>
        <row r="18">
          <cell r="A18" t="str">
            <v>NWE</v>
          </cell>
          <cell r="B18" t="str">
            <v>NWPS</v>
          </cell>
          <cell r="C18" t="str">
            <v>NORTHWESTERN US</v>
          </cell>
          <cell r="D18">
            <v>20191219</v>
          </cell>
          <cell r="E18" t="str">
            <v>EPS</v>
          </cell>
          <cell r="F18" t="str">
            <v>ANN</v>
          </cell>
          <cell r="G18">
            <v>1</v>
          </cell>
          <cell r="H18">
            <v>3</v>
          </cell>
          <cell r="I18">
            <v>3.43</v>
          </cell>
          <cell r="J18">
            <v>3.43</v>
          </cell>
          <cell r="K18">
            <v>1</v>
          </cell>
          <cell r="L18">
            <v>20191231</v>
          </cell>
          <cell r="M18">
            <v>3.42</v>
          </cell>
          <cell r="N18">
            <v>20200212</v>
          </cell>
        </row>
        <row r="19">
          <cell r="A19" t="str">
            <v>FE</v>
          </cell>
          <cell r="B19" t="str">
            <v>OEC</v>
          </cell>
          <cell r="C19" t="str">
            <v>FIRSTENERGY</v>
          </cell>
          <cell r="D19">
            <v>20191219</v>
          </cell>
          <cell r="E19" t="str">
            <v>EPS</v>
          </cell>
          <cell r="F19" t="str">
            <v>ANN</v>
          </cell>
          <cell r="G19">
            <v>1</v>
          </cell>
          <cell r="H19">
            <v>16</v>
          </cell>
          <cell r="I19">
            <v>2.5099999999999998</v>
          </cell>
          <cell r="J19">
            <v>2.5099999999999998</v>
          </cell>
          <cell r="K19">
            <v>1</v>
          </cell>
          <cell r="L19">
            <v>20191231</v>
          </cell>
          <cell r="M19">
            <v>2.58</v>
          </cell>
          <cell r="N19">
            <v>20200207</v>
          </cell>
        </row>
        <row r="20">
          <cell r="A20" t="str">
            <v>OGE</v>
          </cell>
          <cell r="B20" t="str">
            <v>OGE</v>
          </cell>
          <cell r="C20" t="str">
            <v>OGE ENERGY CORP</v>
          </cell>
          <cell r="D20">
            <v>20191219</v>
          </cell>
          <cell r="E20" t="str">
            <v>EPS</v>
          </cell>
          <cell r="F20" t="str">
            <v>ANN</v>
          </cell>
          <cell r="G20">
            <v>1</v>
          </cell>
          <cell r="H20">
            <v>10</v>
          </cell>
          <cell r="I20">
            <v>2.27</v>
          </cell>
          <cell r="J20">
            <v>2.23</v>
          </cell>
          <cell r="K20">
            <v>1</v>
          </cell>
          <cell r="L20">
            <v>20191231</v>
          </cell>
          <cell r="M20">
            <v>2.16</v>
          </cell>
          <cell r="N20">
            <v>20200227</v>
          </cell>
        </row>
        <row r="21">
          <cell r="A21" t="str">
            <v>OTTR</v>
          </cell>
          <cell r="B21" t="str">
            <v>OTTR</v>
          </cell>
          <cell r="C21" t="str">
            <v>OTTER TAIL</v>
          </cell>
          <cell r="D21">
            <v>20191219</v>
          </cell>
          <cell r="E21" t="str">
            <v>EPS</v>
          </cell>
          <cell r="F21" t="str">
            <v>ANN</v>
          </cell>
          <cell r="G21">
            <v>1</v>
          </cell>
          <cell r="H21">
            <v>4</v>
          </cell>
          <cell r="I21">
            <v>2.17</v>
          </cell>
          <cell r="J21">
            <v>2.17</v>
          </cell>
          <cell r="K21">
            <v>1</v>
          </cell>
          <cell r="L21">
            <v>20191231</v>
          </cell>
          <cell r="M21">
            <v>2.17</v>
          </cell>
          <cell r="N21">
            <v>20200217</v>
          </cell>
        </row>
        <row r="22">
          <cell r="A22" t="str">
            <v>PCG</v>
          </cell>
          <cell r="B22" t="str">
            <v>PCG</v>
          </cell>
          <cell r="C22" t="str">
            <v>PG&amp;E US</v>
          </cell>
          <cell r="D22">
            <v>20191219</v>
          </cell>
          <cell r="E22" t="str">
            <v>EPS</v>
          </cell>
          <cell r="F22" t="str">
            <v>ANN</v>
          </cell>
          <cell r="G22">
            <v>1</v>
          </cell>
          <cell r="H22">
            <v>10</v>
          </cell>
          <cell r="I22">
            <v>3.86</v>
          </cell>
          <cell r="J22">
            <v>3.91</v>
          </cell>
          <cell r="K22">
            <v>1</v>
          </cell>
          <cell r="L22">
            <v>20191231</v>
          </cell>
          <cell r="M22">
            <v>3.93</v>
          </cell>
          <cell r="N22">
            <v>20200218</v>
          </cell>
        </row>
        <row r="23">
          <cell r="A23" t="str">
            <v>EXC</v>
          </cell>
          <cell r="B23" t="str">
            <v>PE</v>
          </cell>
          <cell r="C23" t="str">
            <v>EXELON</v>
          </cell>
          <cell r="D23">
            <v>20191219</v>
          </cell>
          <cell r="E23" t="str">
            <v>EPS</v>
          </cell>
          <cell r="F23" t="str">
            <v>ANN</v>
          </cell>
          <cell r="G23">
            <v>1</v>
          </cell>
          <cell r="H23">
            <v>17</v>
          </cell>
          <cell r="I23">
            <v>3.13</v>
          </cell>
          <cell r="J23">
            <v>3.13</v>
          </cell>
          <cell r="K23">
            <v>1</v>
          </cell>
          <cell r="L23">
            <v>20191231</v>
          </cell>
          <cell r="M23">
            <v>3.22</v>
          </cell>
          <cell r="N23">
            <v>20200211</v>
          </cell>
        </row>
        <row r="24">
          <cell r="A24" t="str">
            <v>PEG</v>
          </cell>
          <cell r="B24" t="str">
            <v>PEG</v>
          </cell>
          <cell r="C24" t="str">
            <v>PSEG</v>
          </cell>
          <cell r="D24">
            <v>20191219</v>
          </cell>
          <cell r="E24" t="str">
            <v>EPS</v>
          </cell>
          <cell r="F24" t="str">
            <v>ANN</v>
          </cell>
          <cell r="G24">
            <v>1</v>
          </cell>
          <cell r="H24">
            <v>15</v>
          </cell>
          <cell r="I24">
            <v>3.25</v>
          </cell>
          <cell r="J24">
            <v>3.24</v>
          </cell>
          <cell r="K24">
            <v>1</v>
          </cell>
          <cell r="L24">
            <v>20191231</v>
          </cell>
          <cell r="M24">
            <v>3.28</v>
          </cell>
          <cell r="N24">
            <v>20200226</v>
          </cell>
        </row>
        <row r="25">
          <cell r="A25" t="str">
            <v>PNM</v>
          </cell>
          <cell r="B25" t="str">
            <v>PNM</v>
          </cell>
          <cell r="C25" t="str">
            <v>PNM RESOURCES</v>
          </cell>
          <cell r="D25">
            <v>20191219</v>
          </cell>
          <cell r="E25" t="str">
            <v>EPS</v>
          </cell>
          <cell r="F25" t="str">
            <v>ANN</v>
          </cell>
          <cell r="G25">
            <v>1</v>
          </cell>
          <cell r="H25">
            <v>8</v>
          </cell>
          <cell r="I25">
            <v>2.12</v>
          </cell>
          <cell r="J25">
            <v>2.12</v>
          </cell>
          <cell r="K25">
            <v>1</v>
          </cell>
          <cell r="L25">
            <v>20191231</v>
          </cell>
          <cell r="M25">
            <v>2.16</v>
          </cell>
          <cell r="N25">
            <v>20200228</v>
          </cell>
        </row>
        <row r="26">
          <cell r="A26" t="str">
            <v>POR</v>
          </cell>
          <cell r="B26" t="str">
            <v>PORO</v>
          </cell>
          <cell r="C26" t="str">
            <v>PORTLAND GENERAL</v>
          </cell>
          <cell r="D26">
            <v>20191219</v>
          </cell>
          <cell r="E26" t="str">
            <v>EPS</v>
          </cell>
          <cell r="F26" t="str">
            <v>ANN</v>
          </cell>
          <cell r="G26">
            <v>1</v>
          </cell>
          <cell r="H26">
            <v>10</v>
          </cell>
          <cell r="I26">
            <v>2.39</v>
          </cell>
          <cell r="J26">
            <v>2.39</v>
          </cell>
          <cell r="K26">
            <v>1</v>
          </cell>
          <cell r="L26">
            <v>20191231</v>
          </cell>
          <cell r="M26">
            <v>2.39</v>
          </cell>
          <cell r="N26">
            <v>20200214</v>
          </cell>
        </row>
        <row r="27">
          <cell r="A27" t="str">
            <v>PPL</v>
          </cell>
          <cell r="B27" t="str">
            <v>PPL</v>
          </cell>
          <cell r="C27" t="str">
            <v>PPL</v>
          </cell>
          <cell r="D27">
            <v>20191219</v>
          </cell>
          <cell r="E27" t="str">
            <v>EPS</v>
          </cell>
          <cell r="F27" t="str">
            <v>ANN</v>
          </cell>
          <cell r="G27">
            <v>1</v>
          </cell>
          <cell r="H27">
            <v>12</v>
          </cell>
          <cell r="I27">
            <v>2.4300000000000002</v>
          </cell>
          <cell r="J27">
            <v>2.44</v>
          </cell>
          <cell r="K27">
            <v>1</v>
          </cell>
          <cell r="L27">
            <v>20191231</v>
          </cell>
          <cell r="M27">
            <v>2.4500000000000002</v>
          </cell>
          <cell r="N27">
            <v>20200214</v>
          </cell>
        </row>
        <row r="28">
          <cell r="A28" t="str">
            <v>EIX</v>
          </cell>
          <cell r="B28" t="str">
            <v>SCE</v>
          </cell>
          <cell r="C28" t="str">
            <v>EDISON INTL</v>
          </cell>
          <cell r="D28">
            <v>20191219</v>
          </cell>
          <cell r="E28" t="str">
            <v>EPS</v>
          </cell>
          <cell r="F28" t="str">
            <v>ANN</v>
          </cell>
          <cell r="G28">
            <v>1</v>
          </cell>
          <cell r="H28">
            <v>14</v>
          </cell>
          <cell r="I28">
            <v>4.75</v>
          </cell>
          <cell r="J28">
            <v>4.6900000000000004</v>
          </cell>
          <cell r="K28">
            <v>1</v>
          </cell>
          <cell r="L28">
            <v>20191231</v>
          </cell>
          <cell r="M28">
            <v>4.7</v>
          </cell>
          <cell r="N28">
            <v>20200227</v>
          </cell>
        </row>
        <row r="29">
          <cell r="A29" t="str">
            <v>SRE</v>
          </cell>
          <cell r="B29" t="str">
            <v>SDO</v>
          </cell>
          <cell r="C29" t="str">
            <v>SEMPRA USA</v>
          </cell>
          <cell r="D29">
            <v>20191219</v>
          </cell>
          <cell r="E29" t="str">
            <v>EPS</v>
          </cell>
          <cell r="F29" t="str">
            <v>ANN</v>
          </cell>
          <cell r="G29">
            <v>1</v>
          </cell>
          <cell r="H29">
            <v>14</v>
          </cell>
          <cell r="I29">
            <v>6.16</v>
          </cell>
          <cell r="J29">
            <v>6.14</v>
          </cell>
          <cell r="K29">
            <v>1</v>
          </cell>
          <cell r="L29">
            <v>20191231</v>
          </cell>
          <cell r="M29">
            <v>6.78</v>
          </cell>
          <cell r="N29">
            <v>20200227</v>
          </cell>
        </row>
        <row r="30">
          <cell r="A30" t="str">
            <v>SO</v>
          </cell>
          <cell r="B30" t="str">
            <v>SO</v>
          </cell>
          <cell r="C30" t="str">
            <v>SOUTHERN CO</v>
          </cell>
          <cell r="D30">
            <v>20191219</v>
          </cell>
          <cell r="E30" t="str">
            <v>EPS</v>
          </cell>
          <cell r="F30" t="str">
            <v>ANN</v>
          </cell>
          <cell r="G30">
            <v>1</v>
          </cell>
          <cell r="H30">
            <v>19</v>
          </cell>
          <cell r="I30">
            <v>3.1</v>
          </cell>
          <cell r="J30">
            <v>3.1</v>
          </cell>
          <cell r="K30">
            <v>1</v>
          </cell>
          <cell r="L30">
            <v>20191231</v>
          </cell>
          <cell r="M30">
            <v>3.11</v>
          </cell>
          <cell r="N30">
            <v>20200220</v>
          </cell>
        </row>
        <row r="31">
          <cell r="A31" t="str">
            <v>AEE</v>
          </cell>
          <cell r="B31" t="str">
            <v>UEP</v>
          </cell>
          <cell r="C31" t="str">
            <v>AMEREN</v>
          </cell>
          <cell r="D31">
            <v>20191219</v>
          </cell>
          <cell r="E31" t="str">
            <v>EPS</v>
          </cell>
          <cell r="F31" t="str">
            <v>ANN</v>
          </cell>
          <cell r="G31">
            <v>1</v>
          </cell>
          <cell r="H31">
            <v>11</v>
          </cell>
          <cell r="I31">
            <v>3.25</v>
          </cell>
          <cell r="J31">
            <v>3.27</v>
          </cell>
          <cell r="K31">
            <v>1</v>
          </cell>
          <cell r="L31">
            <v>20191231</v>
          </cell>
          <cell r="M31">
            <v>3.35</v>
          </cell>
          <cell r="N31">
            <v>20200226</v>
          </cell>
        </row>
        <row r="32">
          <cell r="A32" t="str">
            <v>WEC</v>
          </cell>
          <cell r="B32" t="str">
            <v>WPC</v>
          </cell>
          <cell r="C32" t="str">
            <v>WEC ENERGY GROUP</v>
          </cell>
          <cell r="D32">
            <v>20191219</v>
          </cell>
          <cell r="E32" t="str">
            <v>EPS</v>
          </cell>
          <cell r="F32" t="str">
            <v>ANN</v>
          </cell>
          <cell r="G32">
            <v>1</v>
          </cell>
          <cell r="H32">
            <v>15</v>
          </cell>
          <cell r="I32">
            <v>3.53</v>
          </cell>
          <cell r="J32">
            <v>3.53</v>
          </cell>
          <cell r="K32">
            <v>1</v>
          </cell>
          <cell r="L32">
            <v>20191231</v>
          </cell>
          <cell r="M32">
            <v>3.58</v>
          </cell>
          <cell r="N32">
            <v>20200130</v>
          </cell>
        </row>
        <row r="33">
          <cell r="A33" t="str">
            <v>LNT</v>
          </cell>
          <cell r="B33" t="str">
            <v>WPL</v>
          </cell>
          <cell r="C33" t="str">
            <v>ALLIANT ENER</v>
          </cell>
          <cell r="D33">
            <v>20191219</v>
          </cell>
          <cell r="E33" t="str">
            <v>EPS</v>
          </cell>
          <cell r="F33" t="str">
            <v>ANN</v>
          </cell>
          <cell r="G33">
            <v>1</v>
          </cell>
          <cell r="H33">
            <v>8</v>
          </cell>
          <cell r="I33">
            <v>2.2999999999999998</v>
          </cell>
          <cell r="J33">
            <v>2.31</v>
          </cell>
          <cell r="K33">
            <v>1</v>
          </cell>
          <cell r="L33">
            <v>20191231</v>
          </cell>
          <cell r="M33">
            <v>2.33</v>
          </cell>
          <cell r="N33">
            <v>20200220</v>
          </cell>
        </row>
        <row r="34">
          <cell r="A34" t="str">
            <v>AVA</v>
          </cell>
          <cell r="B34" t="str">
            <v>WWP</v>
          </cell>
          <cell r="C34" t="str">
            <v>AVISTA US</v>
          </cell>
          <cell r="D34">
            <v>20191219</v>
          </cell>
          <cell r="E34" t="str">
            <v>EPS</v>
          </cell>
          <cell r="F34" t="str">
            <v>ANN</v>
          </cell>
          <cell r="G34">
            <v>1</v>
          </cell>
          <cell r="H34">
            <v>3</v>
          </cell>
          <cell r="I34">
            <v>1.9</v>
          </cell>
          <cell r="J34">
            <v>1.9</v>
          </cell>
          <cell r="K34">
            <v>1</v>
          </cell>
          <cell r="L34">
            <v>20191231</v>
          </cell>
          <cell r="M34">
            <v>1.89</v>
          </cell>
          <cell r="N34">
            <v>20200226</v>
          </cell>
        </row>
        <row r="35">
          <cell r="A35" t="str">
            <v>SCG</v>
          </cell>
          <cell r="B35" t="str">
            <v>@006C</v>
          </cell>
          <cell r="C35" t="str">
            <v>SCENTRE</v>
          </cell>
          <cell r="D35">
            <v>20191219</v>
          </cell>
          <cell r="E35" t="str">
            <v>EPS</v>
          </cell>
          <cell r="F35" t="str">
            <v>ANN</v>
          </cell>
          <cell r="G35">
            <v>1</v>
          </cell>
          <cell r="H35">
            <v>10</v>
          </cell>
          <cell r="I35">
            <v>0.253</v>
          </cell>
          <cell r="J35">
            <v>0.25</v>
          </cell>
          <cell r="K35">
            <v>0</v>
          </cell>
          <cell r="L35">
            <v>20191231</v>
          </cell>
          <cell r="M35">
            <v>0.253</v>
          </cell>
          <cell r="N35">
            <v>20200217</v>
          </cell>
        </row>
        <row r="36">
          <cell r="A36" t="str">
            <v>POR</v>
          </cell>
          <cell r="B36" t="str">
            <v>@029X</v>
          </cell>
          <cell r="C36" t="str">
            <v>PORTOBELLO</v>
          </cell>
          <cell r="D36">
            <v>20191219</v>
          </cell>
          <cell r="E36" t="str">
            <v>EPS</v>
          </cell>
          <cell r="F36" t="str">
            <v>ANN</v>
          </cell>
          <cell r="G36">
            <v>1</v>
          </cell>
          <cell r="H36">
            <v>1</v>
          </cell>
          <cell r="I36">
            <v>0.75</v>
          </cell>
          <cell r="J36">
            <v>0.75</v>
          </cell>
          <cell r="K36">
            <v>0</v>
          </cell>
          <cell r="L36">
            <v>20191231</v>
          </cell>
          <cell r="M36">
            <v>1.75</v>
          </cell>
          <cell r="N36">
            <v>20200406</v>
          </cell>
        </row>
        <row r="37">
          <cell r="A37" t="str">
            <v>PPL</v>
          </cell>
          <cell r="B37" t="str">
            <v>@1Z1</v>
          </cell>
          <cell r="C37" t="str">
            <v>PPL</v>
          </cell>
          <cell r="D37">
            <v>20191219</v>
          </cell>
          <cell r="E37" t="str">
            <v>EPS</v>
          </cell>
          <cell r="F37" t="str">
            <v>ANN</v>
          </cell>
          <cell r="G37">
            <v>1</v>
          </cell>
          <cell r="H37">
            <v>4</v>
          </cell>
          <cell r="I37">
            <v>22.28</v>
          </cell>
          <cell r="J37">
            <v>22.53</v>
          </cell>
          <cell r="K37">
            <v>0</v>
          </cell>
          <cell r="L37">
            <v>20200630</v>
          </cell>
          <cell r="M37">
            <v>18.16</v>
          </cell>
          <cell r="N37">
            <v>20200911</v>
          </cell>
        </row>
        <row r="38">
          <cell r="A38" t="str">
            <v>PCG</v>
          </cell>
          <cell r="B38" t="str">
            <v>@45Z</v>
          </cell>
          <cell r="C38" t="str">
            <v>PENGANA CAP GRP</v>
          </cell>
          <cell r="D38">
            <v>20191219</v>
          </cell>
          <cell r="E38" t="str">
            <v>EPS</v>
          </cell>
          <cell r="F38" t="str">
            <v>ANN</v>
          </cell>
          <cell r="G38">
            <v>1</v>
          </cell>
          <cell r="H38">
            <v>1</v>
          </cell>
          <cell r="I38">
            <v>7.1999999999999995E-2</v>
          </cell>
          <cell r="J38">
            <v>7.1999999999999995E-2</v>
          </cell>
          <cell r="K38">
            <v>0</v>
          </cell>
          <cell r="L38">
            <v>20200630</v>
          </cell>
          <cell r="N38">
            <v>20200827</v>
          </cell>
        </row>
        <row r="39">
          <cell r="A39" t="str">
            <v>CNP</v>
          </cell>
          <cell r="B39" t="str">
            <v>@CN0</v>
          </cell>
          <cell r="C39" t="str">
            <v>CNP ASSURANCES</v>
          </cell>
          <cell r="D39">
            <v>20191219</v>
          </cell>
          <cell r="E39" t="str">
            <v>EPS</v>
          </cell>
          <cell r="F39" t="str">
            <v>ANN</v>
          </cell>
          <cell r="G39">
            <v>1</v>
          </cell>
          <cell r="H39">
            <v>6</v>
          </cell>
          <cell r="I39">
            <v>2.0499999999999998</v>
          </cell>
          <cell r="J39">
            <v>2.06</v>
          </cell>
          <cell r="K39">
            <v>0</v>
          </cell>
          <cell r="L39">
            <v>20191231</v>
          </cell>
          <cell r="M39">
            <v>1.99</v>
          </cell>
          <cell r="N39">
            <v>20200220</v>
          </cell>
        </row>
        <row r="40">
          <cell r="A40" t="str">
            <v>CIN</v>
          </cell>
          <cell r="B40" t="str">
            <v>@CUW</v>
          </cell>
          <cell r="C40" t="str">
            <v>CITY OF LONDON</v>
          </cell>
          <cell r="D40">
            <v>20191219</v>
          </cell>
          <cell r="E40" t="str">
            <v>EPS</v>
          </cell>
          <cell r="F40" t="str">
            <v>ANN</v>
          </cell>
          <cell r="G40">
            <v>1</v>
          </cell>
          <cell r="H40">
            <v>1</v>
          </cell>
          <cell r="I40">
            <v>-2.9</v>
          </cell>
          <cell r="J40">
            <v>-2.9</v>
          </cell>
          <cell r="K40">
            <v>0</v>
          </cell>
          <cell r="L40">
            <v>20200331</v>
          </cell>
          <cell r="M40">
            <v>-24.46</v>
          </cell>
          <cell r="N40">
            <v>20200818</v>
          </cell>
        </row>
        <row r="41">
          <cell r="A41" t="str">
            <v>SO</v>
          </cell>
          <cell r="B41" t="str">
            <v>@DAM</v>
          </cell>
          <cell r="C41" t="str">
            <v>SOMFY</v>
          </cell>
          <cell r="D41">
            <v>20191219</v>
          </cell>
          <cell r="E41" t="str">
            <v>EPS</v>
          </cell>
          <cell r="F41" t="str">
            <v>ANN</v>
          </cell>
          <cell r="G41">
            <v>1</v>
          </cell>
          <cell r="H41">
            <v>5</v>
          </cell>
          <cell r="I41">
            <v>4.5599999999999996</v>
          </cell>
          <cell r="J41">
            <v>4.58</v>
          </cell>
          <cell r="K41">
            <v>0</v>
          </cell>
          <cell r="L41">
            <v>20191231</v>
          </cell>
          <cell r="M41">
            <v>4.75</v>
          </cell>
          <cell r="N41">
            <v>20200304</v>
          </cell>
        </row>
        <row r="42">
          <cell r="A42" t="str">
            <v>DTE</v>
          </cell>
          <cell r="B42" t="str">
            <v>@DT</v>
          </cell>
          <cell r="C42" t="str">
            <v>DEUTSCHE TELEKOM</v>
          </cell>
          <cell r="D42">
            <v>20191219</v>
          </cell>
          <cell r="E42" t="str">
            <v>EPS</v>
          </cell>
          <cell r="F42" t="str">
            <v>ANN</v>
          </cell>
          <cell r="G42">
            <v>1</v>
          </cell>
          <cell r="H42">
            <v>20</v>
          </cell>
          <cell r="I42">
            <v>1.03</v>
          </cell>
          <cell r="J42">
            <v>1.02</v>
          </cell>
          <cell r="K42">
            <v>0</v>
          </cell>
          <cell r="L42">
            <v>20191231</v>
          </cell>
          <cell r="M42">
            <v>1.04</v>
          </cell>
          <cell r="N42">
            <v>20200219</v>
          </cell>
        </row>
        <row r="43">
          <cell r="A43" t="str">
            <v>PGN</v>
          </cell>
          <cell r="B43" t="str">
            <v>@J5W</v>
          </cell>
          <cell r="C43" t="str">
            <v>POLISH OIL &amp; GAS</v>
          </cell>
          <cell r="D43">
            <v>20191219</v>
          </cell>
          <cell r="E43" t="str">
            <v>EPS</v>
          </cell>
          <cell r="F43" t="str">
            <v>ANN</v>
          </cell>
          <cell r="G43">
            <v>1</v>
          </cell>
          <cell r="H43">
            <v>5</v>
          </cell>
          <cell r="I43">
            <v>0.35</v>
          </cell>
          <cell r="J43">
            <v>0.34</v>
          </cell>
          <cell r="K43">
            <v>0</v>
          </cell>
          <cell r="L43">
            <v>20191231</v>
          </cell>
          <cell r="M43">
            <v>0.24</v>
          </cell>
          <cell r="N43">
            <v>20200312</v>
          </cell>
        </row>
        <row r="44">
          <cell r="A44" t="str">
            <v>POM</v>
          </cell>
          <cell r="B44" t="str">
            <v>@PO8</v>
          </cell>
          <cell r="C44" t="str">
            <v>COMPAGNIE PLA OM</v>
          </cell>
          <cell r="D44">
            <v>20191219</v>
          </cell>
          <cell r="E44" t="str">
            <v>EPS</v>
          </cell>
          <cell r="F44" t="str">
            <v>ANN</v>
          </cell>
          <cell r="G44">
            <v>1</v>
          </cell>
          <cell r="H44">
            <v>9</v>
          </cell>
          <cell r="I44">
            <v>2</v>
          </cell>
          <cell r="J44">
            <v>2.0099999999999998</v>
          </cell>
          <cell r="K44">
            <v>0</v>
          </cell>
          <cell r="L44">
            <v>20191231</v>
          </cell>
          <cell r="M44">
            <v>1.76</v>
          </cell>
          <cell r="N44">
            <v>20200219</v>
          </cell>
        </row>
        <row r="45">
          <cell r="A45" t="str">
            <v>PGN</v>
          </cell>
          <cell r="B45" t="str">
            <v>@QPA</v>
          </cell>
          <cell r="C45" t="str">
            <v>PARAGON</v>
          </cell>
          <cell r="D45">
            <v>20191219</v>
          </cell>
          <cell r="E45" t="str">
            <v>EPS</v>
          </cell>
          <cell r="F45" t="str">
            <v>ANN</v>
          </cell>
          <cell r="G45">
            <v>1</v>
          </cell>
          <cell r="H45">
            <v>5</v>
          </cell>
          <cell r="I45">
            <v>-1.75</v>
          </cell>
          <cell r="J45">
            <v>-1.6</v>
          </cell>
          <cell r="K45">
            <v>0</v>
          </cell>
          <cell r="L45">
            <v>20191231</v>
          </cell>
          <cell r="M45">
            <v>6.48</v>
          </cell>
          <cell r="N45">
            <v>20200820</v>
          </cell>
        </row>
        <row r="46">
          <cell r="A46" t="str">
            <v>PEG</v>
          </cell>
          <cell r="B46" t="str">
            <v>@S6N</v>
          </cell>
          <cell r="C46" t="str">
            <v>PETARDS GROUP</v>
          </cell>
          <cell r="D46">
            <v>20191219</v>
          </cell>
          <cell r="E46" t="str">
            <v>EPS</v>
          </cell>
          <cell r="F46" t="str">
            <v>ANN</v>
          </cell>
          <cell r="G46">
            <v>1</v>
          </cell>
          <cell r="H46">
            <v>2</v>
          </cell>
          <cell r="I46">
            <v>1.08</v>
          </cell>
          <cell r="J46">
            <v>1.08</v>
          </cell>
          <cell r="K46">
            <v>0</v>
          </cell>
          <cell r="L46">
            <v>20191231</v>
          </cell>
          <cell r="M46">
            <v>-0.05</v>
          </cell>
          <cell r="N46">
            <v>20200618</v>
          </cell>
        </row>
        <row r="47">
          <cell r="A47" t="str">
            <v>SO</v>
          </cell>
          <cell r="B47" t="str">
            <v>@SGF</v>
          </cell>
          <cell r="C47" t="str">
            <v>SOGEFI</v>
          </cell>
          <cell r="D47">
            <v>20191219</v>
          </cell>
          <cell r="E47" t="str">
            <v>EPS</v>
          </cell>
          <cell r="F47" t="str">
            <v>ANN</v>
          </cell>
          <cell r="G47">
            <v>1</v>
          </cell>
          <cell r="H47">
            <v>6</v>
          </cell>
          <cell r="I47">
            <v>0.1</v>
          </cell>
          <cell r="J47">
            <v>0.12</v>
          </cell>
          <cell r="K47">
            <v>0</v>
          </cell>
          <cell r="L47">
            <v>20191231</v>
          </cell>
          <cell r="M47">
            <v>2.7E-2</v>
          </cell>
          <cell r="N47">
            <v>20200311</v>
          </cell>
        </row>
        <row r="48">
          <cell r="A48" t="str">
            <v>NST</v>
          </cell>
          <cell r="B48" t="str">
            <v>@T6I</v>
          </cell>
          <cell r="C48" t="str">
            <v>NORTHERN STAR RE</v>
          </cell>
          <cell r="D48">
            <v>20191219</v>
          </cell>
          <cell r="E48" t="str">
            <v>EPS</v>
          </cell>
          <cell r="F48" t="str">
            <v>ANN</v>
          </cell>
          <cell r="G48">
            <v>1</v>
          </cell>
          <cell r="H48">
            <v>13</v>
          </cell>
          <cell r="I48">
            <v>0.59</v>
          </cell>
          <cell r="J48">
            <v>0.58499999999999996</v>
          </cell>
          <cell r="K48">
            <v>0</v>
          </cell>
          <cell r="L48">
            <v>20200630</v>
          </cell>
          <cell r="M48">
            <v>0.42</v>
          </cell>
          <cell r="N48">
            <v>20200818</v>
          </cell>
        </row>
        <row r="49">
          <cell r="A49" t="str">
            <v>AGR</v>
          </cell>
          <cell r="B49" t="str">
            <v>@V2M</v>
          </cell>
          <cell r="C49" t="str">
            <v>ASSURA GROUP</v>
          </cell>
          <cell r="D49">
            <v>20191219</v>
          </cell>
          <cell r="E49" t="str">
            <v>EPS</v>
          </cell>
          <cell r="F49" t="str">
            <v>ANN</v>
          </cell>
          <cell r="G49">
            <v>1</v>
          </cell>
          <cell r="H49">
            <v>8</v>
          </cell>
          <cell r="I49">
            <v>2.8</v>
          </cell>
          <cell r="J49">
            <v>2.84</v>
          </cell>
          <cell r="K49">
            <v>0</v>
          </cell>
          <cell r="L49">
            <v>20200331</v>
          </cell>
          <cell r="M49">
            <v>2.8</v>
          </cell>
          <cell r="N49">
            <v>20200521</v>
          </cell>
        </row>
        <row r="50">
          <cell r="A50" t="str">
            <v>SRE</v>
          </cell>
          <cell r="B50" t="str">
            <v>@VRU</v>
          </cell>
          <cell r="C50" t="str">
            <v>SIRIUS REAL ESTA</v>
          </cell>
          <cell r="D50">
            <v>20191219</v>
          </cell>
          <cell r="E50" t="str">
            <v>EPS</v>
          </cell>
          <cell r="F50" t="str">
            <v>ANN</v>
          </cell>
          <cell r="G50">
            <v>1</v>
          </cell>
          <cell r="H50">
            <v>3</v>
          </cell>
          <cell r="I50">
            <v>0.05</v>
          </cell>
          <cell r="J50">
            <v>0.06</v>
          </cell>
          <cell r="K50">
            <v>0</v>
          </cell>
          <cell r="L50">
            <v>20200331</v>
          </cell>
          <cell r="M50">
            <v>0.05</v>
          </cell>
          <cell r="N50">
            <v>20200601</v>
          </cell>
        </row>
        <row r="51">
          <cell r="A51" t="str">
            <v>EXC</v>
          </cell>
          <cell r="B51" t="str">
            <v>@XDO</v>
          </cell>
          <cell r="C51" t="str">
            <v>EXCEET GRP</v>
          </cell>
          <cell r="D51">
            <v>20191219</v>
          </cell>
          <cell r="E51" t="str">
            <v>EPS</v>
          </cell>
          <cell r="F51" t="str">
            <v>ANN</v>
          </cell>
          <cell r="G51">
            <v>1</v>
          </cell>
          <cell r="H51">
            <v>1</v>
          </cell>
          <cell r="I51">
            <v>0.09</v>
          </cell>
          <cell r="J51">
            <v>0.09</v>
          </cell>
          <cell r="K51">
            <v>0</v>
          </cell>
          <cell r="L51">
            <v>20191231</v>
          </cell>
          <cell r="M51">
            <v>0.13</v>
          </cell>
          <cell r="N51">
            <v>20200312</v>
          </cell>
        </row>
        <row r="52">
          <cell r="A52" t="str">
            <v>CNL</v>
          </cell>
          <cell r="B52" t="str">
            <v>NCL1</v>
          </cell>
          <cell r="C52" t="str">
            <v>CONTINENTAL GOLD</v>
          </cell>
          <cell r="D52">
            <v>20191219</v>
          </cell>
          <cell r="E52" t="str">
            <v>EPS</v>
          </cell>
          <cell r="F52" t="str">
            <v>ANN</v>
          </cell>
          <cell r="G52">
            <v>1</v>
          </cell>
          <cell r="H52">
            <v>5</v>
          </cell>
          <cell r="I52">
            <v>-0.16</v>
          </cell>
          <cell r="J52">
            <v>-0.15</v>
          </cell>
          <cell r="K52">
            <v>0</v>
          </cell>
          <cell r="L52">
            <v>20191231</v>
          </cell>
        </row>
        <row r="53">
          <cell r="A53" t="str">
            <v>PPL</v>
          </cell>
          <cell r="B53" t="str">
            <v>PIF1</v>
          </cell>
          <cell r="C53" t="str">
            <v>PEMBINA PIPELINE</v>
          </cell>
          <cell r="D53">
            <v>20191219</v>
          </cell>
          <cell r="E53" t="str">
            <v>EPS</v>
          </cell>
          <cell r="F53" t="str">
            <v>ANN</v>
          </cell>
          <cell r="G53">
            <v>1</v>
          </cell>
          <cell r="H53">
            <v>9</v>
          </cell>
          <cell r="I53">
            <v>2.99</v>
          </cell>
          <cell r="J53">
            <v>2.9</v>
          </cell>
          <cell r="K53">
            <v>0</v>
          </cell>
          <cell r="L53">
            <v>20191231</v>
          </cell>
          <cell r="M53">
            <v>3.08</v>
          </cell>
          <cell r="N53">
            <v>20200227</v>
          </cell>
        </row>
        <row r="54">
          <cell r="A54" t="str">
            <v>POM</v>
          </cell>
          <cell r="B54" t="str">
            <v>POM1</v>
          </cell>
          <cell r="C54" t="str">
            <v>POLYMET MINING</v>
          </cell>
          <cell r="D54">
            <v>20191219</v>
          </cell>
          <cell r="E54" t="str">
            <v>EPS</v>
          </cell>
          <cell r="F54" t="str">
            <v>ANN</v>
          </cell>
          <cell r="G54">
            <v>1</v>
          </cell>
          <cell r="H54">
            <v>1</v>
          </cell>
          <cell r="I54">
            <v>-0.26</v>
          </cell>
          <cell r="J54">
            <v>-0.26</v>
          </cell>
          <cell r="K54">
            <v>0</v>
          </cell>
          <cell r="L54">
            <v>20191231</v>
          </cell>
          <cell r="M54">
            <v>-1.19</v>
          </cell>
          <cell r="N54">
            <v>20200330</v>
          </cell>
        </row>
      </sheetData>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RDS"/>
    </sheetNames>
    <sheetDataSet>
      <sheetData sheetId="0">
        <row r="1">
          <cell r="A1" t="str">
            <v>OFTIC</v>
          </cell>
          <cell r="B1" t="str">
            <v>IBES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USFIRM=0 if from .INT file and USFIRM=1 if from .US file</v>
          </cell>
          <cell r="M1" t="str">
            <v>Forecast Period End Date (SAS Format)</v>
          </cell>
          <cell r="N1" t="str">
            <v>Actual Value, from the Detail Actuals File</v>
          </cell>
          <cell r="O1" t="str">
            <v>Announce date of the Actual, from the Detail Actuals File</v>
          </cell>
        </row>
        <row r="2">
          <cell r="A2" t="str">
            <v>AGR</v>
          </cell>
          <cell r="B2" t="str">
            <v>AGR2</v>
          </cell>
          <cell r="C2" t="str">
            <v>ARGENTARIA</v>
          </cell>
          <cell r="D2">
            <v>19941215</v>
          </cell>
          <cell r="E2" t="str">
            <v>EPS</v>
          </cell>
          <cell r="F2" t="str">
            <v>LTG</v>
          </cell>
          <cell r="G2">
            <v>0</v>
          </cell>
          <cell r="H2">
            <v>2</v>
          </cell>
          <cell r="I2">
            <v>12</v>
          </cell>
          <cell r="J2">
            <v>12</v>
          </cell>
          <cell r="K2">
            <v>1.41</v>
          </cell>
          <cell r="L2">
            <v>1</v>
          </cell>
        </row>
        <row r="3">
          <cell r="A3" t="str">
            <v>PNW</v>
          </cell>
          <cell r="B3" t="str">
            <v>AZP</v>
          </cell>
          <cell r="C3" t="str">
            <v>PINNACLE WST CAP</v>
          </cell>
          <cell r="D3">
            <v>19941215</v>
          </cell>
          <cell r="E3" t="str">
            <v>EPS</v>
          </cell>
          <cell r="F3" t="str">
            <v>LTG</v>
          </cell>
          <cell r="G3">
            <v>0</v>
          </cell>
          <cell r="H3">
            <v>7</v>
          </cell>
          <cell r="I3">
            <v>5</v>
          </cell>
          <cell r="J3">
            <v>4.71</v>
          </cell>
          <cell r="K3">
            <v>1.1100000000000001</v>
          </cell>
          <cell r="L3">
            <v>1</v>
          </cell>
        </row>
        <row r="4">
          <cell r="A4" t="str">
            <v>BKH</v>
          </cell>
          <cell r="B4" t="str">
            <v>BHP</v>
          </cell>
          <cell r="C4" t="str">
            <v>BLACK HILLS CORP</v>
          </cell>
          <cell r="D4">
            <v>19941215</v>
          </cell>
          <cell r="E4" t="str">
            <v>EPS</v>
          </cell>
          <cell r="F4" t="str">
            <v>LTG</v>
          </cell>
          <cell r="G4">
            <v>0</v>
          </cell>
          <cell r="H4">
            <v>4</v>
          </cell>
          <cell r="I4">
            <v>3.1</v>
          </cell>
          <cell r="J4">
            <v>3.3</v>
          </cell>
          <cell r="K4">
            <v>0.48</v>
          </cell>
          <cell r="L4">
            <v>1</v>
          </cell>
        </row>
        <row r="5">
          <cell r="A5" t="str">
            <v>CIN</v>
          </cell>
          <cell r="B5" t="str">
            <v>CIN</v>
          </cell>
          <cell r="C5" t="str">
            <v>CINERGY CORP</v>
          </cell>
          <cell r="D5">
            <v>19941215</v>
          </cell>
          <cell r="E5" t="str">
            <v>EPS</v>
          </cell>
          <cell r="F5" t="str">
            <v>LTG</v>
          </cell>
          <cell r="G5">
            <v>0</v>
          </cell>
          <cell r="H5">
            <v>7</v>
          </cell>
          <cell r="I5">
            <v>2.7</v>
          </cell>
          <cell r="J5">
            <v>2.94</v>
          </cell>
          <cell r="K5">
            <v>1.1000000000000001</v>
          </cell>
          <cell r="L5">
            <v>1</v>
          </cell>
        </row>
        <row r="6">
          <cell r="A6" t="str">
            <v>CMS</v>
          </cell>
          <cell r="B6" t="str">
            <v>CMS</v>
          </cell>
          <cell r="C6" t="str">
            <v>CMS ENERGY CORP</v>
          </cell>
          <cell r="D6">
            <v>19941215</v>
          </cell>
          <cell r="E6" t="str">
            <v>EPS</v>
          </cell>
          <cell r="F6" t="str">
            <v>LTG</v>
          </cell>
          <cell r="G6">
            <v>0</v>
          </cell>
          <cell r="H6">
            <v>9</v>
          </cell>
          <cell r="I6">
            <v>5</v>
          </cell>
          <cell r="J6">
            <v>5.07</v>
          </cell>
          <cell r="K6">
            <v>2.14</v>
          </cell>
          <cell r="L6">
            <v>1</v>
          </cell>
        </row>
        <row r="7">
          <cell r="A7" t="str">
            <v>CNL</v>
          </cell>
          <cell r="B7" t="str">
            <v>CNL</v>
          </cell>
          <cell r="C7" t="str">
            <v>CENT LA ELEC INC</v>
          </cell>
          <cell r="D7">
            <v>19941215</v>
          </cell>
          <cell r="E7" t="str">
            <v>EPS</v>
          </cell>
          <cell r="F7" t="str">
            <v>LTG</v>
          </cell>
          <cell r="G7">
            <v>0</v>
          </cell>
          <cell r="H7">
            <v>4</v>
          </cell>
          <cell r="I7">
            <v>3</v>
          </cell>
          <cell r="J7">
            <v>2.88</v>
          </cell>
          <cell r="K7">
            <v>1.44</v>
          </cell>
          <cell r="L7">
            <v>1</v>
          </cell>
        </row>
        <row r="8">
          <cell r="A8" t="str">
            <v>CV</v>
          </cell>
          <cell r="B8" t="str">
            <v>CV</v>
          </cell>
          <cell r="C8" t="str">
            <v>CNTRL VT PUB SVC</v>
          </cell>
          <cell r="D8">
            <v>19941215</v>
          </cell>
          <cell r="E8" t="str">
            <v>EPS</v>
          </cell>
          <cell r="F8" t="str">
            <v>LTG</v>
          </cell>
          <cell r="G8">
            <v>0</v>
          </cell>
          <cell r="H8">
            <v>2</v>
          </cell>
          <cell r="I8">
            <v>2.25</v>
          </cell>
          <cell r="J8">
            <v>2.25</v>
          </cell>
          <cell r="K8">
            <v>0.35</v>
          </cell>
          <cell r="L8">
            <v>1</v>
          </cell>
        </row>
        <row r="9">
          <cell r="A9" t="str">
            <v>D</v>
          </cell>
          <cell r="B9" t="str">
            <v>D</v>
          </cell>
          <cell r="C9" t="str">
            <v>DOMINION RES INC</v>
          </cell>
          <cell r="D9">
            <v>19941215</v>
          </cell>
          <cell r="E9" t="str">
            <v>EPS</v>
          </cell>
          <cell r="F9" t="str">
            <v>LTG</v>
          </cell>
          <cell r="G9">
            <v>0</v>
          </cell>
          <cell r="H9">
            <v>10</v>
          </cell>
          <cell r="I9">
            <v>2.8</v>
          </cell>
          <cell r="J9">
            <v>2.69</v>
          </cell>
          <cell r="K9">
            <v>0.56000000000000005</v>
          </cell>
          <cell r="L9">
            <v>1</v>
          </cell>
        </row>
        <row r="10">
          <cell r="A10" t="str">
            <v>DPL</v>
          </cell>
          <cell r="B10" t="str">
            <v>DPL</v>
          </cell>
          <cell r="C10" t="str">
            <v>DPL INC</v>
          </cell>
          <cell r="D10">
            <v>19941215</v>
          </cell>
          <cell r="E10" t="str">
            <v>EPS</v>
          </cell>
          <cell r="F10" t="str">
            <v>LTG</v>
          </cell>
          <cell r="G10">
            <v>0</v>
          </cell>
          <cell r="H10">
            <v>8</v>
          </cell>
          <cell r="I10">
            <v>3.5</v>
          </cell>
          <cell r="J10">
            <v>3.71</v>
          </cell>
          <cell r="K10">
            <v>1.19</v>
          </cell>
          <cell r="L10">
            <v>1</v>
          </cell>
        </row>
        <row r="11">
          <cell r="A11" t="str">
            <v>DTE</v>
          </cell>
          <cell r="B11" t="str">
            <v>DTE</v>
          </cell>
          <cell r="C11" t="str">
            <v>DETROIT EDISON</v>
          </cell>
          <cell r="D11">
            <v>19941215</v>
          </cell>
          <cell r="E11" t="str">
            <v>EPS</v>
          </cell>
          <cell r="F11" t="str">
            <v>LTG</v>
          </cell>
          <cell r="G11">
            <v>0</v>
          </cell>
          <cell r="H11">
            <v>7</v>
          </cell>
          <cell r="I11">
            <v>2</v>
          </cell>
          <cell r="J11">
            <v>1.93</v>
          </cell>
          <cell r="K11">
            <v>1.21</v>
          </cell>
          <cell r="L11">
            <v>1</v>
          </cell>
        </row>
        <row r="12">
          <cell r="A12" t="str">
            <v>DUK</v>
          </cell>
          <cell r="B12" t="str">
            <v>DUK</v>
          </cell>
          <cell r="C12" t="str">
            <v>DUKE POWER CO</v>
          </cell>
          <cell r="D12">
            <v>19941215</v>
          </cell>
          <cell r="E12" t="str">
            <v>EPS</v>
          </cell>
          <cell r="F12" t="str">
            <v>LTG</v>
          </cell>
          <cell r="G12">
            <v>0</v>
          </cell>
          <cell r="H12">
            <v>10</v>
          </cell>
          <cell r="I12">
            <v>4</v>
          </cell>
          <cell r="J12">
            <v>4.08</v>
          </cell>
          <cell r="K12">
            <v>0.52</v>
          </cell>
          <cell r="L12">
            <v>1</v>
          </cell>
        </row>
        <row r="13">
          <cell r="A13" t="str">
            <v>ED</v>
          </cell>
          <cell r="B13" t="str">
            <v>ED</v>
          </cell>
          <cell r="C13" t="str">
            <v>CONSOL EDISON</v>
          </cell>
          <cell r="D13">
            <v>19941215</v>
          </cell>
          <cell r="E13" t="str">
            <v>EPS</v>
          </cell>
          <cell r="F13" t="str">
            <v>LTG</v>
          </cell>
          <cell r="G13">
            <v>0</v>
          </cell>
          <cell r="H13">
            <v>9</v>
          </cell>
          <cell r="I13">
            <v>2</v>
          </cell>
          <cell r="J13">
            <v>2.2799999999999998</v>
          </cell>
          <cell r="K13">
            <v>0.44</v>
          </cell>
          <cell r="L13">
            <v>1</v>
          </cell>
        </row>
        <row r="14">
          <cell r="A14" t="str">
            <v>EDE</v>
          </cell>
          <cell r="B14" t="str">
            <v>EDE</v>
          </cell>
          <cell r="C14" t="str">
            <v>EMPIRE DIST ELEC</v>
          </cell>
          <cell r="D14">
            <v>19941215</v>
          </cell>
          <cell r="E14" t="str">
            <v>EPS</v>
          </cell>
          <cell r="F14" t="str">
            <v>LTG</v>
          </cell>
          <cell r="G14">
            <v>0</v>
          </cell>
          <cell r="H14">
            <v>2</v>
          </cell>
          <cell r="I14">
            <v>4</v>
          </cell>
          <cell r="J14">
            <v>4</v>
          </cell>
          <cell r="K14">
            <v>2.83</v>
          </cell>
          <cell r="L14">
            <v>1</v>
          </cell>
        </row>
        <row r="15">
          <cell r="A15" t="str">
            <v>EXC</v>
          </cell>
          <cell r="B15" t="str">
            <v>EXC</v>
          </cell>
          <cell r="C15" t="str">
            <v>EXCEL INDS INC</v>
          </cell>
          <cell r="D15">
            <v>19941215</v>
          </cell>
          <cell r="E15" t="str">
            <v>EPS</v>
          </cell>
          <cell r="F15" t="str">
            <v>LTG</v>
          </cell>
          <cell r="G15">
            <v>0</v>
          </cell>
          <cell r="H15">
            <v>1</v>
          </cell>
          <cell r="I15">
            <v>9</v>
          </cell>
          <cell r="J15">
            <v>9</v>
          </cell>
          <cell r="L15">
            <v>1</v>
          </cell>
        </row>
        <row r="16">
          <cell r="A16" t="str">
            <v>FPL</v>
          </cell>
          <cell r="B16" t="str">
            <v>FPL</v>
          </cell>
          <cell r="C16" t="str">
            <v>FPL GROUP</v>
          </cell>
          <cell r="D16">
            <v>19941215</v>
          </cell>
          <cell r="E16" t="str">
            <v>EPS</v>
          </cell>
          <cell r="F16" t="str">
            <v>LTG</v>
          </cell>
          <cell r="G16">
            <v>0</v>
          </cell>
          <cell r="H16">
            <v>14</v>
          </cell>
          <cell r="I16">
            <v>5</v>
          </cell>
          <cell r="J16">
            <v>4.13</v>
          </cell>
          <cell r="K16">
            <v>1.37</v>
          </cell>
          <cell r="L16">
            <v>1</v>
          </cell>
        </row>
        <row r="17">
          <cell r="A17" t="str">
            <v>HE</v>
          </cell>
          <cell r="B17" t="str">
            <v>HE</v>
          </cell>
          <cell r="C17" t="str">
            <v>HAWAIIAN ELEC</v>
          </cell>
          <cell r="D17">
            <v>19941215</v>
          </cell>
          <cell r="E17" t="str">
            <v>EPS</v>
          </cell>
          <cell r="F17" t="str">
            <v>LTG</v>
          </cell>
          <cell r="G17">
            <v>0</v>
          </cell>
          <cell r="H17">
            <v>9</v>
          </cell>
          <cell r="I17">
            <v>4</v>
          </cell>
          <cell r="J17">
            <v>3.88</v>
          </cell>
          <cell r="K17">
            <v>1.56</v>
          </cell>
          <cell r="L17">
            <v>1</v>
          </cell>
        </row>
        <row r="18">
          <cell r="A18" t="str">
            <v>IDA</v>
          </cell>
          <cell r="B18" t="str">
            <v>IDA</v>
          </cell>
          <cell r="C18" t="str">
            <v>IDAHO POWER CO</v>
          </cell>
          <cell r="D18">
            <v>19941215</v>
          </cell>
          <cell r="E18" t="str">
            <v>EPS</v>
          </cell>
          <cell r="F18" t="str">
            <v>LTG</v>
          </cell>
          <cell r="G18">
            <v>0</v>
          </cell>
          <cell r="H18">
            <v>5</v>
          </cell>
          <cell r="I18">
            <v>2.7</v>
          </cell>
          <cell r="J18">
            <v>2.94</v>
          </cell>
          <cell r="K18">
            <v>1.59</v>
          </cell>
          <cell r="L18">
            <v>1</v>
          </cell>
        </row>
        <row r="19">
          <cell r="A19" t="str">
            <v>WR</v>
          </cell>
          <cell r="B19" t="str">
            <v>KAN</v>
          </cell>
          <cell r="C19" t="str">
            <v>WESTN RESOURCES</v>
          </cell>
          <cell r="D19">
            <v>19941215</v>
          </cell>
          <cell r="E19" t="str">
            <v>EPS</v>
          </cell>
          <cell r="F19" t="str">
            <v>LTG</v>
          </cell>
          <cell r="G19">
            <v>0</v>
          </cell>
          <cell r="H19">
            <v>9</v>
          </cell>
          <cell r="I19">
            <v>3</v>
          </cell>
          <cell r="J19">
            <v>3.44</v>
          </cell>
          <cell r="K19">
            <v>2.2400000000000002</v>
          </cell>
          <cell r="L19">
            <v>1</v>
          </cell>
        </row>
        <row r="20">
          <cell r="A20" t="str">
            <v>ETR</v>
          </cell>
          <cell r="B20" t="str">
            <v>MSU</v>
          </cell>
          <cell r="C20" t="str">
            <v>ENTERGY CP</v>
          </cell>
          <cell r="D20">
            <v>19941215</v>
          </cell>
          <cell r="E20" t="str">
            <v>EPS</v>
          </cell>
          <cell r="F20" t="str">
            <v>LTG</v>
          </cell>
          <cell r="G20">
            <v>0</v>
          </cell>
          <cell r="H20">
            <v>9</v>
          </cell>
          <cell r="I20">
            <v>3</v>
          </cell>
          <cell r="J20">
            <v>3.09</v>
          </cell>
          <cell r="K20">
            <v>0.78</v>
          </cell>
          <cell r="L20">
            <v>1</v>
          </cell>
        </row>
        <row r="21">
          <cell r="A21" t="str">
            <v>NU</v>
          </cell>
          <cell r="B21" t="str">
            <v>NU</v>
          </cell>
          <cell r="C21" t="str">
            <v>NORTHEAST UTILS</v>
          </cell>
          <cell r="D21">
            <v>19941215</v>
          </cell>
          <cell r="E21" t="str">
            <v>EPS</v>
          </cell>
          <cell r="F21" t="str">
            <v>LTG</v>
          </cell>
          <cell r="G21">
            <v>0</v>
          </cell>
          <cell r="H21">
            <v>9</v>
          </cell>
          <cell r="I21">
            <v>2</v>
          </cell>
          <cell r="J21">
            <v>3.28</v>
          </cell>
          <cell r="K21">
            <v>2.0299999999999998</v>
          </cell>
          <cell r="L21">
            <v>1</v>
          </cell>
        </row>
        <row r="22">
          <cell r="A22" t="str">
            <v>OGE</v>
          </cell>
          <cell r="B22" t="str">
            <v>OGE</v>
          </cell>
          <cell r="C22" t="str">
            <v>OKLAHOMA G&amp;E</v>
          </cell>
          <cell r="D22">
            <v>19941215</v>
          </cell>
          <cell r="E22" t="str">
            <v>EPS</v>
          </cell>
          <cell r="F22" t="str">
            <v>LTG</v>
          </cell>
          <cell r="G22">
            <v>0</v>
          </cell>
          <cell r="H22">
            <v>8</v>
          </cell>
          <cell r="I22">
            <v>1.25</v>
          </cell>
          <cell r="J22">
            <v>1.29</v>
          </cell>
          <cell r="K22">
            <v>0.87</v>
          </cell>
          <cell r="L22">
            <v>1</v>
          </cell>
        </row>
        <row r="23">
          <cell r="A23" t="str">
            <v>OTTR</v>
          </cell>
          <cell r="B23" t="str">
            <v>OTTR</v>
          </cell>
          <cell r="C23" t="str">
            <v>OTTER TAIL PWR</v>
          </cell>
          <cell r="D23">
            <v>19941215</v>
          </cell>
          <cell r="E23" t="str">
            <v>EPS</v>
          </cell>
          <cell r="F23" t="str">
            <v>LTG</v>
          </cell>
          <cell r="G23">
            <v>0</v>
          </cell>
          <cell r="H23">
            <v>3</v>
          </cell>
          <cell r="I23">
            <v>3</v>
          </cell>
          <cell r="J23">
            <v>3.33</v>
          </cell>
          <cell r="K23">
            <v>0.57999999999999996</v>
          </cell>
          <cell r="L23">
            <v>1</v>
          </cell>
        </row>
        <row r="24">
          <cell r="A24" t="str">
            <v>PCG</v>
          </cell>
          <cell r="B24" t="str">
            <v>PCG</v>
          </cell>
          <cell r="C24" t="str">
            <v>PACIFIC G&amp;E</v>
          </cell>
          <cell r="D24">
            <v>19941215</v>
          </cell>
          <cell r="E24" t="str">
            <v>EPS</v>
          </cell>
          <cell r="F24" t="str">
            <v>LTG</v>
          </cell>
          <cell r="G24">
            <v>0</v>
          </cell>
          <cell r="H24">
            <v>7</v>
          </cell>
          <cell r="I24">
            <v>2</v>
          </cell>
          <cell r="J24">
            <v>1.93</v>
          </cell>
          <cell r="K24">
            <v>1.34</v>
          </cell>
          <cell r="L24">
            <v>1</v>
          </cell>
        </row>
        <row r="25">
          <cell r="A25" t="str">
            <v>PEG</v>
          </cell>
          <cell r="B25" t="str">
            <v>PEG</v>
          </cell>
          <cell r="C25" t="str">
            <v>PUB SVC ENTERS</v>
          </cell>
          <cell r="D25">
            <v>19941215</v>
          </cell>
          <cell r="E25" t="str">
            <v>EPS</v>
          </cell>
          <cell r="F25" t="str">
            <v>LTG</v>
          </cell>
          <cell r="G25">
            <v>0</v>
          </cell>
          <cell r="H25">
            <v>10</v>
          </cell>
          <cell r="I25">
            <v>2.4</v>
          </cell>
          <cell r="J25">
            <v>2.48</v>
          </cell>
          <cell r="K25">
            <v>0.71</v>
          </cell>
          <cell r="L25">
            <v>1</v>
          </cell>
        </row>
        <row r="26">
          <cell r="A26" t="str">
            <v>PGN</v>
          </cell>
          <cell r="B26" t="str">
            <v>PGN</v>
          </cell>
          <cell r="C26" t="str">
            <v>PORTLAND GEN CP</v>
          </cell>
          <cell r="D26">
            <v>19941215</v>
          </cell>
          <cell r="E26" t="str">
            <v>EPS</v>
          </cell>
          <cell r="F26" t="str">
            <v>LTG</v>
          </cell>
          <cell r="G26">
            <v>0</v>
          </cell>
          <cell r="H26">
            <v>5</v>
          </cell>
          <cell r="I26">
            <v>3</v>
          </cell>
          <cell r="J26">
            <v>3</v>
          </cell>
          <cell r="K26">
            <v>0.71</v>
          </cell>
          <cell r="L26">
            <v>1</v>
          </cell>
        </row>
        <row r="27">
          <cell r="A27" t="str">
            <v>PNM</v>
          </cell>
          <cell r="B27" t="str">
            <v>PNM</v>
          </cell>
          <cell r="C27" t="str">
            <v>PUB SVC N MEX</v>
          </cell>
          <cell r="D27">
            <v>19941215</v>
          </cell>
          <cell r="E27" t="str">
            <v>EPS</v>
          </cell>
          <cell r="F27" t="str">
            <v>LTG</v>
          </cell>
          <cell r="G27">
            <v>0</v>
          </cell>
          <cell r="H27">
            <v>5</v>
          </cell>
          <cell r="I27">
            <v>5</v>
          </cell>
          <cell r="J27">
            <v>4.5</v>
          </cell>
          <cell r="K27">
            <v>1</v>
          </cell>
          <cell r="L27">
            <v>1</v>
          </cell>
        </row>
        <row r="28">
          <cell r="A28" t="str">
            <v>POM</v>
          </cell>
          <cell r="B28" t="str">
            <v>POM</v>
          </cell>
          <cell r="C28" t="str">
            <v>POTOMAC ELEC</v>
          </cell>
          <cell r="D28">
            <v>19941215</v>
          </cell>
          <cell r="E28" t="str">
            <v>EPS</v>
          </cell>
          <cell r="F28" t="str">
            <v>LTG</v>
          </cell>
          <cell r="G28">
            <v>0</v>
          </cell>
          <cell r="H28">
            <v>10</v>
          </cell>
          <cell r="I28">
            <v>1.2</v>
          </cell>
          <cell r="J28">
            <v>1.47</v>
          </cell>
          <cell r="K28">
            <v>0.86</v>
          </cell>
          <cell r="L28">
            <v>1</v>
          </cell>
        </row>
        <row r="29">
          <cell r="A29" t="str">
            <v>PPL</v>
          </cell>
          <cell r="B29" t="str">
            <v>PPL</v>
          </cell>
          <cell r="C29" t="str">
            <v>PENNA P&amp;L</v>
          </cell>
          <cell r="D29">
            <v>19941215</v>
          </cell>
          <cell r="E29" t="str">
            <v>EPS</v>
          </cell>
          <cell r="F29" t="str">
            <v>LTG</v>
          </cell>
          <cell r="G29">
            <v>0</v>
          </cell>
          <cell r="H29">
            <v>6</v>
          </cell>
          <cell r="I29">
            <v>1.5</v>
          </cell>
          <cell r="J29">
            <v>1.22</v>
          </cell>
          <cell r="K29">
            <v>2.48</v>
          </cell>
          <cell r="L29">
            <v>1</v>
          </cell>
        </row>
        <row r="30">
          <cell r="A30" t="str">
            <v>PSD</v>
          </cell>
          <cell r="B30" t="str">
            <v>PSD</v>
          </cell>
          <cell r="C30" t="str">
            <v>PUGET SOUND P&amp;L</v>
          </cell>
          <cell r="D30">
            <v>19941215</v>
          </cell>
          <cell r="E30" t="str">
            <v>EPS</v>
          </cell>
          <cell r="F30" t="str">
            <v>LTG</v>
          </cell>
          <cell r="G30">
            <v>0</v>
          </cell>
          <cell r="H30">
            <v>4</v>
          </cell>
          <cell r="I30">
            <v>2</v>
          </cell>
          <cell r="J30">
            <v>1.95</v>
          </cell>
          <cell r="K30">
            <v>0.9</v>
          </cell>
          <cell r="L30">
            <v>1</v>
          </cell>
        </row>
        <row r="31">
          <cell r="A31" t="str">
            <v>SCG</v>
          </cell>
          <cell r="B31" t="str">
            <v>SCG</v>
          </cell>
          <cell r="C31" t="str">
            <v>SCANA CP</v>
          </cell>
          <cell r="D31">
            <v>19941215</v>
          </cell>
          <cell r="E31" t="str">
            <v>EPS</v>
          </cell>
          <cell r="F31" t="str">
            <v>LTG</v>
          </cell>
          <cell r="G31">
            <v>0</v>
          </cell>
          <cell r="H31">
            <v>5</v>
          </cell>
          <cell r="I31">
            <v>3</v>
          </cell>
          <cell r="J31">
            <v>3.4</v>
          </cell>
          <cell r="K31">
            <v>1.1399999999999999</v>
          </cell>
          <cell r="L31">
            <v>1</v>
          </cell>
        </row>
        <row r="32">
          <cell r="A32" t="str">
            <v>SO</v>
          </cell>
          <cell r="B32" t="str">
            <v>SO</v>
          </cell>
          <cell r="C32" t="str">
            <v>SOUTHN CO</v>
          </cell>
          <cell r="D32">
            <v>19941215</v>
          </cell>
          <cell r="E32" t="str">
            <v>EPS</v>
          </cell>
          <cell r="F32" t="str">
            <v>LTG</v>
          </cell>
          <cell r="G32">
            <v>0</v>
          </cell>
          <cell r="H32">
            <v>10</v>
          </cell>
          <cell r="I32">
            <v>3.25</v>
          </cell>
          <cell r="J32">
            <v>3.44</v>
          </cell>
          <cell r="K32">
            <v>0.51</v>
          </cell>
          <cell r="L32">
            <v>1</v>
          </cell>
        </row>
        <row r="33">
          <cell r="A33" t="str">
            <v>TE</v>
          </cell>
          <cell r="B33" t="str">
            <v>TE</v>
          </cell>
          <cell r="C33" t="str">
            <v>TECO ENERGY INC</v>
          </cell>
          <cell r="D33">
            <v>19941215</v>
          </cell>
          <cell r="E33" t="str">
            <v>EPS</v>
          </cell>
          <cell r="F33" t="str">
            <v>LTG</v>
          </cell>
          <cell r="G33">
            <v>0</v>
          </cell>
          <cell r="H33">
            <v>10</v>
          </cell>
          <cell r="I33">
            <v>5</v>
          </cell>
          <cell r="J33">
            <v>4.68</v>
          </cell>
          <cell r="K33">
            <v>0.57999999999999996</v>
          </cell>
          <cell r="L33">
            <v>1</v>
          </cell>
        </row>
        <row r="34">
          <cell r="A34" t="str">
            <v>UIL</v>
          </cell>
          <cell r="B34" t="str">
            <v>UIL</v>
          </cell>
          <cell r="C34" t="str">
            <v>UTD ILLUM CO</v>
          </cell>
          <cell r="D34">
            <v>19941215</v>
          </cell>
          <cell r="E34" t="str">
            <v>EPS</v>
          </cell>
          <cell r="F34" t="str">
            <v>LTG</v>
          </cell>
          <cell r="G34">
            <v>0</v>
          </cell>
          <cell r="H34">
            <v>3</v>
          </cell>
          <cell r="I34">
            <v>3</v>
          </cell>
          <cell r="J34">
            <v>3.6</v>
          </cell>
          <cell r="K34">
            <v>1.04</v>
          </cell>
          <cell r="L34">
            <v>1</v>
          </cell>
        </row>
        <row r="35">
          <cell r="A35" t="str">
            <v>WEC</v>
          </cell>
          <cell r="B35" t="str">
            <v>WPC</v>
          </cell>
          <cell r="C35" t="str">
            <v>WISCONSIN ENERGY</v>
          </cell>
          <cell r="D35">
            <v>19941215</v>
          </cell>
          <cell r="E35" t="str">
            <v>EPS</v>
          </cell>
          <cell r="F35" t="str">
            <v>LTG</v>
          </cell>
          <cell r="G35">
            <v>0</v>
          </cell>
          <cell r="H35">
            <v>13</v>
          </cell>
          <cell r="I35">
            <v>4</v>
          </cell>
          <cell r="J35">
            <v>4.45</v>
          </cell>
          <cell r="K35">
            <v>1.18</v>
          </cell>
          <cell r="L35">
            <v>1</v>
          </cell>
        </row>
        <row r="36">
          <cell r="A36" t="str">
            <v>WPS</v>
          </cell>
          <cell r="B36" t="str">
            <v>WPS</v>
          </cell>
          <cell r="C36" t="str">
            <v>WPS RESOURCES CP</v>
          </cell>
          <cell r="D36">
            <v>19941215</v>
          </cell>
          <cell r="E36" t="str">
            <v>EPS</v>
          </cell>
          <cell r="F36" t="str">
            <v>LTG</v>
          </cell>
          <cell r="G36">
            <v>0</v>
          </cell>
          <cell r="H36">
            <v>5</v>
          </cell>
          <cell r="I36">
            <v>2</v>
          </cell>
          <cell r="J36">
            <v>2.62</v>
          </cell>
          <cell r="K36">
            <v>0.85</v>
          </cell>
          <cell r="L36">
            <v>1</v>
          </cell>
        </row>
        <row r="37">
          <cell r="A37" t="str">
            <v>AVA</v>
          </cell>
          <cell r="B37" t="str">
            <v>@AHV</v>
          </cell>
          <cell r="C37" t="str">
            <v>AVA</v>
          </cell>
          <cell r="D37">
            <v>19941215</v>
          </cell>
          <cell r="E37" t="str">
            <v>EPS</v>
          </cell>
          <cell r="F37" t="str">
            <v>LTG</v>
          </cell>
          <cell r="G37">
            <v>0</v>
          </cell>
          <cell r="H37">
            <v>1</v>
          </cell>
          <cell r="I37">
            <v>8</v>
          </cell>
          <cell r="J37">
            <v>8</v>
          </cell>
          <cell r="L37">
            <v>0</v>
          </cell>
        </row>
        <row r="38">
          <cell r="A38" t="str">
            <v>POM</v>
          </cell>
          <cell r="B38" t="str">
            <v>@PO8</v>
          </cell>
          <cell r="C38" t="str">
            <v>PLASTIC OMNIUM</v>
          </cell>
          <cell r="D38">
            <v>19941215</v>
          </cell>
          <cell r="E38" t="str">
            <v>EPS</v>
          </cell>
          <cell r="F38" t="str">
            <v>LTG</v>
          </cell>
          <cell r="G38">
            <v>0</v>
          </cell>
          <cell r="H38">
            <v>1</v>
          </cell>
          <cell r="I38">
            <v>8</v>
          </cell>
          <cell r="J38">
            <v>8</v>
          </cell>
          <cell r="L38">
            <v>0</v>
          </cell>
        </row>
        <row r="39">
          <cell r="A39" t="str">
            <v>SO</v>
          </cell>
          <cell r="B39" t="str">
            <v>@SOM</v>
          </cell>
          <cell r="C39" t="str">
            <v>SOMMER-ALLIBERT</v>
          </cell>
          <cell r="D39">
            <v>19941215</v>
          </cell>
          <cell r="E39" t="str">
            <v>EPS</v>
          </cell>
          <cell r="F39" t="str">
            <v>LTG</v>
          </cell>
          <cell r="G39">
            <v>0</v>
          </cell>
          <cell r="H39">
            <v>1</v>
          </cell>
          <cell r="I39">
            <v>7</v>
          </cell>
          <cell r="J39">
            <v>7</v>
          </cell>
          <cell r="L39">
            <v>0</v>
          </cell>
        </row>
      </sheetData>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cyj0l0bmvzjjrms"/>
    </sheetNames>
    <sheetDataSet>
      <sheetData sheetId="0">
        <row r="1">
          <cell r="B1" t="str">
            <v>Official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Forecast Period End Date (SAS Format)</v>
          </cell>
          <cell r="M1" t="str">
            <v>Actual Value, from the Detail Actuals File</v>
          </cell>
          <cell r="N1" t="str">
            <v>Announce date of the Actual, from the Detail Actuals File</v>
          </cell>
        </row>
        <row r="2">
          <cell r="B2" t="str">
            <v>ATG</v>
          </cell>
          <cell r="C2" t="str">
            <v>ATLANTA GAS LT</v>
          </cell>
          <cell r="D2">
            <v>34683</v>
          </cell>
          <cell r="E2" t="str">
            <v>EPS</v>
          </cell>
          <cell r="F2" t="str">
            <v>ANN</v>
          </cell>
          <cell r="G2" t="str">
            <v>1</v>
          </cell>
          <cell r="H2">
            <v>17</v>
          </cell>
          <cell r="I2">
            <v>1.18</v>
          </cell>
          <cell r="J2">
            <v>1.18</v>
          </cell>
          <cell r="K2">
            <v>0.03</v>
          </cell>
          <cell r="L2">
            <v>34972</v>
          </cell>
          <cell r="M2">
            <v>1.4550000000000001</v>
          </cell>
          <cell r="N2">
            <v>35006</v>
          </cell>
        </row>
        <row r="3">
          <cell r="B3" t="str">
            <v>CGC</v>
          </cell>
          <cell r="C3" t="str">
            <v>CASCADE NAT GAS</v>
          </cell>
          <cell r="D3">
            <v>34683</v>
          </cell>
          <cell r="E3" t="str">
            <v>EPS</v>
          </cell>
          <cell r="F3" t="str">
            <v>ANN</v>
          </cell>
          <cell r="G3" t="str">
            <v>1</v>
          </cell>
          <cell r="H3">
            <v>4</v>
          </cell>
          <cell r="I3">
            <v>0.8</v>
          </cell>
          <cell r="J3">
            <v>0.81</v>
          </cell>
          <cell r="K3">
            <v>0.06</v>
          </cell>
          <cell r="L3">
            <v>34699</v>
          </cell>
          <cell r="M3">
            <v>0.6</v>
          </cell>
          <cell r="N3">
            <v>34733</v>
          </cell>
        </row>
        <row r="4">
          <cell r="B4" t="str">
            <v>CPK</v>
          </cell>
          <cell r="C4" t="str">
            <v>CHESAPEAKE UTIL</v>
          </cell>
          <cell r="D4">
            <v>34683</v>
          </cell>
          <cell r="E4" t="str">
            <v>EPS</v>
          </cell>
          <cell r="F4" t="str">
            <v>ANN</v>
          </cell>
          <cell r="G4" t="str">
            <v>1</v>
          </cell>
          <cell r="H4">
            <v>1</v>
          </cell>
          <cell r="I4">
            <v>0.8</v>
          </cell>
          <cell r="J4">
            <v>0.8</v>
          </cell>
          <cell r="L4">
            <v>34699</v>
          </cell>
          <cell r="M4">
            <v>0.82</v>
          </cell>
          <cell r="N4">
            <v>34855</v>
          </cell>
        </row>
        <row r="5">
          <cell r="B5" t="str">
            <v>ATO</v>
          </cell>
          <cell r="C5" t="str">
            <v>ATMOS ENERGY CP</v>
          </cell>
          <cell r="D5">
            <v>34683</v>
          </cell>
          <cell r="E5" t="str">
            <v>EPS</v>
          </cell>
          <cell r="F5" t="str">
            <v>ANN</v>
          </cell>
          <cell r="G5" t="str">
            <v>1</v>
          </cell>
          <cell r="H5">
            <v>6</v>
          </cell>
          <cell r="I5">
            <v>0.88</v>
          </cell>
          <cell r="J5">
            <v>0.87</v>
          </cell>
          <cell r="K5">
            <v>0.06</v>
          </cell>
          <cell r="L5">
            <v>34972</v>
          </cell>
          <cell r="M5">
            <v>1.23</v>
          </cell>
          <cell r="N5">
            <v>35011</v>
          </cell>
        </row>
        <row r="6">
          <cell r="B6" t="str">
            <v>GAS</v>
          </cell>
          <cell r="C6" t="str">
            <v>NICOR INC</v>
          </cell>
          <cell r="D6">
            <v>34683</v>
          </cell>
          <cell r="E6" t="str">
            <v>EPS</v>
          </cell>
          <cell r="F6" t="str">
            <v>ANN</v>
          </cell>
          <cell r="G6" t="str">
            <v>1</v>
          </cell>
          <cell r="H6">
            <v>15</v>
          </cell>
          <cell r="I6">
            <v>2.1</v>
          </cell>
          <cell r="J6">
            <v>2.11</v>
          </cell>
          <cell r="K6">
            <v>0.03</v>
          </cell>
          <cell r="L6">
            <v>34699</v>
          </cell>
          <cell r="M6">
            <v>2.06</v>
          </cell>
          <cell r="N6">
            <v>34725</v>
          </cell>
        </row>
        <row r="7">
          <cell r="B7" t="str">
            <v>NI</v>
          </cell>
          <cell r="C7" t="str">
            <v>NIPSCO IND INC</v>
          </cell>
          <cell r="D7">
            <v>34683</v>
          </cell>
          <cell r="E7" t="str">
            <v>EPS</v>
          </cell>
          <cell r="F7" t="str">
            <v>ANN</v>
          </cell>
          <cell r="G7" t="str">
            <v>1</v>
          </cell>
          <cell r="H7">
            <v>24</v>
          </cell>
          <cell r="I7">
            <v>1.23</v>
          </cell>
          <cell r="J7">
            <v>1.23</v>
          </cell>
          <cell r="K7">
            <v>0.02</v>
          </cell>
          <cell r="L7">
            <v>34699</v>
          </cell>
          <cell r="M7">
            <v>1.23</v>
          </cell>
          <cell r="N7">
            <v>34729</v>
          </cell>
        </row>
        <row r="8">
          <cell r="B8" t="str">
            <v>NJR</v>
          </cell>
          <cell r="C8" t="str">
            <v>NEW JERSEY RES</v>
          </cell>
          <cell r="D8">
            <v>34683</v>
          </cell>
          <cell r="E8" t="str">
            <v>EPS</v>
          </cell>
          <cell r="F8" t="str">
            <v>ANN</v>
          </cell>
          <cell r="G8" t="str">
            <v>1</v>
          </cell>
          <cell r="H8">
            <v>9</v>
          </cell>
          <cell r="I8">
            <v>0.42</v>
          </cell>
          <cell r="J8">
            <v>0.42</v>
          </cell>
          <cell r="K8">
            <v>0</v>
          </cell>
          <cell r="L8">
            <v>34972</v>
          </cell>
          <cell r="M8">
            <v>0.42670000000000002</v>
          </cell>
          <cell r="N8">
            <v>35003</v>
          </cell>
        </row>
        <row r="9">
          <cell r="B9" t="str">
            <v>NWN</v>
          </cell>
          <cell r="C9" t="str">
            <v>NWNL COMPANIES</v>
          </cell>
          <cell r="D9">
            <v>34683</v>
          </cell>
          <cell r="E9" t="str">
            <v>EPS</v>
          </cell>
          <cell r="F9" t="str">
            <v>ANN</v>
          </cell>
          <cell r="G9" t="str">
            <v>1</v>
          </cell>
          <cell r="H9">
            <v>13</v>
          </cell>
          <cell r="I9">
            <v>1.79</v>
          </cell>
          <cell r="J9">
            <v>1.78</v>
          </cell>
          <cell r="K9">
            <v>0.02</v>
          </cell>
          <cell r="L9">
            <v>34699</v>
          </cell>
          <cell r="M9">
            <v>1.8149999999999999</v>
          </cell>
          <cell r="N9">
            <v>34732</v>
          </cell>
        </row>
        <row r="10">
          <cell r="B10" t="str">
            <v>PNY</v>
          </cell>
          <cell r="C10" t="str">
            <v>PIEDMONT NAT GAS</v>
          </cell>
          <cell r="D10">
            <v>34683</v>
          </cell>
          <cell r="E10" t="str">
            <v>EPS</v>
          </cell>
          <cell r="F10" t="str">
            <v>ANN</v>
          </cell>
          <cell r="G10" t="str">
            <v>1</v>
          </cell>
          <cell r="H10">
            <v>10</v>
          </cell>
          <cell r="I10">
            <v>0.73</v>
          </cell>
          <cell r="J10">
            <v>0.73</v>
          </cell>
          <cell r="K10">
            <v>0.02</v>
          </cell>
          <cell r="L10">
            <v>35003</v>
          </cell>
          <cell r="M10">
            <v>0.755</v>
          </cell>
          <cell r="N10">
            <v>35034</v>
          </cell>
        </row>
        <row r="11">
          <cell r="B11" t="str">
            <v>SJI</v>
          </cell>
          <cell r="C11" t="str">
            <v>SO JERSEY INDS</v>
          </cell>
          <cell r="D11">
            <v>34683</v>
          </cell>
          <cell r="E11" t="str">
            <v>EPS</v>
          </cell>
          <cell r="F11" t="str">
            <v>ANN</v>
          </cell>
          <cell r="G11" t="str">
            <v>1</v>
          </cell>
          <cell r="H11">
            <v>2</v>
          </cell>
          <cell r="I11">
            <v>0.36</v>
          </cell>
          <cell r="J11">
            <v>0.36</v>
          </cell>
          <cell r="K11">
            <v>0.01</v>
          </cell>
          <cell r="L11">
            <v>34699</v>
          </cell>
          <cell r="M11">
            <v>0.36249999999999999</v>
          </cell>
          <cell r="N11">
            <v>34722</v>
          </cell>
        </row>
        <row r="12">
          <cell r="B12" t="str">
            <v>SWX</v>
          </cell>
          <cell r="C12" t="str">
            <v>SOUTHWEST GAS</v>
          </cell>
          <cell r="D12">
            <v>34683</v>
          </cell>
          <cell r="E12" t="str">
            <v>EPS</v>
          </cell>
          <cell r="F12" t="str">
            <v>ANN</v>
          </cell>
          <cell r="G12" t="str">
            <v>1</v>
          </cell>
          <cell r="H12">
            <v>7</v>
          </cell>
          <cell r="I12">
            <v>1.2</v>
          </cell>
          <cell r="J12">
            <v>1.1399999999999999</v>
          </cell>
          <cell r="K12">
            <v>0.13</v>
          </cell>
          <cell r="L12">
            <v>34699</v>
          </cell>
          <cell r="M12">
            <v>1.21</v>
          </cell>
          <cell r="N12">
            <v>34739</v>
          </cell>
        </row>
        <row r="13">
          <cell r="B13" t="str">
            <v>WGL</v>
          </cell>
          <cell r="C13" t="str">
            <v>WASH GAS LT</v>
          </cell>
          <cell r="D13">
            <v>34683</v>
          </cell>
          <cell r="E13" t="str">
            <v>EPS</v>
          </cell>
          <cell r="F13" t="str">
            <v>ANN</v>
          </cell>
          <cell r="G13" t="str">
            <v>1</v>
          </cell>
          <cell r="H13">
            <v>14</v>
          </cell>
          <cell r="I13">
            <v>1.4</v>
          </cell>
          <cell r="J13">
            <v>1.4</v>
          </cell>
          <cell r="K13">
            <v>0.02</v>
          </cell>
          <cell r="L13">
            <v>34972</v>
          </cell>
          <cell r="M13">
            <v>1.45</v>
          </cell>
          <cell r="N13">
            <v>34997</v>
          </cell>
        </row>
      </sheetData>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hykeq6qwrpwdnei"/>
    </sheetNames>
    <sheetDataSet>
      <sheetData sheetId="0">
        <row r="1">
          <cell r="B1" t="str">
            <v>Official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Forecast Period End Date (SAS Format)</v>
          </cell>
          <cell r="M1" t="str">
            <v>Actual Value, from the Detail Actuals File</v>
          </cell>
          <cell r="N1" t="str">
            <v>Announce date of the Actual, from the Detail Actuals File</v>
          </cell>
        </row>
        <row r="2">
          <cell r="B2" t="str">
            <v>ATG</v>
          </cell>
          <cell r="C2" t="str">
            <v>ATLANTA GAS LT</v>
          </cell>
          <cell r="D2">
            <v>34683</v>
          </cell>
          <cell r="E2" t="str">
            <v>EPS</v>
          </cell>
          <cell r="F2" t="str">
            <v>LTG</v>
          </cell>
          <cell r="G2" t="str">
            <v>0</v>
          </cell>
          <cell r="H2">
            <v>11</v>
          </cell>
          <cell r="I2">
            <v>4.5</v>
          </cell>
          <cell r="J2">
            <v>4.2699999999999996</v>
          </cell>
          <cell r="K2">
            <v>1.17</v>
          </cell>
        </row>
        <row r="3">
          <cell r="B3" t="str">
            <v>CGC</v>
          </cell>
          <cell r="C3" t="str">
            <v>CASCADE NAT GAS</v>
          </cell>
          <cell r="D3">
            <v>34683</v>
          </cell>
          <cell r="E3" t="str">
            <v>EPS</v>
          </cell>
          <cell r="F3" t="str">
            <v>LTG</v>
          </cell>
          <cell r="G3" t="str">
            <v>0</v>
          </cell>
          <cell r="H3">
            <v>3</v>
          </cell>
          <cell r="I3">
            <v>5</v>
          </cell>
          <cell r="J3">
            <v>5.33</v>
          </cell>
          <cell r="K3">
            <v>1.53</v>
          </cell>
        </row>
        <row r="4">
          <cell r="B4" t="str">
            <v>CPK</v>
          </cell>
          <cell r="C4" t="str">
            <v>CHESAPEAKE UTIL</v>
          </cell>
          <cell r="D4">
            <v>34683</v>
          </cell>
          <cell r="E4" t="str">
            <v>EPS</v>
          </cell>
          <cell r="F4" t="str">
            <v>LTG</v>
          </cell>
          <cell r="G4" t="str">
            <v>0</v>
          </cell>
          <cell r="H4">
            <v>1</v>
          </cell>
          <cell r="I4">
            <v>3</v>
          </cell>
          <cell r="J4">
            <v>3</v>
          </cell>
        </row>
        <row r="5">
          <cell r="B5" t="str">
            <v>ATO</v>
          </cell>
          <cell r="C5" t="str">
            <v>ATMOS ENERGY CP</v>
          </cell>
          <cell r="D5">
            <v>34683</v>
          </cell>
          <cell r="E5" t="str">
            <v>EPS</v>
          </cell>
          <cell r="F5" t="str">
            <v>LTG</v>
          </cell>
          <cell r="G5" t="str">
            <v>0</v>
          </cell>
          <cell r="H5">
            <v>3</v>
          </cell>
          <cell r="I5">
            <v>9</v>
          </cell>
          <cell r="J5">
            <v>7.83</v>
          </cell>
          <cell r="K5">
            <v>2.93</v>
          </cell>
        </row>
        <row r="6">
          <cell r="B6" t="str">
            <v>GAS</v>
          </cell>
          <cell r="C6" t="str">
            <v>NICOR INC</v>
          </cell>
          <cell r="D6">
            <v>34683</v>
          </cell>
          <cell r="E6" t="str">
            <v>EPS</v>
          </cell>
          <cell r="F6" t="str">
            <v>LTG</v>
          </cell>
          <cell r="G6" t="str">
            <v>0</v>
          </cell>
          <cell r="H6">
            <v>8</v>
          </cell>
          <cell r="I6">
            <v>5.5</v>
          </cell>
          <cell r="J6">
            <v>5.5</v>
          </cell>
          <cell r="K6">
            <v>0.93</v>
          </cell>
        </row>
        <row r="7">
          <cell r="B7" t="str">
            <v>NI</v>
          </cell>
          <cell r="C7" t="str">
            <v>NIPSCO IND INC</v>
          </cell>
          <cell r="D7">
            <v>34683</v>
          </cell>
          <cell r="E7" t="str">
            <v>EPS</v>
          </cell>
          <cell r="F7" t="str">
            <v>LTG</v>
          </cell>
          <cell r="G7" t="str">
            <v>0</v>
          </cell>
          <cell r="H7">
            <v>11</v>
          </cell>
          <cell r="I7">
            <v>5</v>
          </cell>
          <cell r="J7">
            <v>4.7699999999999996</v>
          </cell>
          <cell r="K7">
            <v>1.32</v>
          </cell>
        </row>
        <row r="8">
          <cell r="B8" t="str">
            <v>NJR</v>
          </cell>
          <cell r="C8" t="str">
            <v>NEW JERSEY RES</v>
          </cell>
          <cell r="D8">
            <v>34683</v>
          </cell>
          <cell r="E8" t="str">
            <v>EPS</v>
          </cell>
          <cell r="F8" t="str">
            <v>LTG</v>
          </cell>
          <cell r="G8" t="str">
            <v>0</v>
          </cell>
          <cell r="H8">
            <v>6</v>
          </cell>
          <cell r="I8">
            <v>5</v>
          </cell>
          <cell r="J8">
            <v>4.8</v>
          </cell>
          <cell r="K8">
            <v>0.65</v>
          </cell>
        </row>
        <row r="9">
          <cell r="B9" t="str">
            <v>PNY</v>
          </cell>
          <cell r="C9" t="str">
            <v>PIEDMONT NAT GAS</v>
          </cell>
          <cell r="D9">
            <v>34683</v>
          </cell>
          <cell r="E9" t="str">
            <v>EPS</v>
          </cell>
          <cell r="F9" t="str">
            <v>LTG</v>
          </cell>
          <cell r="G9" t="str">
            <v>0</v>
          </cell>
          <cell r="H9">
            <v>6</v>
          </cell>
          <cell r="I9">
            <v>6</v>
          </cell>
          <cell r="J9">
            <v>6.67</v>
          </cell>
          <cell r="K9">
            <v>1.97</v>
          </cell>
        </row>
        <row r="10">
          <cell r="B10" t="str">
            <v>SJI</v>
          </cell>
          <cell r="C10" t="str">
            <v>SO JERSEY INDS</v>
          </cell>
          <cell r="D10">
            <v>34683</v>
          </cell>
          <cell r="E10" t="str">
            <v>EPS</v>
          </cell>
          <cell r="F10" t="str">
            <v>LTG</v>
          </cell>
          <cell r="G10" t="str">
            <v>0</v>
          </cell>
          <cell r="H10">
            <v>2</v>
          </cell>
          <cell r="I10">
            <v>3.5</v>
          </cell>
          <cell r="J10">
            <v>3.5</v>
          </cell>
          <cell r="K10">
            <v>0.71</v>
          </cell>
        </row>
        <row r="11">
          <cell r="B11" t="str">
            <v>SWX</v>
          </cell>
          <cell r="C11" t="str">
            <v>SOUTHWEST GAS</v>
          </cell>
          <cell r="D11">
            <v>34683</v>
          </cell>
          <cell r="E11" t="str">
            <v>EPS</v>
          </cell>
          <cell r="F11" t="str">
            <v>LTG</v>
          </cell>
          <cell r="G11" t="str">
            <v>0</v>
          </cell>
          <cell r="H11">
            <v>3</v>
          </cell>
          <cell r="I11">
            <v>5</v>
          </cell>
          <cell r="J11">
            <v>9.33</v>
          </cell>
          <cell r="K11">
            <v>9.2899999999999991</v>
          </cell>
        </row>
        <row r="12">
          <cell r="B12" t="str">
            <v>WGL</v>
          </cell>
          <cell r="C12" t="str">
            <v>WASH GAS LT</v>
          </cell>
          <cell r="D12">
            <v>34683</v>
          </cell>
          <cell r="E12" t="str">
            <v>EPS</v>
          </cell>
          <cell r="F12" t="str">
            <v>LTG</v>
          </cell>
          <cell r="G12" t="str">
            <v>0</v>
          </cell>
          <cell r="H12">
            <v>8</v>
          </cell>
          <cell r="I12">
            <v>4</v>
          </cell>
          <cell r="J12">
            <v>3.98</v>
          </cell>
          <cell r="K12">
            <v>1.35</v>
          </cell>
        </row>
      </sheetData>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RDS"/>
    </sheetNames>
    <sheetDataSet>
      <sheetData sheetId="0">
        <row r="1">
          <cell r="A1" t="str">
            <v>OFTIC</v>
          </cell>
          <cell r="B1" t="str">
            <v>IBES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USFIRM=0 if from .INT file and USFIRM=1 if from .US file</v>
          </cell>
          <cell r="L1" t="str">
            <v>Forecast Period End Date (SAS Format)</v>
          </cell>
          <cell r="M1" t="str">
            <v>Actual Value, from the Detail Actuals File</v>
          </cell>
          <cell r="N1" t="str">
            <v>Announce date of the Actual, from the Detail Actuals File</v>
          </cell>
        </row>
        <row r="2">
          <cell r="A2" t="str">
            <v>AEE</v>
          </cell>
          <cell r="B2" t="str">
            <v>AEE</v>
          </cell>
          <cell r="C2" t="str">
            <v>AILEEN INC</v>
          </cell>
          <cell r="D2">
            <v>19931216</v>
          </cell>
          <cell r="E2" t="str">
            <v>EPS</v>
          </cell>
          <cell r="F2" t="str">
            <v>ANN</v>
          </cell>
          <cell r="G2">
            <v>1</v>
          </cell>
          <cell r="H2">
            <v>1</v>
          </cell>
          <cell r="I2">
            <v>-0.5</v>
          </cell>
          <cell r="J2">
            <v>-0.5</v>
          </cell>
          <cell r="K2">
            <v>1</v>
          </cell>
          <cell r="L2">
            <v>19931031</v>
          </cell>
          <cell r="M2">
            <v>-0.89</v>
          </cell>
          <cell r="N2">
            <v>19940107</v>
          </cell>
        </row>
        <row r="3">
          <cell r="A3" t="str">
            <v>AGR</v>
          </cell>
          <cell r="B3" t="str">
            <v>AGR2</v>
          </cell>
          <cell r="C3" t="str">
            <v>ARGENTARIA</v>
          </cell>
          <cell r="D3">
            <v>19931216</v>
          </cell>
          <cell r="E3" t="str">
            <v>EPS</v>
          </cell>
          <cell r="F3" t="str">
            <v>ANN</v>
          </cell>
          <cell r="G3">
            <v>1</v>
          </cell>
          <cell r="H3">
            <v>1</v>
          </cell>
          <cell r="I3">
            <v>1.74</v>
          </cell>
          <cell r="J3">
            <v>1.74</v>
          </cell>
          <cell r="K3">
            <v>1</v>
          </cell>
          <cell r="L3">
            <v>19931231</v>
          </cell>
          <cell r="M3">
            <v>1.82</v>
          </cell>
          <cell r="N3">
            <v>19940816</v>
          </cell>
        </row>
        <row r="4">
          <cell r="A4" t="str">
            <v>ALE</v>
          </cell>
          <cell r="B4" t="str">
            <v>ALTE</v>
          </cell>
          <cell r="C4" t="str">
            <v>ALTA ENERGY CORP</v>
          </cell>
          <cell r="D4">
            <v>19931216</v>
          </cell>
          <cell r="E4" t="str">
            <v>EPS</v>
          </cell>
          <cell r="F4" t="str">
            <v>ANN</v>
          </cell>
          <cell r="G4">
            <v>1</v>
          </cell>
          <cell r="H4">
            <v>1</v>
          </cell>
          <cell r="I4">
            <v>-0.31</v>
          </cell>
          <cell r="J4">
            <v>-0.31</v>
          </cell>
          <cell r="K4">
            <v>1</v>
          </cell>
          <cell r="L4">
            <v>19940630</v>
          </cell>
        </row>
        <row r="5">
          <cell r="A5" t="str">
            <v>PNW</v>
          </cell>
          <cell r="B5" t="str">
            <v>AZP</v>
          </cell>
          <cell r="C5" t="str">
            <v>PINNACLE WST CAP</v>
          </cell>
          <cell r="D5">
            <v>19931216</v>
          </cell>
          <cell r="E5" t="str">
            <v>EPS</v>
          </cell>
          <cell r="F5" t="str">
            <v>ANN</v>
          </cell>
          <cell r="G5">
            <v>1</v>
          </cell>
          <cell r="H5">
            <v>19</v>
          </cell>
          <cell r="I5">
            <v>1.95</v>
          </cell>
          <cell r="J5">
            <v>1.96</v>
          </cell>
          <cell r="K5">
            <v>1</v>
          </cell>
          <cell r="L5">
            <v>19931231</v>
          </cell>
          <cell r="M5">
            <v>1.95</v>
          </cell>
          <cell r="N5">
            <v>19940119</v>
          </cell>
        </row>
        <row r="6">
          <cell r="A6" t="str">
            <v>BKH</v>
          </cell>
          <cell r="B6" t="str">
            <v>BHP</v>
          </cell>
          <cell r="C6" t="str">
            <v>BLACK HILLS CORP</v>
          </cell>
          <cell r="D6">
            <v>19931216</v>
          </cell>
          <cell r="E6" t="str">
            <v>EPS</v>
          </cell>
          <cell r="F6" t="str">
            <v>ANN</v>
          </cell>
          <cell r="G6">
            <v>1</v>
          </cell>
          <cell r="H6">
            <v>7</v>
          </cell>
          <cell r="I6">
            <v>1.1000000000000001</v>
          </cell>
          <cell r="J6">
            <v>1.1200000000000001</v>
          </cell>
          <cell r="K6">
            <v>1</v>
          </cell>
          <cell r="L6">
            <v>19931231</v>
          </cell>
          <cell r="M6">
            <v>1.1067</v>
          </cell>
          <cell r="N6">
            <v>19940131</v>
          </cell>
        </row>
        <row r="7">
          <cell r="A7" t="str">
            <v>CIN</v>
          </cell>
          <cell r="B7" t="str">
            <v>CIN</v>
          </cell>
          <cell r="C7" t="str">
            <v>CINN GAS &amp; EL</v>
          </cell>
          <cell r="D7">
            <v>19931216</v>
          </cell>
          <cell r="E7" t="str">
            <v>EPS</v>
          </cell>
          <cell r="F7" t="str">
            <v>ANN</v>
          </cell>
          <cell r="G7">
            <v>1</v>
          </cell>
          <cell r="H7">
            <v>19</v>
          </cell>
          <cell r="I7">
            <v>2.1</v>
          </cell>
          <cell r="J7">
            <v>2.11</v>
          </cell>
          <cell r="K7">
            <v>1</v>
          </cell>
          <cell r="L7">
            <v>19931231</v>
          </cell>
          <cell r="M7">
            <v>2.16</v>
          </cell>
          <cell r="N7">
            <v>19940125</v>
          </cell>
        </row>
        <row r="8">
          <cell r="A8" t="str">
            <v>CMS</v>
          </cell>
          <cell r="B8" t="str">
            <v>CMS</v>
          </cell>
          <cell r="C8" t="str">
            <v>CMS ENERGY CORP</v>
          </cell>
          <cell r="D8">
            <v>19931216</v>
          </cell>
          <cell r="E8" t="str">
            <v>EPS</v>
          </cell>
          <cell r="F8" t="str">
            <v>ANN</v>
          </cell>
          <cell r="G8">
            <v>1</v>
          </cell>
          <cell r="H8">
            <v>21</v>
          </cell>
          <cell r="I8">
            <v>1.95</v>
          </cell>
          <cell r="J8">
            <v>1.94</v>
          </cell>
          <cell r="K8">
            <v>1</v>
          </cell>
          <cell r="L8">
            <v>19931231</v>
          </cell>
          <cell r="M8">
            <v>1.9</v>
          </cell>
          <cell r="N8">
            <v>19940125</v>
          </cell>
        </row>
        <row r="9">
          <cell r="A9" t="str">
            <v>CNL</v>
          </cell>
          <cell r="B9" t="str">
            <v>CNL</v>
          </cell>
          <cell r="C9" t="str">
            <v>CENT LA ELEC INC</v>
          </cell>
          <cell r="D9">
            <v>19931216</v>
          </cell>
          <cell r="E9" t="str">
            <v>EPS</v>
          </cell>
          <cell r="F9" t="str">
            <v>ANN</v>
          </cell>
          <cell r="G9">
            <v>1</v>
          </cell>
          <cell r="H9">
            <v>7</v>
          </cell>
          <cell r="I9">
            <v>0.97</v>
          </cell>
          <cell r="J9">
            <v>0.98</v>
          </cell>
          <cell r="K9">
            <v>1</v>
          </cell>
          <cell r="L9">
            <v>19931231</v>
          </cell>
          <cell r="M9">
            <v>1.2250000000000001</v>
          </cell>
          <cell r="N9">
            <v>19940202</v>
          </cell>
        </row>
        <row r="10">
          <cell r="A10" t="str">
            <v>CNP</v>
          </cell>
          <cell r="B10" t="str">
            <v>CNP</v>
          </cell>
          <cell r="C10" t="str">
            <v>CROWN CENT PETE</v>
          </cell>
          <cell r="D10">
            <v>19931216</v>
          </cell>
          <cell r="E10" t="str">
            <v>EPS</v>
          </cell>
          <cell r="F10" t="str">
            <v>ANN</v>
          </cell>
          <cell r="G10">
            <v>1</v>
          </cell>
          <cell r="H10">
            <v>2</v>
          </cell>
          <cell r="I10">
            <v>0.23</v>
          </cell>
          <cell r="J10">
            <v>0.23</v>
          </cell>
          <cell r="K10">
            <v>1</v>
          </cell>
          <cell r="L10">
            <v>19931231</v>
          </cell>
          <cell r="M10">
            <v>-0.22</v>
          </cell>
          <cell r="N10">
            <v>19940225</v>
          </cell>
        </row>
        <row r="11">
          <cell r="A11" t="str">
            <v>CV</v>
          </cell>
          <cell r="B11" t="str">
            <v>CV</v>
          </cell>
          <cell r="C11" t="str">
            <v>CNTRL VT PUB SVC</v>
          </cell>
          <cell r="D11">
            <v>19931216</v>
          </cell>
          <cell r="E11" t="str">
            <v>EPS</v>
          </cell>
          <cell r="F11" t="str">
            <v>ANN</v>
          </cell>
          <cell r="G11">
            <v>1</v>
          </cell>
          <cell r="H11">
            <v>3</v>
          </cell>
          <cell r="I11">
            <v>1.65</v>
          </cell>
          <cell r="J11">
            <v>1.62</v>
          </cell>
          <cell r="K11">
            <v>1</v>
          </cell>
          <cell r="L11">
            <v>19931231</v>
          </cell>
          <cell r="M11">
            <v>1.64</v>
          </cell>
          <cell r="N11">
            <v>19940207</v>
          </cell>
        </row>
        <row r="12">
          <cell r="A12" t="str">
            <v>D</v>
          </cell>
          <cell r="B12" t="str">
            <v>D</v>
          </cell>
          <cell r="C12" t="str">
            <v>DOMINION RES INC</v>
          </cell>
          <cell r="D12">
            <v>19931216</v>
          </cell>
          <cell r="E12" t="str">
            <v>EPS</v>
          </cell>
          <cell r="F12" t="str">
            <v>ANN</v>
          </cell>
          <cell r="G12">
            <v>1</v>
          </cell>
          <cell r="H12">
            <v>30</v>
          </cell>
          <cell r="I12">
            <v>1.57</v>
          </cell>
          <cell r="J12">
            <v>1.57</v>
          </cell>
          <cell r="K12">
            <v>1</v>
          </cell>
          <cell r="L12">
            <v>19931231</v>
          </cell>
          <cell r="M12">
            <v>1.5649999999999999</v>
          </cell>
          <cell r="N12">
            <v>19940128</v>
          </cell>
        </row>
        <row r="13">
          <cell r="A13" t="str">
            <v>DPL</v>
          </cell>
          <cell r="B13" t="str">
            <v>DPL</v>
          </cell>
          <cell r="C13" t="str">
            <v>DPL INC</v>
          </cell>
          <cell r="D13">
            <v>19931216</v>
          </cell>
          <cell r="E13" t="str">
            <v>EPS</v>
          </cell>
          <cell r="F13" t="str">
            <v>ANN</v>
          </cell>
          <cell r="G13">
            <v>1</v>
          </cell>
          <cell r="H13">
            <v>20</v>
          </cell>
          <cell r="I13">
            <v>0.97</v>
          </cell>
          <cell r="J13">
            <v>0.96</v>
          </cell>
          <cell r="K13">
            <v>1</v>
          </cell>
          <cell r="L13">
            <v>19931231</v>
          </cell>
          <cell r="M13">
            <v>0.9133</v>
          </cell>
          <cell r="N13">
            <v>19940124</v>
          </cell>
        </row>
        <row r="14">
          <cell r="A14" t="str">
            <v>DTE</v>
          </cell>
          <cell r="B14" t="str">
            <v>DTE</v>
          </cell>
          <cell r="C14" t="str">
            <v>DETROIT EDISON</v>
          </cell>
          <cell r="D14">
            <v>19931216</v>
          </cell>
          <cell r="E14" t="str">
            <v>EPS</v>
          </cell>
          <cell r="F14" t="str">
            <v>ANN</v>
          </cell>
          <cell r="G14">
            <v>1</v>
          </cell>
          <cell r="H14">
            <v>24</v>
          </cell>
          <cell r="I14">
            <v>3.2</v>
          </cell>
          <cell r="J14">
            <v>3.21</v>
          </cell>
          <cell r="K14">
            <v>1</v>
          </cell>
          <cell r="L14">
            <v>19931231</v>
          </cell>
          <cell r="M14">
            <v>3.33</v>
          </cell>
          <cell r="N14">
            <v>19940124</v>
          </cell>
        </row>
        <row r="15">
          <cell r="A15" t="str">
            <v>DUK</v>
          </cell>
          <cell r="B15" t="str">
            <v>DUK</v>
          </cell>
          <cell r="C15" t="str">
            <v>DUKE POWER CO</v>
          </cell>
          <cell r="D15">
            <v>19931216</v>
          </cell>
          <cell r="E15" t="str">
            <v>EPS</v>
          </cell>
          <cell r="F15" t="str">
            <v>ANN</v>
          </cell>
          <cell r="G15">
            <v>1</v>
          </cell>
          <cell r="H15">
            <v>28</v>
          </cell>
          <cell r="I15">
            <v>4.13</v>
          </cell>
          <cell r="J15">
            <v>4.12</v>
          </cell>
          <cell r="K15">
            <v>1</v>
          </cell>
          <cell r="L15">
            <v>19931231</v>
          </cell>
          <cell r="M15">
            <v>4.2</v>
          </cell>
          <cell r="N15">
            <v>19940124</v>
          </cell>
        </row>
        <row r="16">
          <cell r="A16" t="str">
            <v>ED</v>
          </cell>
          <cell r="B16" t="str">
            <v>ED</v>
          </cell>
          <cell r="C16" t="str">
            <v>CONSOL EDISON</v>
          </cell>
          <cell r="D16">
            <v>19931216</v>
          </cell>
          <cell r="E16" t="str">
            <v>EPS</v>
          </cell>
          <cell r="F16" t="str">
            <v>ANN</v>
          </cell>
          <cell r="G16">
            <v>1</v>
          </cell>
          <cell r="H16">
            <v>25</v>
          </cell>
          <cell r="I16">
            <v>2.6</v>
          </cell>
          <cell r="J16">
            <v>2.58</v>
          </cell>
          <cell r="K16">
            <v>1</v>
          </cell>
          <cell r="L16">
            <v>19931231</v>
          </cell>
          <cell r="M16">
            <v>2.66</v>
          </cell>
          <cell r="N16">
            <v>19940125</v>
          </cell>
        </row>
        <row r="17">
          <cell r="A17" t="str">
            <v>EDE</v>
          </cell>
          <cell r="B17" t="str">
            <v>EDE</v>
          </cell>
          <cell r="C17" t="str">
            <v>EMPIRE DIST ELEC</v>
          </cell>
          <cell r="D17">
            <v>19931216</v>
          </cell>
          <cell r="E17" t="str">
            <v>EPS</v>
          </cell>
          <cell r="F17" t="str">
            <v>ANN</v>
          </cell>
          <cell r="G17">
            <v>1</v>
          </cell>
          <cell r="H17">
            <v>4</v>
          </cell>
          <cell r="I17">
            <v>1.3</v>
          </cell>
          <cell r="J17">
            <v>1.34</v>
          </cell>
          <cell r="K17">
            <v>1</v>
          </cell>
          <cell r="L17">
            <v>19931231</v>
          </cell>
          <cell r="M17">
            <v>1.1599999999999999</v>
          </cell>
          <cell r="N17">
            <v>19940128</v>
          </cell>
        </row>
        <row r="18">
          <cell r="A18" t="str">
            <v>EXC</v>
          </cell>
          <cell r="B18" t="str">
            <v>EXC</v>
          </cell>
          <cell r="C18" t="str">
            <v>EXCEL INDS INC</v>
          </cell>
          <cell r="D18">
            <v>19931216</v>
          </cell>
          <cell r="E18" t="str">
            <v>EPS</v>
          </cell>
          <cell r="F18" t="str">
            <v>ANN</v>
          </cell>
          <cell r="G18">
            <v>1</v>
          </cell>
          <cell r="H18">
            <v>3</v>
          </cell>
          <cell r="I18">
            <v>1.1499999999999999</v>
          </cell>
          <cell r="J18">
            <v>1.18</v>
          </cell>
          <cell r="K18">
            <v>1</v>
          </cell>
          <cell r="L18">
            <v>19931231</v>
          </cell>
          <cell r="M18">
            <v>1.169</v>
          </cell>
          <cell r="N18">
            <v>19940218</v>
          </cell>
        </row>
        <row r="19">
          <cell r="A19" t="str">
            <v>FPL</v>
          </cell>
          <cell r="B19" t="str">
            <v>FPL</v>
          </cell>
          <cell r="C19" t="str">
            <v>FPL GROUP</v>
          </cell>
          <cell r="D19">
            <v>19931216</v>
          </cell>
          <cell r="E19" t="str">
            <v>EPS</v>
          </cell>
          <cell r="F19" t="str">
            <v>ANN</v>
          </cell>
          <cell r="G19">
            <v>1</v>
          </cell>
          <cell r="H19">
            <v>30</v>
          </cell>
          <cell r="I19">
            <v>0.34</v>
          </cell>
          <cell r="J19">
            <v>0.34</v>
          </cell>
          <cell r="K19">
            <v>1</v>
          </cell>
          <cell r="L19">
            <v>19931231</v>
          </cell>
          <cell r="M19">
            <v>0.34379999999999999</v>
          </cell>
          <cell r="N19">
            <v>19940121</v>
          </cell>
        </row>
        <row r="20">
          <cell r="A20" t="str">
            <v>HE</v>
          </cell>
          <cell r="B20" t="str">
            <v>HE</v>
          </cell>
          <cell r="C20" t="str">
            <v>HAWAIIAN ELEC</v>
          </cell>
          <cell r="D20">
            <v>19931216</v>
          </cell>
          <cell r="E20" t="str">
            <v>EPS</v>
          </cell>
          <cell r="F20" t="str">
            <v>ANN</v>
          </cell>
          <cell r="G20">
            <v>1</v>
          </cell>
          <cell r="H20">
            <v>14</v>
          </cell>
          <cell r="I20">
            <v>1.24</v>
          </cell>
          <cell r="J20">
            <v>1.24</v>
          </cell>
          <cell r="K20">
            <v>1</v>
          </cell>
          <cell r="L20">
            <v>19931231</v>
          </cell>
          <cell r="M20">
            <v>1.19</v>
          </cell>
          <cell r="N20">
            <v>19940211</v>
          </cell>
        </row>
        <row r="21">
          <cell r="A21" t="str">
            <v>IDA</v>
          </cell>
          <cell r="B21" t="str">
            <v>IDA</v>
          </cell>
          <cell r="C21" t="str">
            <v>IDAHO POWER CO</v>
          </cell>
          <cell r="D21">
            <v>19931216</v>
          </cell>
          <cell r="E21" t="str">
            <v>EPS</v>
          </cell>
          <cell r="F21" t="str">
            <v>ANN</v>
          </cell>
          <cell r="G21">
            <v>1</v>
          </cell>
          <cell r="H21">
            <v>17</v>
          </cell>
          <cell r="I21">
            <v>2</v>
          </cell>
          <cell r="J21">
            <v>2.02</v>
          </cell>
          <cell r="K21">
            <v>1</v>
          </cell>
          <cell r="L21">
            <v>19931231</v>
          </cell>
          <cell r="M21">
            <v>1.97</v>
          </cell>
          <cell r="N21">
            <v>19940131</v>
          </cell>
        </row>
        <row r="22">
          <cell r="A22" t="str">
            <v>WR</v>
          </cell>
          <cell r="B22" t="str">
            <v>KAN</v>
          </cell>
          <cell r="C22" t="str">
            <v>WESTN RESOURCES</v>
          </cell>
          <cell r="D22">
            <v>19931216</v>
          </cell>
          <cell r="E22" t="str">
            <v>EPS</v>
          </cell>
          <cell r="F22" t="str">
            <v>ANN</v>
          </cell>
          <cell r="G22">
            <v>1</v>
          </cell>
          <cell r="H22">
            <v>19</v>
          </cell>
          <cell r="I22">
            <v>2.7</v>
          </cell>
          <cell r="J22">
            <v>2.7</v>
          </cell>
          <cell r="K22">
            <v>1</v>
          </cell>
          <cell r="L22">
            <v>19931231</v>
          </cell>
          <cell r="M22">
            <v>2.77</v>
          </cell>
          <cell r="N22">
            <v>19940126</v>
          </cell>
        </row>
        <row r="23">
          <cell r="A23" t="str">
            <v>ETR</v>
          </cell>
          <cell r="B23" t="str">
            <v>MSU</v>
          </cell>
          <cell r="C23" t="str">
            <v>ENTERGY CP</v>
          </cell>
          <cell r="D23">
            <v>19931216</v>
          </cell>
          <cell r="E23" t="str">
            <v>EPS</v>
          </cell>
          <cell r="F23" t="str">
            <v>ANN</v>
          </cell>
          <cell r="G23">
            <v>1</v>
          </cell>
          <cell r="H23">
            <v>23</v>
          </cell>
          <cell r="I23">
            <v>2.75</v>
          </cell>
          <cell r="J23">
            <v>2.75</v>
          </cell>
          <cell r="K23">
            <v>1</v>
          </cell>
          <cell r="L23">
            <v>19931231</v>
          </cell>
          <cell r="M23">
            <v>2.82</v>
          </cell>
          <cell r="N23">
            <v>19940204</v>
          </cell>
        </row>
        <row r="24">
          <cell r="A24" t="str">
            <v>NU</v>
          </cell>
          <cell r="B24" t="str">
            <v>NU</v>
          </cell>
          <cell r="C24" t="str">
            <v>NORTHEAST UTILS</v>
          </cell>
          <cell r="D24">
            <v>19931216</v>
          </cell>
          <cell r="E24" t="str">
            <v>EPS</v>
          </cell>
          <cell r="F24" t="str">
            <v>ANN</v>
          </cell>
          <cell r="G24">
            <v>1</v>
          </cell>
          <cell r="H24">
            <v>21</v>
          </cell>
          <cell r="I24">
            <v>1.75</v>
          </cell>
          <cell r="J24">
            <v>1.83</v>
          </cell>
          <cell r="K24">
            <v>1</v>
          </cell>
          <cell r="L24">
            <v>19931231</v>
          </cell>
          <cell r="M24">
            <v>1.86</v>
          </cell>
          <cell r="N24">
            <v>19940125</v>
          </cell>
        </row>
        <row r="25">
          <cell r="A25" t="str">
            <v>OGE</v>
          </cell>
          <cell r="B25" t="str">
            <v>OGE</v>
          </cell>
          <cell r="C25" t="str">
            <v>OKLAHOMA G&amp;E</v>
          </cell>
          <cell r="D25">
            <v>19931216</v>
          </cell>
          <cell r="E25" t="str">
            <v>EPS</v>
          </cell>
          <cell r="F25" t="str">
            <v>ANN</v>
          </cell>
          <cell r="G25">
            <v>1</v>
          </cell>
          <cell r="H25">
            <v>23</v>
          </cell>
          <cell r="I25">
            <v>0.75</v>
          </cell>
          <cell r="J25">
            <v>0.75</v>
          </cell>
          <cell r="K25">
            <v>1</v>
          </cell>
          <cell r="L25">
            <v>19931231</v>
          </cell>
          <cell r="M25">
            <v>0.77500000000000002</v>
          </cell>
          <cell r="N25">
            <v>19940228</v>
          </cell>
        </row>
        <row r="26">
          <cell r="A26" t="str">
            <v>OTTR</v>
          </cell>
          <cell r="B26" t="str">
            <v>OTTR</v>
          </cell>
          <cell r="C26" t="str">
            <v>OTTER TAIL PWR</v>
          </cell>
          <cell r="D26">
            <v>19931216</v>
          </cell>
          <cell r="E26" t="str">
            <v>EPS</v>
          </cell>
          <cell r="F26" t="str">
            <v>ANN</v>
          </cell>
          <cell r="G26">
            <v>1</v>
          </cell>
          <cell r="H26">
            <v>5</v>
          </cell>
          <cell r="I26">
            <v>1.1000000000000001</v>
          </cell>
          <cell r="J26">
            <v>1.1100000000000001</v>
          </cell>
          <cell r="K26">
            <v>1</v>
          </cell>
          <cell r="L26">
            <v>19931231</v>
          </cell>
          <cell r="M26">
            <v>1.1100000000000001</v>
          </cell>
          <cell r="N26">
            <v>19940125</v>
          </cell>
        </row>
        <row r="27">
          <cell r="A27" t="str">
            <v>PCG</v>
          </cell>
          <cell r="B27" t="str">
            <v>PCG</v>
          </cell>
          <cell r="C27" t="str">
            <v>PACIFIC G&amp;E</v>
          </cell>
          <cell r="D27">
            <v>19931216</v>
          </cell>
          <cell r="E27" t="str">
            <v>EPS</v>
          </cell>
          <cell r="F27" t="str">
            <v>ANN</v>
          </cell>
          <cell r="G27">
            <v>1</v>
          </cell>
          <cell r="H27">
            <v>27</v>
          </cell>
          <cell r="I27">
            <v>2.85</v>
          </cell>
          <cell r="J27">
            <v>2.82</v>
          </cell>
          <cell r="K27">
            <v>1</v>
          </cell>
          <cell r="L27">
            <v>19931231</v>
          </cell>
          <cell r="M27">
            <v>2.52</v>
          </cell>
          <cell r="N27">
            <v>19940121</v>
          </cell>
        </row>
        <row r="28">
          <cell r="A28" t="str">
            <v>PEG</v>
          </cell>
          <cell r="B28" t="str">
            <v>PEG</v>
          </cell>
          <cell r="C28" t="str">
            <v>PUB SVC ENTERS</v>
          </cell>
          <cell r="D28">
            <v>19931216</v>
          </cell>
          <cell r="E28" t="str">
            <v>EPS</v>
          </cell>
          <cell r="F28" t="str">
            <v>ANN</v>
          </cell>
          <cell r="G28">
            <v>1</v>
          </cell>
          <cell r="H28">
            <v>31</v>
          </cell>
          <cell r="I28">
            <v>1.33</v>
          </cell>
          <cell r="J28">
            <v>1.32</v>
          </cell>
          <cell r="K28">
            <v>1</v>
          </cell>
          <cell r="L28">
            <v>19931231</v>
          </cell>
          <cell r="M28">
            <v>1.2450000000000001</v>
          </cell>
          <cell r="N28">
            <v>19940118</v>
          </cell>
        </row>
        <row r="29">
          <cell r="A29" t="str">
            <v>PGN</v>
          </cell>
          <cell r="B29" t="str">
            <v>PGN</v>
          </cell>
          <cell r="C29" t="str">
            <v>PORTLAND GEN CP</v>
          </cell>
          <cell r="D29">
            <v>19931216</v>
          </cell>
          <cell r="E29" t="str">
            <v>EPS</v>
          </cell>
          <cell r="F29" t="str">
            <v>ANN</v>
          </cell>
          <cell r="G29">
            <v>1</v>
          </cell>
          <cell r="H29">
            <v>19</v>
          </cell>
          <cell r="I29">
            <v>1.8</v>
          </cell>
          <cell r="J29">
            <v>1.79</v>
          </cell>
          <cell r="K29">
            <v>1</v>
          </cell>
          <cell r="L29">
            <v>19931231</v>
          </cell>
          <cell r="M29">
            <v>2.04</v>
          </cell>
          <cell r="N29">
            <v>19940126</v>
          </cell>
        </row>
        <row r="30">
          <cell r="A30" t="str">
            <v>PNM</v>
          </cell>
          <cell r="B30" t="str">
            <v>PNM</v>
          </cell>
          <cell r="C30" t="str">
            <v>PUB SVC N MEX</v>
          </cell>
          <cell r="D30">
            <v>19931216</v>
          </cell>
          <cell r="E30" t="str">
            <v>EPS</v>
          </cell>
          <cell r="F30" t="str">
            <v>ANN</v>
          </cell>
          <cell r="G30">
            <v>1</v>
          </cell>
          <cell r="H30">
            <v>16</v>
          </cell>
          <cell r="I30">
            <v>0.77</v>
          </cell>
          <cell r="J30">
            <v>0.77</v>
          </cell>
          <cell r="K30">
            <v>1</v>
          </cell>
          <cell r="L30">
            <v>19931231</v>
          </cell>
          <cell r="M30">
            <v>0.83330000000000004</v>
          </cell>
          <cell r="N30">
            <v>19940128</v>
          </cell>
        </row>
        <row r="31">
          <cell r="A31" t="str">
            <v>POM</v>
          </cell>
          <cell r="B31" t="str">
            <v>POM</v>
          </cell>
          <cell r="C31" t="str">
            <v>POTOMAC ELEC</v>
          </cell>
          <cell r="D31">
            <v>19931216</v>
          </cell>
          <cell r="E31" t="str">
            <v>EPS</v>
          </cell>
          <cell r="F31" t="str">
            <v>ANN</v>
          </cell>
          <cell r="G31">
            <v>1</v>
          </cell>
          <cell r="H31">
            <v>28</v>
          </cell>
          <cell r="I31">
            <v>1.95</v>
          </cell>
          <cell r="J31">
            <v>1.96</v>
          </cell>
          <cell r="K31">
            <v>1</v>
          </cell>
          <cell r="L31">
            <v>19931231</v>
          </cell>
          <cell r="M31">
            <v>1.94</v>
          </cell>
          <cell r="N31">
            <v>19940128</v>
          </cell>
        </row>
        <row r="32">
          <cell r="A32" t="str">
            <v>PPL</v>
          </cell>
          <cell r="B32" t="str">
            <v>PPL</v>
          </cell>
          <cell r="C32" t="str">
            <v>PENNA P&amp;L</v>
          </cell>
          <cell r="D32">
            <v>19931216</v>
          </cell>
          <cell r="E32" t="str">
            <v>EPS</v>
          </cell>
          <cell r="F32" t="str">
            <v>ANN</v>
          </cell>
          <cell r="G32">
            <v>1</v>
          </cell>
          <cell r="H32">
            <v>21</v>
          </cell>
          <cell r="I32">
            <v>1.05</v>
          </cell>
          <cell r="J32">
            <v>1.05</v>
          </cell>
          <cell r="K32">
            <v>1</v>
          </cell>
          <cell r="L32">
            <v>19931231</v>
          </cell>
          <cell r="M32">
            <v>1.0649999999999999</v>
          </cell>
          <cell r="N32">
            <v>19940126</v>
          </cell>
        </row>
        <row r="33">
          <cell r="A33" t="str">
            <v>PSD</v>
          </cell>
          <cell r="B33" t="str">
            <v>PSD</v>
          </cell>
          <cell r="C33" t="str">
            <v>PUGET SOUND P&amp;L</v>
          </cell>
          <cell r="D33">
            <v>19931216</v>
          </cell>
          <cell r="E33" t="str">
            <v>EPS</v>
          </cell>
          <cell r="F33" t="str">
            <v>ANN</v>
          </cell>
          <cell r="G33">
            <v>1</v>
          </cell>
          <cell r="H33">
            <v>18</v>
          </cell>
          <cell r="I33">
            <v>2.0499999999999998</v>
          </cell>
          <cell r="J33">
            <v>2.0499999999999998</v>
          </cell>
          <cell r="K33">
            <v>1</v>
          </cell>
          <cell r="L33">
            <v>19931231</v>
          </cell>
          <cell r="M33">
            <v>2.02</v>
          </cell>
          <cell r="N33">
            <v>19940211</v>
          </cell>
        </row>
        <row r="34">
          <cell r="A34" t="str">
            <v>SCG</v>
          </cell>
          <cell r="B34" t="str">
            <v>SCG</v>
          </cell>
          <cell r="C34" t="str">
            <v>SCANA CP</v>
          </cell>
          <cell r="D34">
            <v>19931216</v>
          </cell>
          <cell r="E34" t="str">
            <v>EPS</v>
          </cell>
          <cell r="F34" t="str">
            <v>ANN</v>
          </cell>
          <cell r="G34">
            <v>1</v>
          </cell>
          <cell r="H34">
            <v>20</v>
          </cell>
          <cell r="I34">
            <v>1.83</v>
          </cell>
          <cell r="J34">
            <v>1.79</v>
          </cell>
          <cell r="K34">
            <v>1</v>
          </cell>
          <cell r="L34">
            <v>19931231</v>
          </cell>
          <cell r="M34">
            <v>1.86</v>
          </cell>
          <cell r="N34">
            <v>19940209</v>
          </cell>
        </row>
        <row r="35">
          <cell r="A35" t="str">
            <v>SO</v>
          </cell>
          <cell r="B35" t="str">
            <v>SO</v>
          </cell>
          <cell r="C35" t="str">
            <v>SOUTHN CO</v>
          </cell>
          <cell r="D35">
            <v>19931216</v>
          </cell>
          <cell r="E35" t="str">
            <v>EPS</v>
          </cell>
          <cell r="F35" t="str">
            <v>ANN</v>
          </cell>
          <cell r="G35">
            <v>1</v>
          </cell>
          <cell r="H35">
            <v>28</v>
          </cell>
          <cell r="I35">
            <v>1.58</v>
          </cell>
          <cell r="J35">
            <v>1.57</v>
          </cell>
          <cell r="K35">
            <v>1</v>
          </cell>
          <cell r="L35">
            <v>19931231</v>
          </cell>
          <cell r="M35">
            <v>1.57</v>
          </cell>
          <cell r="N35">
            <v>19940117</v>
          </cell>
        </row>
        <row r="36">
          <cell r="A36" t="str">
            <v>TE</v>
          </cell>
          <cell r="B36" t="str">
            <v>TE</v>
          </cell>
          <cell r="C36" t="str">
            <v>TECO ENERGY INC</v>
          </cell>
          <cell r="D36">
            <v>19931216</v>
          </cell>
          <cell r="E36" t="str">
            <v>EPS</v>
          </cell>
          <cell r="F36" t="str">
            <v>ANN</v>
          </cell>
          <cell r="G36">
            <v>1</v>
          </cell>
          <cell r="H36">
            <v>25</v>
          </cell>
          <cell r="I36">
            <v>1.38</v>
          </cell>
          <cell r="J36">
            <v>1.38</v>
          </cell>
          <cell r="K36">
            <v>1</v>
          </cell>
          <cell r="L36">
            <v>19931231</v>
          </cell>
          <cell r="M36">
            <v>1.365</v>
          </cell>
          <cell r="N36">
            <v>19940117</v>
          </cell>
        </row>
        <row r="37">
          <cell r="A37" t="str">
            <v>UIL</v>
          </cell>
          <cell r="B37" t="str">
            <v>UIL</v>
          </cell>
          <cell r="C37" t="str">
            <v>UTD ILLUM CO</v>
          </cell>
          <cell r="D37">
            <v>19931216</v>
          </cell>
          <cell r="E37" t="str">
            <v>EPS</v>
          </cell>
          <cell r="F37" t="str">
            <v>ANN</v>
          </cell>
          <cell r="G37">
            <v>1</v>
          </cell>
          <cell r="H37">
            <v>10</v>
          </cell>
          <cell r="I37">
            <v>1.99</v>
          </cell>
          <cell r="J37">
            <v>1.99</v>
          </cell>
          <cell r="K37">
            <v>1</v>
          </cell>
          <cell r="L37">
            <v>19931231</v>
          </cell>
          <cell r="M37">
            <v>1.8779999999999999</v>
          </cell>
          <cell r="N37">
            <v>19940124</v>
          </cell>
        </row>
        <row r="38">
          <cell r="A38" t="str">
            <v>WEC</v>
          </cell>
          <cell r="B38" t="str">
            <v>WPC</v>
          </cell>
          <cell r="C38" t="str">
            <v>WISCONSIN ENERGY</v>
          </cell>
          <cell r="D38">
            <v>19931216</v>
          </cell>
          <cell r="E38" t="str">
            <v>EPS</v>
          </cell>
          <cell r="F38" t="str">
            <v>ANN</v>
          </cell>
          <cell r="G38">
            <v>1</v>
          </cell>
          <cell r="H38">
            <v>29</v>
          </cell>
          <cell r="I38">
            <v>0.93</v>
          </cell>
          <cell r="J38">
            <v>0.92</v>
          </cell>
          <cell r="K38">
            <v>1</v>
          </cell>
          <cell r="L38">
            <v>19931231</v>
          </cell>
          <cell r="M38">
            <v>0.91</v>
          </cell>
          <cell r="N38">
            <v>19940126</v>
          </cell>
        </row>
        <row r="39">
          <cell r="A39" t="str">
            <v>WPS</v>
          </cell>
          <cell r="B39" t="str">
            <v>WPS</v>
          </cell>
          <cell r="C39" t="str">
            <v>WISC PUB SVC</v>
          </cell>
          <cell r="D39">
            <v>19931216</v>
          </cell>
          <cell r="E39" t="str">
            <v>EPS</v>
          </cell>
          <cell r="F39" t="str">
            <v>ANN</v>
          </cell>
          <cell r="G39">
            <v>1</v>
          </cell>
          <cell r="H39">
            <v>13</v>
          </cell>
          <cell r="I39">
            <v>2.5</v>
          </cell>
          <cell r="J39">
            <v>2.4300000000000002</v>
          </cell>
          <cell r="K39">
            <v>1</v>
          </cell>
          <cell r="L39">
            <v>19931231</v>
          </cell>
          <cell r="M39">
            <v>2.4700000000000002</v>
          </cell>
          <cell r="N39">
            <v>19940126</v>
          </cell>
        </row>
        <row r="40">
          <cell r="A40" t="str">
            <v>AGR</v>
          </cell>
          <cell r="B40" t="str">
            <v>@AGM</v>
          </cell>
          <cell r="C40" t="str">
            <v>AGROMAN</v>
          </cell>
          <cell r="D40">
            <v>19931216</v>
          </cell>
          <cell r="E40" t="str">
            <v>EPS</v>
          </cell>
          <cell r="F40" t="str">
            <v>ANN</v>
          </cell>
          <cell r="G40">
            <v>1</v>
          </cell>
          <cell r="H40">
            <v>16</v>
          </cell>
          <cell r="I40">
            <v>-125</v>
          </cell>
          <cell r="J40">
            <v>-156</v>
          </cell>
          <cell r="K40">
            <v>0</v>
          </cell>
          <cell r="L40">
            <v>19931231</v>
          </cell>
          <cell r="M40">
            <v>-413</v>
          </cell>
          <cell r="N40">
            <v>19940406</v>
          </cell>
        </row>
        <row r="41">
          <cell r="A41" t="str">
            <v>AVA</v>
          </cell>
          <cell r="B41" t="str">
            <v>@AHV</v>
          </cell>
          <cell r="C41" t="str">
            <v>AVA</v>
          </cell>
          <cell r="D41">
            <v>19931216</v>
          </cell>
          <cell r="E41" t="str">
            <v>EPS</v>
          </cell>
          <cell r="F41" t="str">
            <v>ANN</v>
          </cell>
          <cell r="G41">
            <v>1</v>
          </cell>
          <cell r="H41">
            <v>29</v>
          </cell>
          <cell r="I41">
            <v>3.9</v>
          </cell>
          <cell r="J41">
            <v>3.9</v>
          </cell>
          <cell r="K41">
            <v>0</v>
          </cell>
          <cell r="L41">
            <v>19931231</v>
          </cell>
          <cell r="M41">
            <v>3.2</v>
          </cell>
          <cell r="N41">
            <v>19940412</v>
          </cell>
        </row>
        <row r="42">
          <cell r="A42" t="str">
            <v>AEE</v>
          </cell>
          <cell r="B42" t="str">
            <v>@AK</v>
          </cell>
          <cell r="C42" t="str">
            <v>ATLAS STEELS LTD</v>
          </cell>
          <cell r="D42">
            <v>19931216</v>
          </cell>
          <cell r="E42" t="str">
            <v>EPS</v>
          </cell>
          <cell r="F42" t="str">
            <v>ANN</v>
          </cell>
          <cell r="G42">
            <v>1</v>
          </cell>
          <cell r="H42">
            <v>2</v>
          </cell>
          <cell r="I42">
            <v>7.9000000000000001E-2</v>
          </cell>
          <cell r="J42">
            <v>7.9000000000000001E-2</v>
          </cell>
          <cell r="K42">
            <v>0</v>
          </cell>
          <cell r="L42">
            <v>19940630</v>
          </cell>
          <cell r="M42">
            <v>0.107</v>
          </cell>
          <cell r="N42">
            <v>19950117</v>
          </cell>
        </row>
        <row r="43">
          <cell r="A43" t="str">
            <v>ALE</v>
          </cell>
          <cell r="B43" t="str">
            <v>@AVG</v>
          </cell>
          <cell r="C43" t="str">
            <v>ABI LEISURE</v>
          </cell>
          <cell r="D43">
            <v>19931216</v>
          </cell>
          <cell r="E43" t="str">
            <v>EPS</v>
          </cell>
          <cell r="F43" t="str">
            <v>ANN</v>
          </cell>
          <cell r="G43">
            <v>1</v>
          </cell>
          <cell r="H43">
            <v>2</v>
          </cell>
          <cell r="I43">
            <v>8.24</v>
          </cell>
          <cell r="J43">
            <v>8.24</v>
          </cell>
          <cell r="K43">
            <v>0</v>
          </cell>
          <cell r="L43">
            <v>19940831</v>
          </cell>
          <cell r="M43">
            <v>8.4878</v>
          </cell>
          <cell r="N43">
            <v>19941201</v>
          </cell>
        </row>
        <row r="44">
          <cell r="A44" t="str">
            <v>CEG</v>
          </cell>
          <cell r="B44" t="str">
            <v>@CCG</v>
          </cell>
          <cell r="C44" t="str">
            <v>CEGEP</v>
          </cell>
          <cell r="D44">
            <v>19931216</v>
          </cell>
          <cell r="E44" t="str">
            <v>EPS</v>
          </cell>
          <cell r="F44" t="str">
            <v>ANN</v>
          </cell>
          <cell r="G44">
            <v>1</v>
          </cell>
          <cell r="H44">
            <v>1</v>
          </cell>
          <cell r="I44">
            <v>1.8</v>
          </cell>
          <cell r="J44">
            <v>1.8</v>
          </cell>
          <cell r="K44">
            <v>0</v>
          </cell>
          <cell r="L44">
            <v>19931231</v>
          </cell>
          <cell r="M44">
            <v>1.9</v>
          </cell>
          <cell r="N44">
            <v>19950202</v>
          </cell>
        </row>
        <row r="45">
          <cell r="A45" t="str">
            <v>CEG</v>
          </cell>
          <cell r="B45" t="str">
            <v>@CQ5</v>
          </cell>
          <cell r="C45" t="str">
            <v>CROWN EYEGLASSES</v>
          </cell>
          <cell r="D45">
            <v>19931216</v>
          </cell>
          <cell r="E45" t="str">
            <v>EPS</v>
          </cell>
          <cell r="F45" t="str">
            <v>ANN</v>
          </cell>
          <cell r="G45">
            <v>1</v>
          </cell>
          <cell r="H45">
            <v>1</v>
          </cell>
          <cell r="I45">
            <v>22.3</v>
          </cell>
          <cell r="J45">
            <v>22.3</v>
          </cell>
          <cell r="K45">
            <v>0</v>
          </cell>
          <cell r="L45">
            <v>19940331</v>
          </cell>
          <cell r="M45">
            <v>22.4</v>
          </cell>
          <cell r="N45">
            <v>19940802</v>
          </cell>
        </row>
        <row r="46">
          <cell r="A46" t="str">
            <v>CIN</v>
          </cell>
          <cell r="B46" t="str">
            <v>@CUW</v>
          </cell>
          <cell r="C46" t="str">
            <v>CITY OF LOND PR</v>
          </cell>
          <cell r="D46">
            <v>19931216</v>
          </cell>
          <cell r="E46" t="str">
            <v>EPS</v>
          </cell>
          <cell r="F46" t="str">
            <v>ANN</v>
          </cell>
          <cell r="G46">
            <v>1</v>
          </cell>
          <cell r="H46">
            <v>1</v>
          </cell>
          <cell r="I46">
            <v>116.97</v>
          </cell>
          <cell r="J46">
            <v>116.97</v>
          </cell>
          <cell r="K46">
            <v>0</v>
          </cell>
          <cell r="L46">
            <v>19940331</v>
          </cell>
          <cell r="M46">
            <v>132.5642</v>
          </cell>
          <cell r="N46">
            <v>19940519</v>
          </cell>
        </row>
        <row r="47">
          <cell r="A47" t="str">
            <v>D</v>
          </cell>
          <cell r="B47" t="str">
            <v>@DLM</v>
          </cell>
          <cell r="C47" t="str">
            <v>DALMINE</v>
          </cell>
          <cell r="D47">
            <v>19931216</v>
          </cell>
          <cell r="E47" t="str">
            <v>EPS</v>
          </cell>
          <cell r="F47" t="str">
            <v>ANN</v>
          </cell>
          <cell r="G47">
            <v>1</v>
          </cell>
          <cell r="H47">
            <v>3</v>
          </cell>
          <cell r="I47">
            <v>3</v>
          </cell>
          <cell r="J47">
            <v>-11</v>
          </cell>
          <cell r="K47">
            <v>0</v>
          </cell>
          <cell r="L47">
            <v>19931231</v>
          </cell>
          <cell r="M47">
            <v>0.86</v>
          </cell>
          <cell r="N47">
            <v>19940419</v>
          </cell>
        </row>
        <row r="48">
          <cell r="A48" t="str">
            <v>EXC</v>
          </cell>
          <cell r="B48" t="str">
            <v>@ECH</v>
          </cell>
          <cell r="C48" t="str">
            <v>EX-CELL-O-HLDG</v>
          </cell>
          <cell r="D48">
            <v>19931216</v>
          </cell>
          <cell r="E48" t="str">
            <v>EPS</v>
          </cell>
          <cell r="F48" t="str">
            <v>ANN</v>
          </cell>
          <cell r="G48">
            <v>1</v>
          </cell>
          <cell r="H48">
            <v>10</v>
          </cell>
          <cell r="I48">
            <v>11.4</v>
          </cell>
          <cell r="J48">
            <v>11.7</v>
          </cell>
          <cell r="K48">
            <v>0</v>
          </cell>
          <cell r="L48">
            <v>19931231</v>
          </cell>
          <cell r="M48">
            <v>12.9047</v>
          </cell>
          <cell r="N48">
            <v>19940802</v>
          </cell>
        </row>
        <row r="49">
          <cell r="A49" t="str">
            <v>LNT</v>
          </cell>
          <cell r="B49" t="str">
            <v>@LLH</v>
          </cell>
          <cell r="C49" t="str">
            <v>LIONHEART</v>
          </cell>
          <cell r="D49">
            <v>19931216</v>
          </cell>
          <cell r="E49" t="str">
            <v>EPS</v>
          </cell>
          <cell r="F49" t="str">
            <v>ANN</v>
          </cell>
          <cell r="G49">
            <v>1</v>
          </cell>
          <cell r="H49">
            <v>3</v>
          </cell>
          <cell r="I49">
            <v>174.67</v>
          </cell>
          <cell r="J49">
            <v>203.78</v>
          </cell>
          <cell r="K49">
            <v>0</v>
          </cell>
          <cell r="L49">
            <v>19931231</v>
          </cell>
          <cell r="M49">
            <v>218.33330000000001</v>
          </cell>
          <cell r="N49">
            <v>19940316</v>
          </cell>
        </row>
        <row r="50">
          <cell r="A50" t="str">
            <v>FE</v>
          </cell>
          <cell r="B50" t="str">
            <v>@NNF</v>
          </cell>
          <cell r="C50" t="str">
            <v>FINEXTEL</v>
          </cell>
          <cell r="D50">
            <v>19931216</v>
          </cell>
          <cell r="E50" t="str">
            <v>EPS</v>
          </cell>
          <cell r="F50" t="str">
            <v>ANN</v>
          </cell>
          <cell r="G50">
            <v>1</v>
          </cell>
          <cell r="H50">
            <v>3</v>
          </cell>
          <cell r="I50">
            <v>6.7</v>
          </cell>
          <cell r="J50">
            <v>6.1</v>
          </cell>
          <cell r="K50">
            <v>0</v>
          </cell>
          <cell r="L50">
            <v>19931231</v>
          </cell>
          <cell r="M50">
            <v>10.73</v>
          </cell>
          <cell r="N50">
            <v>19940722</v>
          </cell>
        </row>
        <row r="51">
          <cell r="A51" t="str">
            <v>NST</v>
          </cell>
          <cell r="B51" t="str">
            <v>@NST</v>
          </cell>
          <cell r="C51" t="str">
            <v>N. S. TIMES</v>
          </cell>
          <cell r="D51">
            <v>19931216</v>
          </cell>
          <cell r="E51" t="str">
            <v>EPS</v>
          </cell>
          <cell r="F51" t="str">
            <v>ANN</v>
          </cell>
          <cell r="G51">
            <v>1</v>
          </cell>
          <cell r="H51">
            <v>23</v>
          </cell>
          <cell r="I51">
            <v>0.371</v>
          </cell>
          <cell r="J51">
            <v>0.36899999999999999</v>
          </cell>
          <cell r="K51">
            <v>0</v>
          </cell>
          <cell r="L51">
            <v>19930831</v>
          </cell>
          <cell r="M51">
            <v>0.31359999999999999</v>
          </cell>
          <cell r="N51">
            <v>19940111</v>
          </cell>
        </row>
        <row r="52">
          <cell r="A52" t="str">
            <v>PEG</v>
          </cell>
          <cell r="B52" t="str">
            <v>@P7P</v>
          </cell>
          <cell r="C52" t="str">
            <v>PEG PROFILO</v>
          </cell>
          <cell r="D52">
            <v>19931216</v>
          </cell>
          <cell r="E52" t="str">
            <v>EPS</v>
          </cell>
          <cell r="F52" t="str">
            <v>ANN</v>
          </cell>
          <cell r="G52">
            <v>1</v>
          </cell>
          <cell r="H52">
            <v>6</v>
          </cell>
          <cell r="I52">
            <v>0</v>
          </cell>
          <cell r="J52">
            <v>0</v>
          </cell>
          <cell r="K52">
            <v>0</v>
          </cell>
          <cell r="L52">
            <v>19931231</v>
          </cell>
          <cell r="M52">
            <v>4.0000000000000001E-3</v>
          </cell>
          <cell r="N52">
            <v>19940324</v>
          </cell>
        </row>
        <row r="53">
          <cell r="A53" t="str">
            <v>POM</v>
          </cell>
          <cell r="B53" t="str">
            <v>@PO8</v>
          </cell>
          <cell r="C53" t="str">
            <v>PLASTIC OMNIUM</v>
          </cell>
          <cell r="D53">
            <v>19931216</v>
          </cell>
          <cell r="E53" t="str">
            <v>EPS</v>
          </cell>
          <cell r="F53" t="str">
            <v>ANN</v>
          </cell>
          <cell r="G53">
            <v>1</v>
          </cell>
          <cell r="H53">
            <v>12</v>
          </cell>
          <cell r="I53">
            <v>0.5</v>
          </cell>
          <cell r="J53">
            <v>0.52</v>
          </cell>
          <cell r="K53">
            <v>0</v>
          </cell>
          <cell r="L53">
            <v>19931231</v>
          </cell>
          <cell r="M53">
            <v>0.45369999999999999</v>
          </cell>
          <cell r="N53">
            <v>19940822</v>
          </cell>
        </row>
        <row r="54">
          <cell r="A54" t="str">
            <v>SO</v>
          </cell>
          <cell r="B54" t="str">
            <v>@SOM</v>
          </cell>
          <cell r="C54" t="str">
            <v>SOMMER-ALLIBERT</v>
          </cell>
          <cell r="D54">
            <v>19931216</v>
          </cell>
          <cell r="E54" t="str">
            <v>EPS</v>
          </cell>
          <cell r="F54" t="str">
            <v>ANN</v>
          </cell>
          <cell r="G54">
            <v>1</v>
          </cell>
          <cell r="H54">
            <v>20</v>
          </cell>
          <cell r="I54">
            <v>9.41</v>
          </cell>
          <cell r="J54">
            <v>9.64</v>
          </cell>
          <cell r="K54">
            <v>0</v>
          </cell>
          <cell r="L54">
            <v>19931231</v>
          </cell>
          <cell r="M54">
            <v>10.24</v>
          </cell>
          <cell r="N54">
            <v>19940405</v>
          </cell>
        </row>
        <row r="55">
          <cell r="A55" t="str">
            <v>POR</v>
          </cell>
          <cell r="B55" t="str">
            <v>@YCP</v>
          </cell>
          <cell r="C55" t="str">
            <v>CEMENT PORTLAND</v>
          </cell>
          <cell r="D55">
            <v>19931216</v>
          </cell>
          <cell r="E55" t="str">
            <v>EPS</v>
          </cell>
          <cell r="F55" t="str">
            <v>ANN</v>
          </cell>
          <cell r="G55">
            <v>1</v>
          </cell>
          <cell r="H55">
            <v>1</v>
          </cell>
          <cell r="I55">
            <v>85</v>
          </cell>
          <cell r="J55">
            <v>85</v>
          </cell>
          <cell r="K55">
            <v>0</v>
          </cell>
          <cell r="L55">
            <v>19931231</v>
          </cell>
          <cell r="M55">
            <v>44.927799999999998</v>
          </cell>
          <cell r="N55">
            <v>19950202</v>
          </cell>
        </row>
        <row r="56">
          <cell r="A56" t="str">
            <v>CIN</v>
          </cell>
          <cell r="B56" t="str">
            <v>@YYN</v>
          </cell>
          <cell r="C56" t="str">
            <v>CIN</v>
          </cell>
          <cell r="D56">
            <v>19931216</v>
          </cell>
          <cell r="E56" t="str">
            <v>EPS</v>
          </cell>
          <cell r="F56" t="str">
            <v>ANN</v>
          </cell>
          <cell r="G56">
            <v>1</v>
          </cell>
          <cell r="H56">
            <v>7</v>
          </cell>
          <cell r="I56">
            <v>27</v>
          </cell>
          <cell r="J56">
            <v>29</v>
          </cell>
          <cell r="K56">
            <v>0</v>
          </cell>
          <cell r="L56">
            <v>19931231</v>
          </cell>
          <cell r="M56">
            <v>12.857100000000001</v>
          </cell>
          <cell r="N56">
            <v>19940505</v>
          </cell>
        </row>
        <row r="57">
          <cell r="A57" t="str">
            <v>AGR</v>
          </cell>
          <cell r="B57" t="str">
            <v>AGR1</v>
          </cell>
          <cell r="C57" t="str">
            <v>AGRA INDS INC</v>
          </cell>
          <cell r="D57">
            <v>19931216</v>
          </cell>
          <cell r="E57" t="str">
            <v>EPS</v>
          </cell>
          <cell r="F57" t="str">
            <v>ANN</v>
          </cell>
          <cell r="G57">
            <v>1</v>
          </cell>
          <cell r="H57">
            <v>2</v>
          </cell>
          <cell r="I57">
            <v>-0.06</v>
          </cell>
          <cell r="J57">
            <v>-0.06</v>
          </cell>
          <cell r="K57">
            <v>0</v>
          </cell>
          <cell r="L57">
            <v>19930731</v>
          </cell>
          <cell r="M57">
            <v>0.36</v>
          </cell>
          <cell r="N57">
            <v>19931230</v>
          </cell>
        </row>
        <row r="58">
          <cell r="A58" t="str">
            <v>FPL</v>
          </cell>
          <cell r="B58" t="str">
            <v>FPI1</v>
          </cell>
          <cell r="C58" t="str">
            <v>FPI LTD</v>
          </cell>
          <cell r="D58">
            <v>19931216</v>
          </cell>
          <cell r="E58" t="str">
            <v>EPS</v>
          </cell>
          <cell r="F58" t="str">
            <v>ANN</v>
          </cell>
          <cell r="G58">
            <v>1</v>
          </cell>
          <cell r="H58">
            <v>2</v>
          </cell>
          <cell r="I58">
            <v>-0.1</v>
          </cell>
          <cell r="J58">
            <v>-0.1</v>
          </cell>
          <cell r="K58">
            <v>0</v>
          </cell>
          <cell r="L58">
            <v>19931231</v>
          </cell>
          <cell r="M58">
            <v>0.04</v>
          </cell>
          <cell r="N58">
            <v>19940228</v>
          </cell>
        </row>
      </sheetData>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RDS"/>
    </sheetNames>
    <sheetDataSet>
      <sheetData sheetId="0">
        <row r="1">
          <cell r="A1" t="str">
            <v>OFTIC</v>
          </cell>
          <cell r="B1" t="str">
            <v>IBES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USFIRM=0 if from .INT file and USFIRM=1 if from .US file</v>
          </cell>
          <cell r="M1" t="str">
            <v>Forecast Period End Date (SAS Format)</v>
          </cell>
          <cell r="N1" t="str">
            <v>Actual Value, from the Detail Actuals File</v>
          </cell>
          <cell r="O1" t="str">
            <v>Announce date of the Actual, from the Detail Actuals File</v>
          </cell>
        </row>
        <row r="2">
          <cell r="A2" t="str">
            <v>AGR</v>
          </cell>
          <cell r="B2" t="str">
            <v>AGR2</v>
          </cell>
          <cell r="C2" t="str">
            <v>ARGENTARIA</v>
          </cell>
          <cell r="D2">
            <v>19931216</v>
          </cell>
          <cell r="E2" t="str">
            <v>EPS</v>
          </cell>
          <cell r="F2" t="str">
            <v>LTG</v>
          </cell>
          <cell r="G2">
            <v>0</v>
          </cell>
          <cell r="H2">
            <v>1</v>
          </cell>
          <cell r="I2">
            <v>8</v>
          </cell>
          <cell r="J2">
            <v>8</v>
          </cell>
          <cell r="L2">
            <v>1</v>
          </cell>
        </row>
        <row r="3">
          <cell r="A3" t="str">
            <v>PNW</v>
          </cell>
          <cell r="B3" t="str">
            <v>AZP</v>
          </cell>
          <cell r="C3" t="str">
            <v>PINNACLE WST CAP</v>
          </cell>
          <cell r="D3">
            <v>19931216</v>
          </cell>
          <cell r="E3" t="str">
            <v>EPS</v>
          </cell>
          <cell r="F3" t="str">
            <v>LTG</v>
          </cell>
          <cell r="G3">
            <v>0</v>
          </cell>
          <cell r="H3">
            <v>9</v>
          </cell>
          <cell r="I3">
            <v>5</v>
          </cell>
          <cell r="J3">
            <v>7.16</v>
          </cell>
          <cell r="K3">
            <v>5.33</v>
          </cell>
          <cell r="L3">
            <v>1</v>
          </cell>
        </row>
        <row r="4">
          <cell r="A4" t="str">
            <v>BKH</v>
          </cell>
          <cell r="B4" t="str">
            <v>BHP</v>
          </cell>
          <cell r="C4" t="str">
            <v>BLACK HILLS CORP</v>
          </cell>
          <cell r="D4">
            <v>19931216</v>
          </cell>
          <cell r="E4" t="str">
            <v>EPS</v>
          </cell>
          <cell r="F4" t="str">
            <v>LTG</v>
          </cell>
          <cell r="G4">
            <v>0</v>
          </cell>
          <cell r="H4">
            <v>3</v>
          </cell>
          <cell r="I4">
            <v>3.7</v>
          </cell>
          <cell r="J4">
            <v>4.2300000000000004</v>
          </cell>
          <cell r="K4">
            <v>2.54</v>
          </cell>
          <cell r="L4">
            <v>1</v>
          </cell>
        </row>
        <row r="5">
          <cell r="A5" t="str">
            <v>CIN</v>
          </cell>
          <cell r="B5" t="str">
            <v>CIN</v>
          </cell>
          <cell r="C5" t="str">
            <v>CINN GAS &amp; EL</v>
          </cell>
          <cell r="D5">
            <v>19931216</v>
          </cell>
          <cell r="E5" t="str">
            <v>EPS</v>
          </cell>
          <cell r="F5" t="str">
            <v>LTG</v>
          </cell>
          <cell r="G5">
            <v>0</v>
          </cell>
          <cell r="H5">
            <v>10</v>
          </cell>
          <cell r="I5">
            <v>2.5499999999999998</v>
          </cell>
          <cell r="J5">
            <v>2.76</v>
          </cell>
          <cell r="K5">
            <v>1.46</v>
          </cell>
          <cell r="L5">
            <v>1</v>
          </cell>
        </row>
        <row r="6">
          <cell r="A6" t="str">
            <v>CMS</v>
          </cell>
          <cell r="B6" t="str">
            <v>CMS</v>
          </cell>
          <cell r="C6" t="str">
            <v>CMS ENERGY CORP</v>
          </cell>
          <cell r="D6">
            <v>19931216</v>
          </cell>
          <cell r="E6" t="str">
            <v>EPS</v>
          </cell>
          <cell r="F6" t="str">
            <v>LTG</v>
          </cell>
          <cell r="G6">
            <v>0</v>
          </cell>
          <cell r="H6">
            <v>10</v>
          </cell>
          <cell r="I6">
            <v>6.5</v>
          </cell>
          <cell r="J6">
            <v>10.029999999999999</v>
          </cell>
          <cell r="K6">
            <v>9.15</v>
          </cell>
          <cell r="L6">
            <v>1</v>
          </cell>
        </row>
        <row r="7">
          <cell r="A7" t="str">
            <v>CNL</v>
          </cell>
          <cell r="B7" t="str">
            <v>CNL</v>
          </cell>
          <cell r="C7" t="str">
            <v>CENT LA ELEC INC</v>
          </cell>
          <cell r="D7">
            <v>19931216</v>
          </cell>
          <cell r="E7" t="str">
            <v>EPS</v>
          </cell>
          <cell r="F7" t="str">
            <v>LTG</v>
          </cell>
          <cell r="G7">
            <v>0</v>
          </cell>
          <cell r="H7">
            <v>3</v>
          </cell>
          <cell r="I7">
            <v>4.5</v>
          </cell>
          <cell r="J7">
            <v>3.83</v>
          </cell>
          <cell r="K7">
            <v>1.61</v>
          </cell>
          <cell r="L7">
            <v>1</v>
          </cell>
        </row>
        <row r="8">
          <cell r="A8" t="str">
            <v>CV</v>
          </cell>
          <cell r="B8" t="str">
            <v>CV</v>
          </cell>
          <cell r="C8" t="str">
            <v>CNTRL VT PUB SVC</v>
          </cell>
          <cell r="D8">
            <v>19931216</v>
          </cell>
          <cell r="E8" t="str">
            <v>EPS</v>
          </cell>
          <cell r="F8" t="str">
            <v>LTG</v>
          </cell>
          <cell r="G8">
            <v>0</v>
          </cell>
          <cell r="H8">
            <v>2</v>
          </cell>
          <cell r="I8">
            <v>1.1000000000000001</v>
          </cell>
          <cell r="J8">
            <v>1.1000000000000001</v>
          </cell>
          <cell r="K8">
            <v>2.97</v>
          </cell>
          <cell r="L8">
            <v>1</v>
          </cell>
        </row>
        <row r="9">
          <cell r="A9" t="str">
            <v>D</v>
          </cell>
          <cell r="B9" t="str">
            <v>D</v>
          </cell>
          <cell r="C9" t="str">
            <v>DOMINION RES INC</v>
          </cell>
          <cell r="D9">
            <v>19931216</v>
          </cell>
          <cell r="E9" t="str">
            <v>EPS</v>
          </cell>
          <cell r="F9" t="str">
            <v>LTG</v>
          </cell>
          <cell r="G9">
            <v>0</v>
          </cell>
          <cell r="H9">
            <v>15</v>
          </cell>
          <cell r="I9">
            <v>3.5</v>
          </cell>
          <cell r="J9">
            <v>3.8</v>
          </cell>
          <cell r="K9">
            <v>1.52</v>
          </cell>
          <cell r="L9">
            <v>1</v>
          </cell>
        </row>
        <row r="10">
          <cell r="A10" t="str">
            <v>DPL</v>
          </cell>
          <cell r="B10" t="str">
            <v>DPL</v>
          </cell>
          <cell r="C10" t="str">
            <v>DPL INC</v>
          </cell>
          <cell r="D10">
            <v>19931216</v>
          </cell>
          <cell r="E10" t="str">
            <v>EPS</v>
          </cell>
          <cell r="F10" t="str">
            <v>LTG</v>
          </cell>
          <cell r="G10">
            <v>0</v>
          </cell>
          <cell r="H10">
            <v>10</v>
          </cell>
          <cell r="I10">
            <v>3.45</v>
          </cell>
          <cell r="J10">
            <v>3.32</v>
          </cell>
          <cell r="K10">
            <v>1.27</v>
          </cell>
          <cell r="L10">
            <v>1</v>
          </cell>
        </row>
        <row r="11">
          <cell r="A11" t="str">
            <v>DTE</v>
          </cell>
          <cell r="B11" t="str">
            <v>DTE</v>
          </cell>
          <cell r="C11" t="str">
            <v>DETROIT EDISON</v>
          </cell>
          <cell r="D11">
            <v>19931216</v>
          </cell>
          <cell r="E11" t="str">
            <v>EPS</v>
          </cell>
          <cell r="F11" t="str">
            <v>LTG</v>
          </cell>
          <cell r="G11">
            <v>0</v>
          </cell>
          <cell r="H11">
            <v>9</v>
          </cell>
          <cell r="I11">
            <v>2</v>
          </cell>
          <cell r="J11">
            <v>0.5</v>
          </cell>
          <cell r="K11">
            <v>3.52</v>
          </cell>
          <cell r="L11">
            <v>1</v>
          </cell>
        </row>
        <row r="12">
          <cell r="A12" t="str">
            <v>DUK</v>
          </cell>
          <cell r="B12" t="str">
            <v>DUK</v>
          </cell>
          <cell r="C12" t="str">
            <v>DUKE POWER CO</v>
          </cell>
          <cell r="D12">
            <v>19931216</v>
          </cell>
          <cell r="E12" t="str">
            <v>EPS</v>
          </cell>
          <cell r="F12" t="str">
            <v>LTG</v>
          </cell>
          <cell r="G12">
            <v>0</v>
          </cell>
          <cell r="H12">
            <v>14</v>
          </cell>
          <cell r="I12">
            <v>4</v>
          </cell>
          <cell r="J12">
            <v>4.2699999999999996</v>
          </cell>
          <cell r="K12">
            <v>1.05</v>
          </cell>
          <cell r="L12">
            <v>1</v>
          </cell>
        </row>
        <row r="13">
          <cell r="A13" t="str">
            <v>ED</v>
          </cell>
          <cell r="B13" t="str">
            <v>ED</v>
          </cell>
          <cell r="C13" t="str">
            <v>CONSOL EDISON</v>
          </cell>
          <cell r="D13">
            <v>19931216</v>
          </cell>
          <cell r="E13" t="str">
            <v>EPS</v>
          </cell>
          <cell r="F13" t="str">
            <v>LTG</v>
          </cell>
          <cell r="G13">
            <v>0</v>
          </cell>
          <cell r="H13">
            <v>12</v>
          </cell>
          <cell r="I13">
            <v>2.65</v>
          </cell>
          <cell r="J13">
            <v>2.64</v>
          </cell>
          <cell r="K13">
            <v>0.57999999999999996</v>
          </cell>
          <cell r="L13">
            <v>1</v>
          </cell>
        </row>
        <row r="14">
          <cell r="A14" t="str">
            <v>EDE</v>
          </cell>
          <cell r="B14" t="str">
            <v>EDE</v>
          </cell>
          <cell r="C14" t="str">
            <v>EMPIRE DIST ELEC</v>
          </cell>
          <cell r="D14">
            <v>19931216</v>
          </cell>
          <cell r="E14" t="str">
            <v>EPS</v>
          </cell>
          <cell r="F14" t="str">
            <v>LTG</v>
          </cell>
          <cell r="G14">
            <v>0</v>
          </cell>
          <cell r="H14">
            <v>2</v>
          </cell>
          <cell r="I14">
            <v>4.5999999999999996</v>
          </cell>
          <cell r="J14">
            <v>4.5999999999999996</v>
          </cell>
          <cell r="K14">
            <v>3.39</v>
          </cell>
          <cell r="L14">
            <v>1</v>
          </cell>
        </row>
        <row r="15">
          <cell r="A15" t="str">
            <v>EXC</v>
          </cell>
          <cell r="B15" t="str">
            <v>EXC</v>
          </cell>
          <cell r="C15" t="str">
            <v>EXCEL INDS INC</v>
          </cell>
          <cell r="D15">
            <v>19931216</v>
          </cell>
          <cell r="E15" t="str">
            <v>EPS</v>
          </cell>
          <cell r="F15" t="str">
            <v>LTG</v>
          </cell>
          <cell r="G15">
            <v>0</v>
          </cell>
          <cell r="H15">
            <v>2</v>
          </cell>
          <cell r="I15">
            <v>12</v>
          </cell>
          <cell r="J15">
            <v>12</v>
          </cell>
          <cell r="K15">
            <v>4.24</v>
          </cell>
          <cell r="L15">
            <v>1</v>
          </cell>
        </row>
        <row r="16">
          <cell r="A16" t="str">
            <v>FPL</v>
          </cell>
          <cell r="B16" t="str">
            <v>FPL</v>
          </cell>
          <cell r="C16" t="str">
            <v>FPL GROUP</v>
          </cell>
          <cell r="D16">
            <v>19931216</v>
          </cell>
          <cell r="E16" t="str">
            <v>EPS</v>
          </cell>
          <cell r="F16" t="str">
            <v>LTG</v>
          </cell>
          <cell r="G16">
            <v>0</v>
          </cell>
          <cell r="H16">
            <v>18</v>
          </cell>
          <cell r="I16">
            <v>2.25</v>
          </cell>
          <cell r="J16">
            <v>2.44</v>
          </cell>
          <cell r="K16">
            <v>1.02</v>
          </cell>
          <cell r="L16">
            <v>1</v>
          </cell>
        </row>
        <row r="17">
          <cell r="A17" t="str">
            <v>HE</v>
          </cell>
          <cell r="B17" t="str">
            <v>HE</v>
          </cell>
          <cell r="C17" t="str">
            <v>HAWAIIAN ELEC</v>
          </cell>
          <cell r="D17">
            <v>19931216</v>
          </cell>
          <cell r="E17" t="str">
            <v>EPS</v>
          </cell>
          <cell r="F17" t="str">
            <v>LTG</v>
          </cell>
          <cell r="G17">
            <v>0</v>
          </cell>
          <cell r="H17">
            <v>6</v>
          </cell>
          <cell r="I17">
            <v>3</v>
          </cell>
          <cell r="J17">
            <v>3.25</v>
          </cell>
          <cell r="K17">
            <v>1.08</v>
          </cell>
          <cell r="L17">
            <v>1</v>
          </cell>
        </row>
        <row r="18">
          <cell r="A18" t="str">
            <v>IDA</v>
          </cell>
          <cell r="B18" t="str">
            <v>IDA</v>
          </cell>
          <cell r="C18" t="str">
            <v>IDAHO POWER CO</v>
          </cell>
          <cell r="D18">
            <v>19931216</v>
          </cell>
          <cell r="E18" t="str">
            <v>EPS</v>
          </cell>
          <cell r="F18" t="str">
            <v>LTG</v>
          </cell>
          <cell r="G18">
            <v>0</v>
          </cell>
          <cell r="H18">
            <v>7</v>
          </cell>
          <cell r="I18">
            <v>6.8</v>
          </cell>
          <cell r="J18">
            <v>6.47</v>
          </cell>
          <cell r="K18">
            <v>2.69</v>
          </cell>
          <cell r="L18">
            <v>1</v>
          </cell>
        </row>
        <row r="19">
          <cell r="A19" t="str">
            <v>WR</v>
          </cell>
          <cell r="B19" t="str">
            <v>KAN</v>
          </cell>
          <cell r="C19" t="str">
            <v>WESTN RESOURCES</v>
          </cell>
          <cell r="D19">
            <v>19931216</v>
          </cell>
          <cell r="E19" t="str">
            <v>EPS</v>
          </cell>
          <cell r="F19" t="str">
            <v>LTG</v>
          </cell>
          <cell r="G19">
            <v>0</v>
          </cell>
          <cell r="H19">
            <v>10</v>
          </cell>
          <cell r="I19">
            <v>4.5</v>
          </cell>
          <cell r="J19">
            <v>4.63</v>
          </cell>
          <cell r="K19">
            <v>1.8</v>
          </cell>
          <cell r="L19">
            <v>1</v>
          </cell>
        </row>
        <row r="20">
          <cell r="A20" t="str">
            <v>ETR</v>
          </cell>
          <cell r="B20" t="str">
            <v>MSU</v>
          </cell>
          <cell r="C20" t="str">
            <v>ENTERGY CP</v>
          </cell>
          <cell r="D20">
            <v>19931216</v>
          </cell>
          <cell r="E20" t="str">
            <v>EPS</v>
          </cell>
          <cell r="F20" t="str">
            <v>LTG</v>
          </cell>
          <cell r="G20">
            <v>0</v>
          </cell>
          <cell r="H20">
            <v>12</v>
          </cell>
          <cell r="I20">
            <v>5</v>
          </cell>
          <cell r="J20">
            <v>5.12</v>
          </cell>
          <cell r="K20">
            <v>1.58</v>
          </cell>
          <cell r="L20">
            <v>1</v>
          </cell>
        </row>
        <row r="21">
          <cell r="A21" t="str">
            <v>NU</v>
          </cell>
          <cell r="B21" t="str">
            <v>NU</v>
          </cell>
          <cell r="C21" t="str">
            <v>NORTHEAST UTILS</v>
          </cell>
          <cell r="D21">
            <v>19931216</v>
          </cell>
          <cell r="E21" t="str">
            <v>EPS</v>
          </cell>
          <cell r="F21" t="str">
            <v>LTG</v>
          </cell>
          <cell r="G21">
            <v>0</v>
          </cell>
          <cell r="H21">
            <v>11</v>
          </cell>
          <cell r="I21">
            <v>3</v>
          </cell>
          <cell r="J21">
            <v>3.12</v>
          </cell>
          <cell r="K21">
            <v>1.73</v>
          </cell>
          <cell r="L21">
            <v>1</v>
          </cell>
        </row>
        <row r="22">
          <cell r="A22" t="str">
            <v>OGE</v>
          </cell>
          <cell r="B22" t="str">
            <v>OGE</v>
          </cell>
          <cell r="C22" t="str">
            <v>OKLAHOMA G&amp;E</v>
          </cell>
          <cell r="D22">
            <v>19931216</v>
          </cell>
          <cell r="E22" t="str">
            <v>EPS</v>
          </cell>
          <cell r="F22" t="str">
            <v>LTG</v>
          </cell>
          <cell r="G22">
            <v>0</v>
          </cell>
          <cell r="H22">
            <v>11</v>
          </cell>
          <cell r="I22">
            <v>2</v>
          </cell>
          <cell r="J22">
            <v>1.53</v>
          </cell>
          <cell r="K22">
            <v>1.85</v>
          </cell>
          <cell r="L22">
            <v>1</v>
          </cell>
        </row>
        <row r="23">
          <cell r="A23" t="str">
            <v>OTTR</v>
          </cell>
          <cell r="B23" t="str">
            <v>OTTR</v>
          </cell>
          <cell r="C23" t="str">
            <v>OTTER TAIL PWR</v>
          </cell>
          <cell r="D23">
            <v>19931216</v>
          </cell>
          <cell r="E23" t="str">
            <v>EPS</v>
          </cell>
          <cell r="F23" t="str">
            <v>LTG</v>
          </cell>
          <cell r="G23">
            <v>0</v>
          </cell>
          <cell r="H23">
            <v>3</v>
          </cell>
          <cell r="I23">
            <v>3</v>
          </cell>
          <cell r="J23">
            <v>3.17</v>
          </cell>
          <cell r="K23">
            <v>0.76</v>
          </cell>
          <cell r="L23">
            <v>1</v>
          </cell>
        </row>
        <row r="24">
          <cell r="A24" t="str">
            <v>PCG</v>
          </cell>
          <cell r="B24" t="str">
            <v>PCG</v>
          </cell>
          <cell r="C24" t="str">
            <v>PACIFIC G&amp;E</v>
          </cell>
          <cell r="D24">
            <v>19931216</v>
          </cell>
          <cell r="E24" t="str">
            <v>EPS</v>
          </cell>
          <cell r="F24" t="str">
            <v>LTG</v>
          </cell>
          <cell r="G24">
            <v>0</v>
          </cell>
          <cell r="H24">
            <v>14</v>
          </cell>
          <cell r="I24">
            <v>4</v>
          </cell>
          <cell r="J24">
            <v>4.16</v>
          </cell>
          <cell r="K24">
            <v>1.31</v>
          </cell>
          <cell r="L24">
            <v>1</v>
          </cell>
        </row>
        <row r="25">
          <cell r="A25" t="str">
            <v>PEG</v>
          </cell>
          <cell r="B25" t="str">
            <v>PEG</v>
          </cell>
          <cell r="C25" t="str">
            <v>PUB SVC ENTERS</v>
          </cell>
          <cell r="D25">
            <v>19931216</v>
          </cell>
          <cell r="E25" t="str">
            <v>EPS</v>
          </cell>
          <cell r="F25" t="str">
            <v>LTG</v>
          </cell>
          <cell r="G25">
            <v>0</v>
          </cell>
          <cell r="H25">
            <v>14</v>
          </cell>
          <cell r="I25">
            <v>2.9</v>
          </cell>
          <cell r="J25">
            <v>3.65</v>
          </cell>
          <cell r="K25">
            <v>2.12</v>
          </cell>
          <cell r="L25">
            <v>1</v>
          </cell>
        </row>
        <row r="26">
          <cell r="A26" t="str">
            <v>PGN</v>
          </cell>
          <cell r="B26" t="str">
            <v>PGN</v>
          </cell>
          <cell r="C26" t="str">
            <v>PORTLAND GEN CP</v>
          </cell>
          <cell r="D26">
            <v>19931216</v>
          </cell>
          <cell r="E26" t="str">
            <v>EPS</v>
          </cell>
          <cell r="F26" t="str">
            <v>LTG</v>
          </cell>
          <cell r="G26">
            <v>0</v>
          </cell>
          <cell r="H26">
            <v>7</v>
          </cell>
          <cell r="I26">
            <v>3</v>
          </cell>
          <cell r="J26">
            <v>3.11</v>
          </cell>
          <cell r="K26">
            <v>1.01</v>
          </cell>
          <cell r="L26">
            <v>1</v>
          </cell>
        </row>
        <row r="27">
          <cell r="A27" t="str">
            <v>PNM</v>
          </cell>
          <cell r="B27" t="str">
            <v>PNM</v>
          </cell>
          <cell r="C27" t="str">
            <v>PUB SVC N MEX</v>
          </cell>
          <cell r="D27">
            <v>19931216</v>
          </cell>
          <cell r="E27" t="str">
            <v>EPS</v>
          </cell>
          <cell r="F27" t="str">
            <v>LTG</v>
          </cell>
          <cell r="G27">
            <v>0</v>
          </cell>
          <cell r="H27">
            <v>4</v>
          </cell>
          <cell r="I27">
            <v>7.25</v>
          </cell>
          <cell r="J27">
            <v>7.38</v>
          </cell>
          <cell r="K27">
            <v>3.94</v>
          </cell>
          <cell r="L27">
            <v>1</v>
          </cell>
        </row>
        <row r="28">
          <cell r="A28" t="str">
            <v>POM</v>
          </cell>
          <cell r="B28" t="str">
            <v>POM</v>
          </cell>
          <cell r="C28" t="str">
            <v>POTOMAC ELEC</v>
          </cell>
          <cell r="D28">
            <v>19931216</v>
          </cell>
          <cell r="E28" t="str">
            <v>EPS</v>
          </cell>
          <cell r="F28" t="str">
            <v>LTG</v>
          </cell>
          <cell r="G28">
            <v>0</v>
          </cell>
          <cell r="H28">
            <v>14</v>
          </cell>
          <cell r="I28">
            <v>3.15</v>
          </cell>
          <cell r="J28">
            <v>3.55</v>
          </cell>
          <cell r="K28">
            <v>2.1</v>
          </cell>
          <cell r="L28">
            <v>1</v>
          </cell>
        </row>
        <row r="29">
          <cell r="A29" t="str">
            <v>PPL</v>
          </cell>
          <cell r="B29" t="str">
            <v>PPL</v>
          </cell>
          <cell r="C29" t="str">
            <v>PENNA P&amp;L</v>
          </cell>
          <cell r="D29">
            <v>19931216</v>
          </cell>
          <cell r="E29" t="str">
            <v>EPS</v>
          </cell>
          <cell r="F29" t="str">
            <v>LTG</v>
          </cell>
          <cell r="G29">
            <v>0</v>
          </cell>
          <cell r="H29">
            <v>9</v>
          </cell>
          <cell r="I29">
            <v>3</v>
          </cell>
          <cell r="J29">
            <v>3.17</v>
          </cell>
          <cell r="K29">
            <v>1.19</v>
          </cell>
          <cell r="L29">
            <v>1</v>
          </cell>
        </row>
        <row r="30">
          <cell r="A30" t="str">
            <v>PSD</v>
          </cell>
          <cell r="B30" t="str">
            <v>PSD</v>
          </cell>
          <cell r="C30" t="str">
            <v>PUGET SOUND P&amp;L</v>
          </cell>
          <cell r="D30">
            <v>19931216</v>
          </cell>
          <cell r="E30" t="str">
            <v>EPS</v>
          </cell>
          <cell r="F30" t="str">
            <v>LTG</v>
          </cell>
          <cell r="G30">
            <v>0</v>
          </cell>
          <cell r="H30">
            <v>6</v>
          </cell>
          <cell r="I30">
            <v>2</v>
          </cell>
          <cell r="J30">
            <v>1.97</v>
          </cell>
          <cell r="K30">
            <v>0.94</v>
          </cell>
          <cell r="L30">
            <v>1</v>
          </cell>
        </row>
        <row r="31">
          <cell r="A31" t="str">
            <v>SCG</v>
          </cell>
          <cell r="B31" t="str">
            <v>SCG</v>
          </cell>
          <cell r="C31" t="str">
            <v>SCANA CP</v>
          </cell>
          <cell r="D31">
            <v>19931216</v>
          </cell>
          <cell r="E31" t="str">
            <v>EPS</v>
          </cell>
          <cell r="F31" t="str">
            <v>LTG</v>
          </cell>
          <cell r="G31">
            <v>0</v>
          </cell>
          <cell r="H31">
            <v>9</v>
          </cell>
          <cell r="I31">
            <v>3</v>
          </cell>
          <cell r="J31">
            <v>3.48</v>
          </cell>
          <cell r="K31">
            <v>0.81</v>
          </cell>
          <cell r="L31">
            <v>1</v>
          </cell>
        </row>
        <row r="32">
          <cell r="A32" t="str">
            <v>SO</v>
          </cell>
          <cell r="B32" t="str">
            <v>SO</v>
          </cell>
          <cell r="C32" t="str">
            <v>SOUTHN CO</v>
          </cell>
          <cell r="D32">
            <v>19931216</v>
          </cell>
          <cell r="E32" t="str">
            <v>EPS</v>
          </cell>
          <cell r="F32" t="str">
            <v>LTG</v>
          </cell>
          <cell r="G32">
            <v>0</v>
          </cell>
          <cell r="H32">
            <v>15</v>
          </cell>
          <cell r="I32">
            <v>3</v>
          </cell>
          <cell r="J32">
            <v>3.11</v>
          </cell>
          <cell r="K32">
            <v>0.83</v>
          </cell>
          <cell r="L32">
            <v>1</v>
          </cell>
        </row>
        <row r="33">
          <cell r="A33" t="str">
            <v>TE</v>
          </cell>
          <cell r="B33" t="str">
            <v>TE</v>
          </cell>
          <cell r="C33" t="str">
            <v>TECO ENERGY INC</v>
          </cell>
          <cell r="D33">
            <v>19931216</v>
          </cell>
          <cell r="E33" t="str">
            <v>EPS</v>
          </cell>
          <cell r="F33" t="str">
            <v>LTG</v>
          </cell>
          <cell r="G33">
            <v>0</v>
          </cell>
          <cell r="H33">
            <v>12</v>
          </cell>
          <cell r="I33">
            <v>5</v>
          </cell>
          <cell r="J33">
            <v>4.96</v>
          </cell>
          <cell r="K33">
            <v>1.1200000000000001</v>
          </cell>
          <cell r="L33">
            <v>1</v>
          </cell>
        </row>
        <row r="34">
          <cell r="A34" t="str">
            <v>UIL</v>
          </cell>
          <cell r="B34" t="str">
            <v>UIL</v>
          </cell>
          <cell r="C34" t="str">
            <v>UTD ILLUM CO</v>
          </cell>
          <cell r="D34">
            <v>19931216</v>
          </cell>
          <cell r="E34" t="str">
            <v>EPS</v>
          </cell>
          <cell r="F34" t="str">
            <v>LTG</v>
          </cell>
          <cell r="G34">
            <v>0</v>
          </cell>
          <cell r="H34">
            <v>3</v>
          </cell>
          <cell r="I34">
            <v>4</v>
          </cell>
          <cell r="J34">
            <v>3.67</v>
          </cell>
          <cell r="K34">
            <v>0.57999999999999996</v>
          </cell>
          <cell r="L34">
            <v>1</v>
          </cell>
        </row>
        <row r="35">
          <cell r="A35" t="str">
            <v>WEC</v>
          </cell>
          <cell r="B35" t="str">
            <v>WPC</v>
          </cell>
          <cell r="C35" t="str">
            <v>WISCONSIN ENERGY</v>
          </cell>
          <cell r="D35">
            <v>19931216</v>
          </cell>
          <cell r="E35" t="str">
            <v>EPS</v>
          </cell>
          <cell r="F35" t="str">
            <v>LTG</v>
          </cell>
          <cell r="G35">
            <v>0</v>
          </cell>
          <cell r="H35">
            <v>17</v>
          </cell>
          <cell r="I35">
            <v>4</v>
          </cell>
          <cell r="J35">
            <v>4.6500000000000004</v>
          </cell>
          <cell r="K35">
            <v>1.24</v>
          </cell>
          <cell r="L35">
            <v>1</v>
          </cell>
        </row>
        <row r="36">
          <cell r="A36" t="str">
            <v>WPS</v>
          </cell>
          <cell r="B36" t="str">
            <v>WPS</v>
          </cell>
          <cell r="C36" t="str">
            <v>WISC PUB SVC</v>
          </cell>
          <cell r="D36">
            <v>19931216</v>
          </cell>
          <cell r="E36" t="str">
            <v>EPS</v>
          </cell>
          <cell r="F36" t="str">
            <v>LTG</v>
          </cell>
          <cell r="G36">
            <v>0</v>
          </cell>
          <cell r="H36">
            <v>7</v>
          </cell>
          <cell r="I36">
            <v>3</v>
          </cell>
          <cell r="J36">
            <v>2.8</v>
          </cell>
          <cell r="K36">
            <v>0.66</v>
          </cell>
          <cell r="L36">
            <v>1</v>
          </cell>
        </row>
        <row r="37">
          <cell r="A37" t="str">
            <v>AVA</v>
          </cell>
          <cell r="B37" t="str">
            <v>@AHV</v>
          </cell>
          <cell r="C37" t="str">
            <v>AVA</v>
          </cell>
          <cell r="D37">
            <v>19931216</v>
          </cell>
          <cell r="E37" t="str">
            <v>EPS</v>
          </cell>
          <cell r="F37" t="str">
            <v>LTG</v>
          </cell>
          <cell r="G37">
            <v>0</v>
          </cell>
          <cell r="H37">
            <v>1</v>
          </cell>
          <cell r="I37">
            <v>7</v>
          </cell>
          <cell r="J37">
            <v>7</v>
          </cell>
          <cell r="L37">
            <v>0</v>
          </cell>
        </row>
        <row r="38">
          <cell r="A38" t="str">
            <v>SO</v>
          </cell>
          <cell r="B38" t="str">
            <v>@SOM</v>
          </cell>
          <cell r="C38" t="str">
            <v>SOMMER-ALLIBERT</v>
          </cell>
          <cell r="D38">
            <v>19931216</v>
          </cell>
          <cell r="E38" t="str">
            <v>EPS</v>
          </cell>
          <cell r="F38" t="str">
            <v>LTG</v>
          </cell>
          <cell r="G38">
            <v>0</v>
          </cell>
          <cell r="H38">
            <v>1</v>
          </cell>
          <cell r="I38">
            <v>16.8</v>
          </cell>
          <cell r="J38">
            <v>16.8</v>
          </cell>
          <cell r="L38">
            <v>0</v>
          </cell>
        </row>
      </sheetData>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pbatbjcaumtwvkb"/>
    </sheetNames>
    <sheetDataSet>
      <sheetData sheetId="0">
        <row r="1">
          <cell r="B1" t="str">
            <v>Official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Forecast Period End Date (SAS Format)</v>
          </cell>
          <cell r="M1" t="str">
            <v>Actual Value, from the Detail Actuals File</v>
          </cell>
          <cell r="N1" t="str">
            <v>Announce date of the Actual, from the Detail Actuals File</v>
          </cell>
        </row>
        <row r="2">
          <cell r="B2" t="str">
            <v>ATG</v>
          </cell>
          <cell r="C2" t="str">
            <v>ATLANTA GAS LT</v>
          </cell>
          <cell r="D2">
            <v>34319</v>
          </cell>
          <cell r="E2" t="str">
            <v>EPS</v>
          </cell>
          <cell r="F2" t="str">
            <v>ANN</v>
          </cell>
          <cell r="G2" t="str">
            <v>1</v>
          </cell>
          <cell r="H2">
            <v>14</v>
          </cell>
          <cell r="I2">
            <v>1.1299999999999999</v>
          </cell>
          <cell r="J2">
            <v>1.1299999999999999</v>
          </cell>
          <cell r="K2">
            <v>0.04</v>
          </cell>
          <cell r="L2">
            <v>34607</v>
          </cell>
          <cell r="M2">
            <v>1.18</v>
          </cell>
          <cell r="N2">
            <v>34642</v>
          </cell>
        </row>
        <row r="3">
          <cell r="B3" t="str">
            <v>CGC</v>
          </cell>
          <cell r="C3" t="str">
            <v>CASCADE NAT GAS</v>
          </cell>
          <cell r="D3">
            <v>34319</v>
          </cell>
          <cell r="E3" t="str">
            <v>EPS</v>
          </cell>
          <cell r="F3" t="str">
            <v>ANN</v>
          </cell>
          <cell r="G3" t="str">
            <v>1</v>
          </cell>
          <cell r="H3">
            <v>5</v>
          </cell>
          <cell r="I3">
            <v>1.1000000000000001</v>
          </cell>
          <cell r="J3">
            <v>1.1100000000000001</v>
          </cell>
          <cell r="K3">
            <v>0.04</v>
          </cell>
          <cell r="L3">
            <v>34334</v>
          </cell>
          <cell r="M3">
            <v>1.083</v>
          </cell>
          <cell r="N3">
            <v>34369</v>
          </cell>
        </row>
        <row r="4">
          <cell r="B4" t="str">
            <v>CPK</v>
          </cell>
          <cell r="C4" t="str">
            <v>CHESAPEAKE UTIL</v>
          </cell>
          <cell r="D4">
            <v>34319</v>
          </cell>
          <cell r="E4" t="str">
            <v>EPS</v>
          </cell>
          <cell r="F4" t="str">
            <v>ANN</v>
          </cell>
          <cell r="G4" t="str">
            <v>1</v>
          </cell>
          <cell r="H4">
            <v>1</v>
          </cell>
          <cell r="I4">
            <v>0.77</v>
          </cell>
          <cell r="J4">
            <v>0.77</v>
          </cell>
          <cell r="L4">
            <v>34334</v>
          </cell>
          <cell r="M4">
            <v>0.74</v>
          </cell>
          <cell r="N4">
            <v>34383</v>
          </cell>
        </row>
        <row r="5">
          <cell r="B5" t="str">
            <v>ATO</v>
          </cell>
          <cell r="C5" t="str">
            <v>ATMOS ENERGY CP</v>
          </cell>
          <cell r="D5">
            <v>34319</v>
          </cell>
          <cell r="E5" t="str">
            <v>EPS</v>
          </cell>
          <cell r="F5" t="str">
            <v>ANN</v>
          </cell>
          <cell r="G5" t="str">
            <v>1</v>
          </cell>
          <cell r="H5">
            <v>5</v>
          </cell>
          <cell r="I5">
            <v>0.86</v>
          </cell>
          <cell r="J5">
            <v>0.81</v>
          </cell>
          <cell r="K5">
            <v>0.08</v>
          </cell>
          <cell r="L5">
            <v>34607</v>
          </cell>
          <cell r="M5">
            <v>1.1299999999999999</v>
          </cell>
          <cell r="N5">
            <v>34647</v>
          </cell>
        </row>
        <row r="6">
          <cell r="B6" t="str">
            <v>GAS</v>
          </cell>
          <cell r="C6" t="str">
            <v>NICOR INC</v>
          </cell>
          <cell r="D6">
            <v>34319</v>
          </cell>
          <cell r="E6" t="str">
            <v>EPS</v>
          </cell>
          <cell r="F6" t="str">
            <v>ANN</v>
          </cell>
          <cell r="G6" t="str">
            <v>1</v>
          </cell>
          <cell r="H6">
            <v>12</v>
          </cell>
          <cell r="I6">
            <v>2</v>
          </cell>
          <cell r="J6">
            <v>2</v>
          </cell>
          <cell r="K6">
            <v>0.03</v>
          </cell>
          <cell r="L6">
            <v>34334</v>
          </cell>
          <cell r="M6">
            <v>1.96</v>
          </cell>
          <cell r="N6">
            <v>34360</v>
          </cell>
        </row>
        <row r="7">
          <cell r="B7" t="str">
            <v>NI</v>
          </cell>
          <cell r="C7" t="str">
            <v>NIPSCO IND INC</v>
          </cell>
          <cell r="D7">
            <v>34319</v>
          </cell>
          <cell r="E7" t="str">
            <v>EPS</v>
          </cell>
          <cell r="F7" t="str">
            <v>ANN</v>
          </cell>
          <cell r="G7" t="str">
            <v>1</v>
          </cell>
          <cell r="H7">
            <v>23</v>
          </cell>
          <cell r="I7">
            <v>1.1299999999999999</v>
          </cell>
          <cell r="J7">
            <v>1.1299999999999999</v>
          </cell>
          <cell r="K7">
            <v>0.04</v>
          </cell>
          <cell r="L7">
            <v>34334</v>
          </cell>
          <cell r="M7">
            <v>1.1499999999999999</v>
          </cell>
          <cell r="N7">
            <v>34365</v>
          </cell>
        </row>
        <row r="8">
          <cell r="B8" t="str">
            <v>NJR</v>
          </cell>
          <cell r="C8" t="str">
            <v>NEW JERSEY RES</v>
          </cell>
          <cell r="D8">
            <v>34319</v>
          </cell>
          <cell r="E8" t="str">
            <v>EPS</v>
          </cell>
          <cell r="F8" t="str">
            <v>ANN</v>
          </cell>
          <cell r="G8" t="str">
            <v>1</v>
          </cell>
          <cell r="H8">
            <v>8</v>
          </cell>
          <cell r="I8">
            <v>0.41</v>
          </cell>
          <cell r="J8">
            <v>0.41</v>
          </cell>
          <cell r="K8">
            <v>0.01</v>
          </cell>
          <cell r="L8">
            <v>34607</v>
          </cell>
          <cell r="M8">
            <v>0.4022</v>
          </cell>
          <cell r="N8">
            <v>34634</v>
          </cell>
        </row>
        <row r="9">
          <cell r="B9" t="str">
            <v>NWN</v>
          </cell>
          <cell r="C9" t="str">
            <v>NWNL COMPANIES</v>
          </cell>
          <cell r="D9">
            <v>34319</v>
          </cell>
          <cell r="E9" t="str">
            <v>EPS</v>
          </cell>
          <cell r="F9" t="str">
            <v>ANN</v>
          </cell>
          <cell r="G9" t="str">
            <v>1</v>
          </cell>
          <cell r="H9">
            <v>14</v>
          </cell>
          <cell r="I9">
            <v>1.55</v>
          </cell>
          <cell r="J9">
            <v>1.55</v>
          </cell>
          <cell r="K9">
            <v>0.04</v>
          </cell>
          <cell r="L9">
            <v>34334</v>
          </cell>
          <cell r="M9">
            <v>1.56</v>
          </cell>
          <cell r="N9">
            <v>34369</v>
          </cell>
        </row>
        <row r="10">
          <cell r="B10" t="str">
            <v>PNY</v>
          </cell>
          <cell r="C10" t="str">
            <v>PIEDMONT NAT GAS</v>
          </cell>
          <cell r="D10">
            <v>34319</v>
          </cell>
          <cell r="E10" t="str">
            <v>EPS</v>
          </cell>
          <cell r="F10" t="str">
            <v>ANN</v>
          </cell>
          <cell r="G10" t="str">
            <v>1</v>
          </cell>
          <cell r="H10">
            <v>8</v>
          </cell>
          <cell r="I10">
            <v>0.72</v>
          </cell>
          <cell r="J10">
            <v>0.7</v>
          </cell>
          <cell r="K10">
            <v>7.0000000000000007E-2</v>
          </cell>
          <cell r="L10">
            <v>34638</v>
          </cell>
          <cell r="M10">
            <v>0.68</v>
          </cell>
          <cell r="N10">
            <v>34670</v>
          </cell>
        </row>
        <row r="11">
          <cell r="B11" t="str">
            <v>SJI</v>
          </cell>
          <cell r="C11" t="str">
            <v>SO JERSEY INDS</v>
          </cell>
          <cell r="D11">
            <v>34319</v>
          </cell>
          <cell r="E11" t="str">
            <v>EPS</v>
          </cell>
          <cell r="F11" t="str">
            <v>ANN</v>
          </cell>
          <cell r="G11" t="str">
            <v>1</v>
          </cell>
          <cell r="H11">
            <v>1</v>
          </cell>
          <cell r="I11">
            <v>0.41</v>
          </cell>
          <cell r="J11">
            <v>0.41</v>
          </cell>
          <cell r="L11">
            <v>34334</v>
          </cell>
          <cell r="M11">
            <v>0.38750000000000001</v>
          </cell>
          <cell r="N11">
            <v>34358</v>
          </cell>
        </row>
        <row r="12">
          <cell r="B12" t="str">
            <v>SWX</v>
          </cell>
          <cell r="C12" t="str">
            <v>SOUTHWEST GAS</v>
          </cell>
          <cell r="D12">
            <v>34319</v>
          </cell>
          <cell r="E12" t="str">
            <v>EPS</v>
          </cell>
          <cell r="F12" t="str">
            <v>ANN</v>
          </cell>
          <cell r="G12" t="str">
            <v>1</v>
          </cell>
          <cell r="H12">
            <v>6</v>
          </cell>
          <cell r="I12">
            <v>1.1000000000000001</v>
          </cell>
          <cell r="J12">
            <v>1.1000000000000001</v>
          </cell>
          <cell r="K12">
            <v>0.12</v>
          </cell>
          <cell r="L12">
            <v>34334</v>
          </cell>
          <cell r="M12">
            <v>0.71</v>
          </cell>
          <cell r="N12">
            <v>34394</v>
          </cell>
        </row>
        <row r="13">
          <cell r="B13" t="str">
            <v>WGL</v>
          </cell>
          <cell r="C13" t="str">
            <v>WASH GAS LT</v>
          </cell>
          <cell r="D13">
            <v>34319</v>
          </cell>
          <cell r="E13" t="str">
            <v>EPS</v>
          </cell>
          <cell r="F13" t="str">
            <v>ANN</v>
          </cell>
          <cell r="G13" t="str">
            <v>1</v>
          </cell>
          <cell r="H13">
            <v>13</v>
          </cell>
          <cell r="I13">
            <v>1.35</v>
          </cell>
          <cell r="J13">
            <v>1.36</v>
          </cell>
          <cell r="K13">
            <v>0.04</v>
          </cell>
          <cell r="L13">
            <v>34607</v>
          </cell>
          <cell r="M13">
            <v>1.425</v>
          </cell>
          <cell r="N13">
            <v>34633</v>
          </cell>
        </row>
      </sheetData>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gf450vqud1z1pf"/>
    </sheetNames>
    <sheetDataSet>
      <sheetData sheetId="0">
        <row r="1">
          <cell r="B1" t="str">
            <v>Official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Forecast Period End Date (SAS Format)</v>
          </cell>
          <cell r="M1" t="str">
            <v>Actual Value, from the Detail Actuals File</v>
          </cell>
          <cell r="N1" t="str">
            <v>Announce date of the Actual, from the Detail Actuals File</v>
          </cell>
        </row>
        <row r="2">
          <cell r="B2" t="str">
            <v>ATG</v>
          </cell>
          <cell r="C2" t="str">
            <v>ATLANTA GAS LT</v>
          </cell>
          <cell r="D2">
            <v>34319</v>
          </cell>
          <cell r="E2" t="str">
            <v>EPS</v>
          </cell>
          <cell r="F2" t="str">
            <v>LTG</v>
          </cell>
          <cell r="G2" t="str">
            <v>0</v>
          </cell>
          <cell r="H2">
            <v>12</v>
          </cell>
          <cell r="I2">
            <v>4.25</v>
          </cell>
          <cell r="J2">
            <v>4.38</v>
          </cell>
          <cell r="K2">
            <v>1.37</v>
          </cell>
        </row>
        <row r="3">
          <cell r="B3" t="str">
            <v>CGC</v>
          </cell>
          <cell r="C3" t="str">
            <v>CASCADE NAT GAS</v>
          </cell>
          <cell r="D3">
            <v>34319</v>
          </cell>
          <cell r="E3" t="str">
            <v>EPS</v>
          </cell>
          <cell r="F3" t="str">
            <v>LTG</v>
          </cell>
          <cell r="G3" t="str">
            <v>0</v>
          </cell>
          <cell r="H3">
            <v>3</v>
          </cell>
          <cell r="I3">
            <v>7</v>
          </cell>
          <cell r="J3">
            <v>6.33</v>
          </cell>
          <cell r="K3">
            <v>2.08</v>
          </cell>
        </row>
        <row r="4">
          <cell r="B4" t="str">
            <v>ATO</v>
          </cell>
          <cell r="C4" t="str">
            <v>ATMOS ENERGY CP</v>
          </cell>
          <cell r="D4">
            <v>34319</v>
          </cell>
          <cell r="E4" t="str">
            <v>EPS</v>
          </cell>
          <cell r="F4" t="str">
            <v>LTG</v>
          </cell>
          <cell r="G4" t="str">
            <v>0</v>
          </cell>
          <cell r="H4">
            <v>3</v>
          </cell>
          <cell r="I4">
            <v>11.5</v>
          </cell>
          <cell r="J4">
            <v>10.83</v>
          </cell>
          <cell r="K4">
            <v>1.61</v>
          </cell>
        </row>
        <row r="5">
          <cell r="B5" t="str">
            <v>GAS</v>
          </cell>
          <cell r="C5" t="str">
            <v>NICOR INC</v>
          </cell>
          <cell r="D5">
            <v>34319</v>
          </cell>
          <cell r="E5" t="str">
            <v>EPS</v>
          </cell>
          <cell r="F5" t="str">
            <v>LTG</v>
          </cell>
          <cell r="G5" t="str">
            <v>0</v>
          </cell>
          <cell r="H5">
            <v>7</v>
          </cell>
          <cell r="I5">
            <v>6</v>
          </cell>
          <cell r="J5">
            <v>6.14</v>
          </cell>
          <cell r="K5">
            <v>2.12</v>
          </cell>
        </row>
        <row r="6">
          <cell r="B6" t="str">
            <v>NI</v>
          </cell>
          <cell r="C6" t="str">
            <v>NIPSCO IND INC</v>
          </cell>
          <cell r="D6">
            <v>34319</v>
          </cell>
          <cell r="E6" t="str">
            <v>EPS</v>
          </cell>
          <cell r="F6" t="str">
            <v>LTG</v>
          </cell>
          <cell r="G6" t="str">
            <v>0</v>
          </cell>
          <cell r="H6">
            <v>13</v>
          </cell>
          <cell r="I6">
            <v>5</v>
          </cell>
          <cell r="J6">
            <v>5.46</v>
          </cell>
          <cell r="K6">
            <v>1.61</v>
          </cell>
        </row>
        <row r="7">
          <cell r="B7" t="str">
            <v>NJR</v>
          </cell>
          <cell r="C7" t="str">
            <v>NEW JERSEY RES</v>
          </cell>
          <cell r="D7">
            <v>34319</v>
          </cell>
          <cell r="E7" t="str">
            <v>EPS</v>
          </cell>
          <cell r="F7" t="str">
            <v>LTG</v>
          </cell>
          <cell r="G7" t="str">
            <v>0</v>
          </cell>
          <cell r="H7">
            <v>6</v>
          </cell>
          <cell r="I7">
            <v>4.5</v>
          </cell>
          <cell r="J7">
            <v>5.08</v>
          </cell>
          <cell r="K7">
            <v>1.8</v>
          </cell>
        </row>
        <row r="8">
          <cell r="B8" t="str">
            <v>PNY</v>
          </cell>
          <cell r="C8" t="str">
            <v>PIEDMONT NAT GAS</v>
          </cell>
          <cell r="D8">
            <v>34319</v>
          </cell>
          <cell r="E8" t="str">
            <v>EPS</v>
          </cell>
          <cell r="F8" t="str">
            <v>LTG</v>
          </cell>
          <cell r="G8" t="str">
            <v>0</v>
          </cell>
          <cell r="H8">
            <v>6</v>
          </cell>
          <cell r="I8">
            <v>5.5</v>
          </cell>
          <cell r="J8">
            <v>6.33</v>
          </cell>
          <cell r="K8">
            <v>2.25</v>
          </cell>
        </row>
        <row r="9">
          <cell r="B9" t="str">
            <v>SJI</v>
          </cell>
          <cell r="C9" t="str">
            <v>SO JERSEY INDS</v>
          </cell>
          <cell r="D9">
            <v>34319</v>
          </cell>
          <cell r="E9" t="str">
            <v>EPS</v>
          </cell>
          <cell r="F9" t="str">
            <v>LTG</v>
          </cell>
          <cell r="G9" t="str">
            <v>0</v>
          </cell>
          <cell r="H9">
            <v>1</v>
          </cell>
          <cell r="I9">
            <v>4</v>
          </cell>
          <cell r="J9">
            <v>4</v>
          </cell>
        </row>
        <row r="10">
          <cell r="B10" t="str">
            <v>SWX</v>
          </cell>
          <cell r="C10" t="str">
            <v>SOUTHWEST GAS</v>
          </cell>
          <cell r="D10">
            <v>34319</v>
          </cell>
          <cell r="E10" t="str">
            <v>EPS</v>
          </cell>
          <cell r="F10" t="str">
            <v>LTG</v>
          </cell>
          <cell r="G10" t="str">
            <v>0</v>
          </cell>
          <cell r="H10">
            <v>2</v>
          </cell>
          <cell r="I10">
            <v>13.5</v>
          </cell>
          <cell r="J10">
            <v>13.5</v>
          </cell>
          <cell r="K10">
            <v>12.02</v>
          </cell>
        </row>
        <row r="11">
          <cell r="B11" t="str">
            <v>WGL</v>
          </cell>
          <cell r="C11" t="str">
            <v>WASH GAS LT</v>
          </cell>
          <cell r="D11">
            <v>34319</v>
          </cell>
          <cell r="E11" t="str">
            <v>EPS</v>
          </cell>
          <cell r="F11" t="str">
            <v>LTG</v>
          </cell>
          <cell r="G11" t="str">
            <v>0</v>
          </cell>
          <cell r="H11">
            <v>8</v>
          </cell>
          <cell r="I11">
            <v>3.5</v>
          </cell>
          <cell r="J11">
            <v>4.25</v>
          </cell>
          <cell r="K11">
            <v>1.58</v>
          </cell>
        </row>
      </sheetData>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RDS"/>
    </sheetNames>
    <sheetDataSet>
      <sheetData sheetId="0">
        <row r="1">
          <cell r="A1" t="str">
            <v>OFTIC</v>
          </cell>
          <cell r="B1" t="str">
            <v>IBES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USFIRM=0 if from .INT file and USFIRM=1 if from .US file</v>
          </cell>
          <cell r="L1" t="str">
            <v>Forecast Period End Date (SAS Format)</v>
          </cell>
          <cell r="M1" t="str">
            <v>Actual Value, from the Detail Actuals File</v>
          </cell>
          <cell r="N1" t="str">
            <v>Announce date of the Actual, from the Detail Actuals File</v>
          </cell>
        </row>
        <row r="2">
          <cell r="A2" t="str">
            <v>AEE</v>
          </cell>
          <cell r="B2" t="str">
            <v>AEE</v>
          </cell>
          <cell r="C2" t="str">
            <v>AILEEN INC</v>
          </cell>
          <cell r="D2">
            <v>19921217</v>
          </cell>
          <cell r="E2" t="str">
            <v>EPS</v>
          </cell>
          <cell r="F2" t="str">
            <v>ANN</v>
          </cell>
          <cell r="G2">
            <v>1</v>
          </cell>
          <cell r="H2">
            <v>1</v>
          </cell>
          <cell r="I2">
            <v>0.16</v>
          </cell>
          <cell r="J2">
            <v>0.16</v>
          </cell>
          <cell r="K2">
            <v>1</v>
          </cell>
          <cell r="L2">
            <v>19921031</v>
          </cell>
          <cell r="M2">
            <v>0.19</v>
          </cell>
          <cell r="N2">
            <v>19921229</v>
          </cell>
        </row>
        <row r="3">
          <cell r="A3" t="str">
            <v>AVA</v>
          </cell>
          <cell r="B3" t="str">
            <v>AVDO</v>
          </cell>
          <cell r="C3" t="str">
            <v>AUDIO VIDEO AFFI</v>
          </cell>
          <cell r="D3">
            <v>19921217</v>
          </cell>
          <cell r="E3" t="str">
            <v>EPS</v>
          </cell>
          <cell r="F3" t="str">
            <v>ANN</v>
          </cell>
          <cell r="G3">
            <v>1</v>
          </cell>
          <cell r="H3">
            <v>3</v>
          </cell>
          <cell r="I3">
            <v>0.27</v>
          </cell>
          <cell r="J3">
            <v>0.27</v>
          </cell>
          <cell r="K3">
            <v>1</v>
          </cell>
          <cell r="L3">
            <v>19930131</v>
          </cell>
          <cell r="M3">
            <v>0.32</v>
          </cell>
          <cell r="N3">
            <v>19930316</v>
          </cell>
        </row>
        <row r="4">
          <cell r="A4" t="str">
            <v>PNW</v>
          </cell>
          <cell r="B4" t="str">
            <v>AZP</v>
          </cell>
          <cell r="C4" t="str">
            <v>PINNACLE WST CAP</v>
          </cell>
          <cell r="D4">
            <v>19921217</v>
          </cell>
          <cell r="E4" t="str">
            <v>EPS</v>
          </cell>
          <cell r="F4" t="str">
            <v>ANN</v>
          </cell>
          <cell r="G4">
            <v>1</v>
          </cell>
          <cell r="H4">
            <v>17</v>
          </cell>
          <cell r="I4">
            <v>1.7</v>
          </cell>
          <cell r="J4">
            <v>1.69</v>
          </cell>
          <cell r="K4">
            <v>1</v>
          </cell>
          <cell r="L4">
            <v>19921231</v>
          </cell>
          <cell r="M4">
            <v>1.72</v>
          </cell>
          <cell r="N4">
            <v>19930129</v>
          </cell>
        </row>
        <row r="5">
          <cell r="A5" t="str">
            <v>BKH</v>
          </cell>
          <cell r="B5" t="str">
            <v>BHP</v>
          </cell>
          <cell r="C5" t="str">
            <v>BLACK HILLS CORP</v>
          </cell>
          <cell r="D5">
            <v>19921217</v>
          </cell>
          <cell r="E5" t="str">
            <v>EPS</v>
          </cell>
          <cell r="F5" t="str">
            <v>ANN</v>
          </cell>
          <cell r="G5">
            <v>1</v>
          </cell>
          <cell r="H5">
            <v>7</v>
          </cell>
          <cell r="I5">
            <v>1.1000000000000001</v>
          </cell>
          <cell r="J5">
            <v>1.1100000000000001</v>
          </cell>
          <cell r="K5">
            <v>1</v>
          </cell>
          <cell r="L5">
            <v>19921231</v>
          </cell>
          <cell r="M5">
            <v>1.1533</v>
          </cell>
          <cell r="N5">
            <v>19930128</v>
          </cell>
        </row>
        <row r="6">
          <cell r="A6" t="str">
            <v>CIN</v>
          </cell>
          <cell r="B6" t="str">
            <v>CIN</v>
          </cell>
          <cell r="C6" t="str">
            <v>CINN GAS &amp; EL</v>
          </cell>
          <cell r="D6">
            <v>19921217</v>
          </cell>
          <cell r="E6" t="str">
            <v>EPS</v>
          </cell>
          <cell r="F6" t="str">
            <v>ANN</v>
          </cell>
          <cell r="G6">
            <v>1</v>
          </cell>
          <cell r="H6">
            <v>21</v>
          </cell>
          <cell r="I6">
            <v>2</v>
          </cell>
          <cell r="J6">
            <v>1.98</v>
          </cell>
          <cell r="K6">
            <v>1</v>
          </cell>
          <cell r="L6">
            <v>19921231</v>
          </cell>
          <cell r="M6">
            <v>2.0299999999999998</v>
          </cell>
          <cell r="N6">
            <v>19930125</v>
          </cell>
        </row>
        <row r="7">
          <cell r="A7" t="str">
            <v>CMS</v>
          </cell>
          <cell r="B7" t="str">
            <v>CMS</v>
          </cell>
          <cell r="C7" t="str">
            <v>CMS ENERGY CORP</v>
          </cell>
          <cell r="D7">
            <v>19921217</v>
          </cell>
          <cell r="E7" t="str">
            <v>EPS</v>
          </cell>
          <cell r="F7" t="str">
            <v>ANN</v>
          </cell>
          <cell r="G7">
            <v>1</v>
          </cell>
          <cell r="H7">
            <v>18</v>
          </cell>
          <cell r="I7">
            <v>1.08</v>
          </cell>
          <cell r="J7">
            <v>1.1000000000000001</v>
          </cell>
          <cell r="K7">
            <v>1</v>
          </cell>
          <cell r="L7">
            <v>19921231</v>
          </cell>
          <cell r="M7">
            <v>0.56999999999999995</v>
          </cell>
          <cell r="N7">
            <v>19930406</v>
          </cell>
        </row>
        <row r="8">
          <cell r="A8" t="str">
            <v>CNL</v>
          </cell>
          <cell r="B8" t="str">
            <v>CNL</v>
          </cell>
          <cell r="C8" t="str">
            <v>CENT LA ELEC INC</v>
          </cell>
          <cell r="D8">
            <v>19921217</v>
          </cell>
          <cell r="E8" t="str">
            <v>EPS</v>
          </cell>
          <cell r="F8" t="str">
            <v>ANN</v>
          </cell>
          <cell r="G8">
            <v>1</v>
          </cell>
          <cell r="H8">
            <v>7</v>
          </cell>
          <cell r="I8">
            <v>0.95</v>
          </cell>
          <cell r="J8">
            <v>0.96</v>
          </cell>
          <cell r="K8">
            <v>1</v>
          </cell>
          <cell r="L8">
            <v>19921231</v>
          </cell>
          <cell r="M8">
            <v>0.96499999999999997</v>
          </cell>
          <cell r="N8">
            <v>19930203</v>
          </cell>
        </row>
        <row r="9">
          <cell r="A9" t="str">
            <v>CNP</v>
          </cell>
          <cell r="B9" t="str">
            <v>CNP</v>
          </cell>
          <cell r="C9" t="str">
            <v>CROWN CENT PETE</v>
          </cell>
          <cell r="D9">
            <v>19921217</v>
          </cell>
          <cell r="E9" t="str">
            <v>EPS</v>
          </cell>
          <cell r="F9" t="str">
            <v>ANN</v>
          </cell>
          <cell r="G9">
            <v>1</v>
          </cell>
          <cell r="H9">
            <v>2</v>
          </cell>
          <cell r="I9">
            <v>0.57999999999999996</v>
          </cell>
          <cell r="J9">
            <v>0.57999999999999996</v>
          </cell>
          <cell r="K9">
            <v>1</v>
          </cell>
          <cell r="L9">
            <v>19921231</v>
          </cell>
          <cell r="M9">
            <v>-1.31</v>
          </cell>
          <cell r="N9">
            <v>19930226</v>
          </cell>
        </row>
        <row r="10">
          <cell r="A10" t="str">
            <v>CV</v>
          </cell>
          <cell r="B10" t="str">
            <v>CV</v>
          </cell>
          <cell r="C10" t="str">
            <v>CNTRL VT PUB SVC</v>
          </cell>
          <cell r="D10">
            <v>19921217</v>
          </cell>
          <cell r="E10" t="str">
            <v>EPS</v>
          </cell>
          <cell r="F10" t="str">
            <v>ANN</v>
          </cell>
          <cell r="G10">
            <v>1</v>
          </cell>
          <cell r="H10">
            <v>4</v>
          </cell>
          <cell r="I10">
            <v>1.67</v>
          </cell>
          <cell r="J10">
            <v>1.67</v>
          </cell>
          <cell r="K10">
            <v>1</v>
          </cell>
          <cell r="L10">
            <v>19921231</v>
          </cell>
          <cell r="M10">
            <v>1.7130000000000001</v>
          </cell>
          <cell r="N10">
            <v>19930209</v>
          </cell>
        </row>
        <row r="11">
          <cell r="A11" t="str">
            <v>D</v>
          </cell>
          <cell r="B11" t="str">
            <v>D</v>
          </cell>
          <cell r="C11" t="str">
            <v>DOMINION RES INC</v>
          </cell>
          <cell r="D11">
            <v>19921217</v>
          </cell>
          <cell r="E11" t="str">
            <v>EPS</v>
          </cell>
          <cell r="F11" t="str">
            <v>ANN</v>
          </cell>
          <cell r="G11">
            <v>1</v>
          </cell>
          <cell r="H11">
            <v>27</v>
          </cell>
          <cell r="I11">
            <v>1.33</v>
          </cell>
          <cell r="J11">
            <v>1.35</v>
          </cell>
          <cell r="K11">
            <v>1</v>
          </cell>
          <cell r="L11">
            <v>19921231</v>
          </cell>
          <cell r="M11">
            <v>1.45</v>
          </cell>
          <cell r="N11">
            <v>19930122</v>
          </cell>
        </row>
        <row r="12">
          <cell r="A12" t="str">
            <v>DPL</v>
          </cell>
          <cell r="B12" t="str">
            <v>DPL</v>
          </cell>
          <cell r="C12" t="str">
            <v>DPL INC</v>
          </cell>
          <cell r="D12">
            <v>19921217</v>
          </cell>
          <cell r="E12" t="str">
            <v>EPS</v>
          </cell>
          <cell r="F12" t="str">
            <v>ANN</v>
          </cell>
          <cell r="G12">
            <v>1</v>
          </cell>
          <cell r="H12">
            <v>16</v>
          </cell>
          <cell r="I12">
            <v>0.9</v>
          </cell>
          <cell r="J12">
            <v>0.9</v>
          </cell>
          <cell r="K12">
            <v>1</v>
          </cell>
          <cell r="L12">
            <v>19921231</v>
          </cell>
          <cell r="M12">
            <v>0.89329999999999998</v>
          </cell>
          <cell r="N12">
            <v>19930120</v>
          </cell>
        </row>
        <row r="13">
          <cell r="A13" t="str">
            <v>DTE</v>
          </cell>
          <cell r="B13" t="str">
            <v>DTE</v>
          </cell>
          <cell r="C13" t="str">
            <v>DETROIT EDISON</v>
          </cell>
          <cell r="D13">
            <v>19921217</v>
          </cell>
          <cell r="E13" t="str">
            <v>EPS</v>
          </cell>
          <cell r="F13" t="str">
            <v>ANN</v>
          </cell>
          <cell r="G13">
            <v>1</v>
          </cell>
          <cell r="H13">
            <v>23</v>
          </cell>
          <cell r="I13">
            <v>3.66</v>
          </cell>
          <cell r="J13">
            <v>3.68</v>
          </cell>
          <cell r="K13">
            <v>1</v>
          </cell>
          <cell r="L13">
            <v>19921231</v>
          </cell>
          <cell r="M13">
            <v>3.8</v>
          </cell>
          <cell r="N13">
            <v>19930125</v>
          </cell>
        </row>
        <row r="14">
          <cell r="A14" t="str">
            <v>DUK</v>
          </cell>
          <cell r="B14" t="str">
            <v>DUK</v>
          </cell>
          <cell r="C14" t="str">
            <v>DUKE POWER CO</v>
          </cell>
          <cell r="D14">
            <v>19921217</v>
          </cell>
          <cell r="E14" t="str">
            <v>EPS</v>
          </cell>
          <cell r="F14" t="str">
            <v>ANN</v>
          </cell>
          <cell r="G14">
            <v>1</v>
          </cell>
          <cell r="H14">
            <v>23</v>
          </cell>
          <cell r="I14">
            <v>3.75</v>
          </cell>
          <cell r="J14">
            <v>3.69</v>
          </cell>
          <cell r="K14">
            <v>1</v>
          </cell>
          <cell r="L14">
            <v>19921231</v>
          </cell>
          <cell r="M14">
            <v>3.57</v>
          </cell>
          <cell r="N14">
            <v>19930125</v>
          </cell>
        </row>
        <row r="15">
          <cell r="A15" t="str">
            <v>ED</v>
          </cell>
          <cell r="B15" t="str">
            <v>ED</v>
          </cell>
          <cell r="C15" t="str">
            <v>CONSOL EDISON</v>
          </cell>
          <cell r="D15">
            <v>19921217</v>
          </cell>
          <cell r="E15" t="str">
            <v>EPS</v>
          </cell>
          <cell r="F15" t="str">
            <v>ANN</v>
          </cell>
          <cell r="G15">
            <v>1</v>
          </cell>
          <cell r="H15">
            <v>23</v>
          </cell>
          <cell r="I15">
            <v>2.4500000000000002</v>
          </cell>
          <cell r="J15">
            <v>2.44</v>
          </cell>
          <cell r="K15">
            <v>1</v>
          </cell>
          <cell r="L15">
            <v>19921231</v>
          </cell>
          <cell r="M15">
            <v>2.46</v>
          </cell>
          <cell r="N15">
            <v>19930126</v>
          </cell>
        </row>
        <row r="16">
          <cell r="A16" t="str">
            <v>EDE</v>
          </cell>
          <cell r="B16" t="str">
            <v>EDE</v>
          </cell>
          <cell r="C16" t="str">
            <v>EMPIRE DIST ELEC</v>
          </cell>
          <cell r="D16">
            <v>19921217</v>
          </cell>
          <cell r="E16" t="str">
            <v>EPS</v>
          </cell>
          <cell r="F16" t="str">
            <v>ANN</v>
          </cell>
          <cell r="G16">
            <v>1</v>
          </cell>
          <cell r="H16">
            <v>4</v>
          </cell>
          <cell r="I16">
            <v>1.4</v>
          </cell>
          <cell r="J16">
            <v>1.4</v>
          </cell>
          <cell r="K16">
            <v>1</v>
          </cell>
          <cell r="L16">
            <v>19921231</v>
          </cell>
          <cell r="M16">
            <v>1.25</v>
          </cell>
          <cell r="N16">
            <v>19930128</v>
          </cell>
        </row>
        <row r="17">
          <cell r="A17" t="str">
            <v>EXC</v>
          </cell>
          <cell r="B17" t="str">
            <v>EXC</v>
          </cell>
          <cell r="C17" t="str">
            <v>EXCEL INDS INC</v>
          </cell>
          <cell r="D17">
            <v>19921217</v>
          </cell>
          <cell r="E17" t="str">
            <v>EPS</v>
          </cell>
          <cell r="F17" t="str">
            <v>ANN</v>
          </cell>
          <cell r="G17">
            <v>1</v>
          </cell>
          <cell r="H17">
            <v>3</v>
          </cell>
          <cell r="I17">
            <v>0.9</v>
          </cell>
          <cell r="J17">
            <v>0.91</v>
          </cell>
          <cell r="K17">
            <v>1</v>
          </cell>
          <cell r="L17">
            <v>19921231</v>
          </cell>
          <cell r="M17">
            <v>1</v>
          </cell>
          <cell r="N17">
            <v>19930220</v>
          </cell>
        </row>
        <row r="18">
          <cell r="A18" t="str">
            <v>FPL</v>
          </cell>
          <cell r="B18" t="str">
            <v>FPL</v>
          </cell>
          <cell r="C18" t="str">
            <v>FPL GROUP</v>
          </cell>
          <cell r="D18">
            <v>19921217</v>
          </cell>
          <cell r="E18" t="str">
            <v>EPS</v>
          </cell>
          <cell r="F18" t="str">
            <v>ANN</v>
          </cell>
          <cell r="G18">
            <v>1</v>
          </cell>
          <cell r="H18">
            <v>26</v>
          </cell>
          <cell r="I18">
            <v>0.32</v>
          </cell>
          <cell r="J18">
            <v>0.32</v>
          </cell>
          <cell r="K18">
            <v>1</v>
          </cell>
          <cell r="L18">
            <v>19921231</v>
          </cell>
          <cell r="M18">
            <v>0.33</v>
          </cell>
          <cell r="N18">
            <v>19930129</v>
          </cell>
        </row>
        <row r="19">
          <cell r="A19" t="str">
            <v>HE</v>
          </cell>
          <cell r="B19" t="str">
            <v>HE</v>
          </cell>
          <cell r="C19" t="str">
            <v>HAWAIIAN ELEC</v>
          </cell>
          <cell r="D19">
            <v>19921217</v>
          </cell>
          <cell r="E19" t="str">
            <v>EPS</v>
          </cell>
          <cell r="F19" t="str">
            <v>ANN</v>
          </cell>
          <cell r="G19">
            <v>1</v>
          </cell>
          <cell r="H19">
            <v>6</v>
          </cell>
          <cell r="I19">
            <v>1.33</v>
          </cell>
          <cell r="J19">
            <v>1.32</v>
          </cell>
          <cell r="K19">
            <v>1</v>
          </cell>
          <cell r="L19">
            <v>19921231</v>
          </cell>
          <cell r="M19">
            <v>1.3149999999999999</v>
          </cell>
          <cell r="N19">
            <v>19930203</v>
          </cell>
        </row>
        <row r="20">
          <cell r="A20" t="str">
            <v>IDA</v>
          </cell>
          <cell r="B20" t="str">
            <v>IDA</v>
          </cell>
          <cell r="C20" t="str">
            <v>IDAHO POWER CO</v>
          </cell>
          <cell r="D20">
            <v>19921217</v>
          </cell>
          <cell r="E20" t="str">
            <v>EPS</v>
          </cell>
          <cell r="F20" t="str">
            <v>ANN</v>
          </cell>
          <cell r="G20">
            <v>1</v>
          </cell>
          <cell r="H20">
            <v>14</v>
          </cell>
          <cell r="I20">
            <v>1.6</v>
          </cell>
          <cell r="J20">
            <v>1.58</v>
          </cell>
          <cell r="K20">
            <v>1</v>
          </cell>
          <cell r="L20">
            <v>19921231</v>
          </cell>
          <cell r="M20">
            <v>1.54</v>
          </cell>
          <cell r="N20">
            <v>19930129</v>
          </cell>
        </row>
        <row r="21">
          <cell r="A21" t="str">
            <v>WR</v>
          </cell>
          <cell r="B21" t="str">
            <v>KAN</v>
          </cell>
          <cell r="C21" t="str">
            <v>WESTN RESOURCES</v>
          </cell>
          <cell r="D21">
            <v>19921217</v>
          </cell>
          <cell r="E21" t="str">
            <v>EPS</v>
          </cell>
          <cell r="F21" t="str">
            <v>ANN</v>
          </cell>
          <cell r="G21">
            <v>1</v>
          </cell>
          <cell r="H21">
            <v>18</v>
          </cell>
          <cell r="I21">
            <v>2.2999999999999998</v>
          </cell>
          <cell r="J21">
            <v>2.31</v>
          </cell>
          <cell r="K21">
            <v>1</v>
          </cell>
          <cell r="L21">
            <v>19921231</v>
          </cell>
          <cell r="M21">
            <v>2.2000000000000002</v>
          </cell>
          <cell r="N21">
            <v>19930129</v>
          </cell>
        </row>
        <row r="22">
          <cell r="A22" t="str">
            <v>ETR</v>
          </cell>
          <cell r="B22" t="str">
            <v>MSU</v>
          </cell>
          <cell r="C22" t="str">
            <v>ENTERGY CP</v>
          </cell>
          <cell r="D22">
            <v>19921217</v>
          </cell>
          <cell r="E22" t="str">
            <v>EPS</v>
          </cell>
          <cell r="F22" t="str">
            <v>ANN</v>
          </cell>
          <cell r="G22">
            <v>1</v>
          </cell>
          <cell r="H22">
            <v>23</v>
          </cell>
          <cell r="I22">
            <v>2.5499999999999998</v>
          </cell>
          <cell r="J22">
            <v>2.56</v>
          </cell>
          <cell r="K22">
            <v>1</v>
          </cell>
          <cell r="L22">
            <v>19921231</v>
          </cell>
          <cell r="M22">
            <v>2.48</v>
          </cell>
          <cell r="N22">
            <v>19930209</v>
          </cell>
        </row>
        <row r="23">
          <cell r="A23" t="str">
            <v>NU</v>
          </cell>
          <cell r="B23" t="str">
            <v>NU</v>
          </cell>
          <cell r="C23" t="str">
            <v>NORTHEAST UTILS</v>
          </cell>
          <cell r="D23">
            <v>19921217</v>
          </cell>
          <cell r="E23" t="str">
            <v>EPS</v>
          </cell>
          <cell r="F23" t="str">
            <v>ANN</v>
          </cell>
          <cell r="G23">
            <v>1</v>
          </cell>
          <cell r="H23">
            <v>20</v>
          </cell>
          <cell r="I23">
            <v>2.04</v>
          </cell>
          <cell r="J23">
            <v>2.0299999999999998</v>
          </cell>
          <cell r="K23">
            <v>1</v>
          </cell>
          <cell r="L23">
            <v>19921231</v>
          </cell>
          <cell r="M23">
            <v>2.0299999999999998</v>
          </cell>
          <cell r="N23">
            <v>19930126</v>
          </cell>
        </row>
        <row r="24">
          <cell r="A24" t="str">
            <v>OGE</v>
          </cell>
          <cell r="B24" t="str">
            <v>OGE</v>
          </cell>
          <cell r="C24" t="str">
            <v>OKLAHOMA G&amp;E</v>
          </cell>
          <cell r="D24">
            <v>19921217</v>
          </cell>
          <cell r="E24" t="str">
            <v>EPS</v>
          </cell>
          <cell r="F24" t="str">
            <v>ANN</v>
          </cell>
          <cell r="G24">
            <v>1</v>
          </cell>
          <cell r="H24">
            <v>21</v>
          </cell>
          <cell r="I24">
            <v>0.65</v>
          </cell>
          <cell r="J24">
            <v>0.67</v>
          </cell>
          <cell r="K24">
            <v>1</v>
          </cell>
          <cell r="L24">
            <v>19921231</v>
          </cell>
          <cell r="M24">
            <v>0.65</v>
          </cell>
          <cell r="N24">
            <v>19930128</v>
          </cell>
        </row>
        <row r="25">
          <cell r="A25" t="str">
            <v>OTTR</v>
          </cell>
          <cell r="B25" t="str">
            <v>OTTR</v>
          </cell>
          <cell r="C25" t="str">
            <v>OTTER TAIL PWR</v>
          </cell>
          <cell r="D25">
            <v>19921217</v>
          </cell>
          <cell r="E25" t="str">
            <v>EPS</v>
          </cell>
          <cell r="F25" t="str">
            <v>ANN</v>
          </cell>
          <cell r="G25">
            <v>1</v>
          </cell>
          <cell r="H25">
            <v>5</v>
          </cell>
          <cell r="I25">
            <v>1.08</v>
          </cell>
          <cell r="J25">
            <v>1.08</v>
          </cell>
          <cell r="K25">
            <v>1</v>
          </cell>
          <cell r="L25">
            <v>19921231</v>
          </cell>
          <cell r="M25">
            <v>1.085</v>
          </cell>
          <cell r="N25">
            <v>19930122</v>
          </cell>
        </row>
        <row r="26">
          <cell r="A26" t="str">
            <v>PCG</v>
          </cell>
          <cell r="B26" t="str">
            <v>PCG</v>
          </cell>
          <cell r="C26" t="str">
            <v>PACIFIC G&amp;E</v>
          </cell>
          <cell r="D26">
            <v>19921217</v>
          </cell>
          <cell r="E26" t="str">
            <v>EPS</v>
          </cell>
          <cell r="F26" t="str">
            <v>ANN</v>
          </cell>
          <cell r="G26">
            <v>1</v>
          </cell>
          <cell r="H26">
            <v>24</v>
          </cell>
          <cell r="I26">
            <v>2.58</v>
          </cell>
          <cell r="J26">
            <v>2.56</v>
          </cell>
          <cell r="K26">
            <v>1</v>
          </cell>
          <cell r="L26">
            <v>19921231</v>
          </cell>
          <cell r="M26">
            <v>2.58</v>
          </cell>
          <cell r="N26">
            <v>19930120</v>
          </cell>
        </row>
        <row r="27">
          <cell r="A27" t="str">
            <v>PEG</v>
          </cell>
          <cell r="B27" t="str">
            <v>PEG</v>
          </cell>
          <cell r="C27" t="str">
            <v>PUB SVC ENTERS</v>
          </cell>
          <cell r="D27">
            <v>19921217</v>
          </cell>
          <cell r="E27" t="str">
            <v>EPS</v>
          </cell>
          <cell r="F27" t="str">
            <v>ANN</v>
          </cell>
          <cell r="G27">
            <v>1</v>
          </cell>
          <cell r="H27">
            <v>28</v>
          </cell>
          <cell r="I27">
            <v>1.05</v>
          </cell>
          <cell r="J27">
            <v>1.07</v>
          </cell>
          <cell r="K27">
            <v>1</v>
          </cell>
          <cell r="L27">
            <v>19921231</v>
          </cell>
          <cell r="M27">
            <v>0.98499999999999999</v>
          </cell>
          <cell r="N27">
            <v>19930119</v>
          </cell>
        </row>
        <row r="28">
          <cell r="A28" t="str">
            <v>PGN</v>
          </cell>
          <cell r="B28" t="str">
            <v>PGN</v>
          </cell>
          <cell r="C28" t="str">
            <v>PORTLAND GEN CP</v>
          </cell>
          <cell r="D28">
            <v>19921217</v>
          </cell>
          <cell r="E28" t="str">
            <v>EPS</v>
          </cell>
          <cell r="F28" t="str">
            <v>ANN</v>
          </cell>
          <cell r="G28">
            <v>1</v>
          </cell>
          <cell r="H28">
            <v>17</v>
          </cell>
          <cell r="I28">
            <v>1.7</v>
          </cell>
          <cell r="J28">
            <v>1.67</v>
          </cell>
          <cell r="K28">
            <v>1</v>
          </cell>
          <cell r="L28">
            <v>19921231</v>
          </cell>
          <cell r="M28">
            <v>1.92</v>
          </cell>
          <cell r="N28">
            <v>19930224</v>
          </cell>
        </row>
        <row r="29">
          <cell r="A29" t="str">
            <v>PNM</v>
          </cell>
          <cell r="B29" t="str">
            <v>PNM</v>
          </cell>
          <cell r="C29" t="str">
            <v>PUB SVC N MEX</v>
          </cell>
          <cell r="D29">
            <v>19921217</v>
          </cell>
          <cell r="E29" t="str">
            <v>EPS</v>
          </cell>
          <cell r="F29" t="str">
            <v>ANN</v>
          </cell>
          <cell r="G29">
            <v>1</v>
          </cell>
          <cell r="H29">
            <v>14</v>
          </cell>
          <cell r="I29">
            <v>0.47</v>
          </cell>
          <cell r="J29">
            <v>0.45</v>
          </cell>
          <cell r="K29">
            <v>1</v>
          </cell>
          <cell r="L29">
            <v>19921231</v>
          </cell>
          <cell r="M29">
            <v>0.5333</v>
          </cell>
          <cell r="N29">
            <v>19930203</v>
          </cell>
        </row>
        <row r="30">
          <cell r="A30" t="str">
            <v>POM</v>
          </cell>
          <cell r="B30" t="str">
            <v>POM</v>
          </cell>
          <cell r="C30" t="str">
            <v>POTOMAC ELEC</v>
          </cell>
          <cell r="D30">
            <v>19921217</v>
          </cell>
          <cell r="E30" t="str">
            <v>EPS</v>
          </cell>
          <cell r="F30" t="str">
            <v>ANN</v>
          </cell>
          <cell r="G30">
            <v>1</v>
          </cell>
          <cell r="H30">
            <v>26</v>
          </cell>
          <cell r="I30">
            <v>1.63</v>
          </cell>
          <cell r="J30">
            <v>1.67</v>
          </cell>
          <cell r="K30">
            <v>1</v>
          </cell>
          <cell r="L30">
            <v>19921231</v>
          </cell>
          <cell r="M30">
            <v>1.63</v>
          </cell>
          <cell r="N30">
            <v>19930128</v>
          </cell>
        </row>
        <row r="31">
          <cell r="A31" t="str">
            <v>PPL</v>
          </cell>
          <cell r="B31" t="str">
            <v>PPL</v>
          </cell>
          <cell r="C31" t="str">
            <v>PENNA P&amp;L</v>
          </cell>
          <cell r="D31">
            <v>19921217</v>
          </cell>
          <cell r="E31" t="str">
            <v>EPS</v>
          </cell>
          <cell r="F31" t="str">
            <v>ANN</v>
          </cell>
          <cell r="G31">
            <v>1</v>
          </cell>
          <cell r="H31">
            <v>19</v>
          </cell>
          <cell r="I31">
            <v>1.02</v>
          </cell>
          <cell r="J31">
            <v>1.02</v>
          </cell>
          <cell r="K31">
            <v>1</v>
          </cell>
          <cell r="L31">
            <v>19921231</v>
          </cell>
          <cell r="M31">
            <v>1</v>
          </cell>
          <cell r="N31">
            <v>19930127</v>
          </cell>
        </row>
        <row r="32">
          <cell r="A32" t="str">
            <v>PSD</v>
          </cell>
          <cell r="B32" t="str">
            <v>PSD</v>
          </cell>
          <cell r="C32" t="str">
            <v>PUGET SOUND P&amp;L</v>
          </cell>
          <cell r="D32">
            <v>19921217</v>
          </cell>
          <cell r="E32" t="str">
            <v>EPS</v>
          </cell>
          <cell r="F32" t="str">
            <v>ANN</v>
          </cell>
          <cell r="G32">
            <v>1</v>
          </cell>
          <cell r="H32">
            <v>14</v>
          </cell>
          <cell r="I32">
            <v>2.14</v>
          </cell>
          <cell r="J32">
            <v>2.14</v>
          </cell>
          <cell r="K32">
            <v>1</v>
          </cell>
          <cell r="L32">
            <v>19921231</v>
          </cell>
          <cell r="M32">
            <v>2.17</v>
          </cell>
          <cell r="N32">
            <v>19930210</v>
          </cell>
        </row>
        <row r="33">
          <cell r="A33" t="str">
            <v>SCG</v>
          </cell>
          <cell r="B33" t="str">
            <v>SCG</v>
          </cell>
          <cell r="C33" t="str">
            <v>SCANA CP</v>
          </cell>
          <cell r="D33">
            <v>19921217</v>
          </cell>
          <cell r="E33" t="str">
            <v>EPS</v>
          </cell>
          <cell r="F33" t="str">
            <v>ANN</v>
          </cell>
          <cell r="G33">
            <v>1</v>
          </cell>
          <cell r="H33">
            <v>18</v>
          </cell>
          <cell r="I33">
            <v>1.52</v>
          </cell>
          <cell r="J33">
            <v>1.54</v>
          </cell>
          <cell r="K33">
            <v>1</v>
          </cell>
          <cell r="L33">
            <v>19921231</v>
          </cell>
          <cell r="M33">
            <v>1.5349999999999999</v>
          </cell>
          <cell r="N33">
            <v>19930216</v>
          </cell>
        </row>
        <row r="34">
          <cell r="A34" t="str">
            <v>SO</v>
          </cell>
          <cell r="B34" t="str">
            <v>SO</v>
          </cell>
          <cell r="C34" t="str">
            <v>SOUTHN CO</v>
          </cell>
          <cell r="D34">
            <v>19921217</v>
          </cell>
          <cell r="E34" t="str">
            <v>EPS</v>
          </cell>
          <cell r="F34" t="str">
            <v>ANN</v>
          </cell>
          <cell r="G34">
            <v>1</v>
          </cell>
          <cell r="H34">
            <v>25</v>
          </cell>
          <cell r="I34">
            <v>1.5</v>
          </cell>
          <cell r="J34">
            <v>1.49</v>
          </cell>
          <cell r="K34">
            <v>1</v>
          </cell>
          <cell r="L34">
            <v>19921231</v>
          </cell>
          <cell r="M34">
            <v>1.49</v>
          </cell>
          <cell r="N34">
            <v>19930118</v>
          </cell>
        </row>
        <row r="35">
          <cell r="A35" t="str">
            <v>TE</v>
          </cell>
          <cell r="B35" t="str">
            <v>TE</v>
          </cell>
          <cell r="C35" t="str">
            <v>TECO ENERGY INC</v>
          </cell>
          <cell r="D35">
            <v>19921217</v>
          </cell>
          <cell r="E35" t="str">
            <v>EPS</v>
          </cell>
          <cell r="F35" t="str">
            <v>ANN</v>
          </cell>
          <cell r="G35">
            <v>1</v>
          </cell>
          <cell r="H35">
            <v>21</v>
          </cell>
          <cell r="I35">
            <v>1.29</v>
          </cell>
          <cell r="J35">
            <v>1.29</v>
          </cell>
          <cell r="K35">
            <v>1</v>
          </cell>
          <cell r="L35">
            <v>19921231</v>
          </cell>
          <cell r="M35">
            <v>1.3</v>
          </cell>
          <cell r="N35">
            <v>19930118</v>
          </cell>
        </row>
        <row r="36">
          <cell r="A36" t="str">
            <v>UIL</v>
          </cell>
          <cell r="B36" t="str">
            <v>UIL</v>
          </cell>
          <cell r="C36" t="str">
            <v>UTD ILLUM CO</v>
          </cell>
          <cell r="D36">
            <v>19921217</v>
          </cell>
          <cell r="E36" t="str">
            <v>EPS</v>
          </cell>
          <cell r="F36" t="str">
            <v>ANN</v>
          </cell>
          <cell r="G36">
            <v>1</v>
          </cell>
          <cell r="H36">
            <v>10</v>
          </cell>
          <cell r="I36">
            <v>1.93</v>
          </cell>
          <cell r="J36">
            <v>1.99</v>
          </cell>
          <cell r="K36">
            <v>1</v>
          </cell>
          <cell r="L36">
            <v>19921231</v>
          </cell>
          <cell r="M36">
            <v>2.0579999999999998</v>
          </cell>
          <cell r="N36">
            <v>19930125</v>
          </cell>
        </row>
        <row r="37">
          <cell r="A37" t="str">
            <v>WEC</v>
          </cell>
          <cell r="B37" t="str">
            <v>WPC</v>
          </cell>
          <cell r="C37" t="str">
            <v>WISCONSIN ENERGY</v>
          </cell>
          <cell r="D37">
            <v>19921217</v>
          </cell>
          <cell r="E37" t="str">
            <v>EPS</v>
          </cell>
          <cell r="F37" t="str">
            <v>ANN</v>
          </cell>
          <cell r="G37">
            <v>1</v>
          </cell>
          <cell r="H37">
            <v>25</v>
          </cell>
          <cell r="I37">
            <v>0.88</v>
          </cell>
          <cell r="J37">
            <v>0.89</v>
          </cell>
          <cell r="K37">
            <v>1</v>
          </cell>
          <cell r="L37">
            <v>19921231</v>
          </cell>
          <cell r="M37">
            <v>0.83499999999999996</v>
          </cell>
          <cell r="N37">
            <v>19930127</v>
          </cell>
        </row>
        <row r="38">
          <cell r="A38" t="str">
            <v>WPS</v>
          </cell>
          <cell r="B38" t="str">
            <v>WPS</v>
          </cell>
          <cell r="C38" t="str">
            <v>WISC PUB SVC</v>
          </cell>
          <cell r="D38">
            <v>19921217</v>
          </cell>
          <cell r="E38" t="str">
            <v>EPS</v>
          </cell>
          <cell r="F38" t="str">
            <v>ANN</v>
          </cell>
          <cell r="G38">
            <v>1</v>
          </cell>
          <cell r="H38">
            <v>11</v>
          </cell>
          <cell r="I38">
            <v>2.25</v>
          </cell>
          <cell r="J38">
            <v>2.2200000000000002</v>
          </cell>
          <cell r="K38">
            <v>1</v>
          </cell>
          <cell r="L38">
            <v>19921231</v>
          </cell>
          <cell r="M38">
            <v>2.35</v>
          </cell>
          <cell r="N38">
            <v>19930127</v>
          </cell>
        </row>
        <row r="39">
          <cell r="A39" t="str">
            <v>AGR</v>
          </cell>
          <cell r="B39" t="str">
            <v>AGR1</v>
          </cell>
          <cell r="C39" t="str">
            <v>AGRA INDS INC</v>
          </cell>
          <cell r="D39">
            <v>19921217</v>
          </cell>
          <cell r="E39" t="str">
            <v>EPS</v>
          </cell>
          <cell r="F39" t="str">
            <v>ANN</v>
          </cell>
          <cell r="G39">
            <v>1</v>
          </cell>
          <cell r="H39">
            <v>1</v>
          </cell>
          <cell r="I39">
            <v>0.62</v>
          </cell>
          <cell r="J39">
            <v>0.62</v>
          </cell>
          <cell r="K39">
            <v>0</v>
          </cell>
          <cell r="L39">
            <v>19930731</v>
          </cell>
          <cell r="M39">
            <v>0.36</v>
          </cell>
          <cell r="N39">
            <v>19931230</v>
          </cell>
        </row>
        <row r="40">
          <cell r="A40" t="str">
            <v>FPL</v>
          </cell>
          <cell r="B40" t="str">
            <v>FPI1</v>
          </cell>
          <cell r="C40" t="str">
            <v>FPI LTD</v>
          </cell>
          <cell r="D40">
            <v>19921217</v>
          </cell>
          <cell r="E40" t="str">
            <v>EPS</v>
          </cell>
          <cell r="F40" t="str">
            <v>ANN</v>
          </cell>
          <cell r="G40">
            <v>1</v>
          </cell>
          <cell r="H40">
            <v>2</v>
          </cell>
          <cell r="I40">
            <v>-0.33</v>
          </cell>
          <cell r="J40">
            <v>-0.33</v>
          </cell>
          <cell r="K40">
            <v>0</v>
          </cell>
          <cell r="L40">
            <v>19921231</v>
          </cell>
          <cell r="M40">
            <v>-4.09</v>
          </cell>
          <cell r="N40">
            <v>19930222</v>
          </cell>
        </row>
      </sheetData>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RDS"/>
    </sheetNames>
    <sheetDataSet>
      <sheetData sheetId="0">
        <row r="1">
          <cell r="A1" t="str">
            <v>OFTIC</v>
          </cell>
          <cell r="B1" t="str">
            <v>IBES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USFIRM=0 if from .INT file and USFIRM=1 if from .US file</v>
          </cell>
          <cell r="M1" t="str">
            <v>Forecast Period End Date (SAS Format)</v>
          </cell>
          <cell r="N1" t="str">
            <v>Actual Value, from the Detail Actuals File</v>
          </cell>
          <cell r="O1" t="str">
            <v>Announce date of the Actual, from the Detail Actuals File</v>
          </cell>
        </row>
        <row r="2">
          <cell r="A2" t="str">
            <v>AEE</v>
          </cell>
          <cell r="B2" t="str">
            <v>AEE</v>
          </cell>
          <cell r="C2" t="str">
            <v>AILEEN INC</v>
          </cell>
          <cell r="D2">
            <v>19921217</v>
          </cell>
          <cell r="E2" t="str">
            <v>EPS</v>
          </cell>
          <cell r="F2" t="str">
            <v>LTG</v>
          </cell>
          <cell r="G2">
            <v>0</v>
          </cell>
          <cell r="H2">
            <v>1</v>
          </cell>
          <cell r="I2">
            <v>20</v>
          </cell>
          <cell r="J2">
            <v>20</v>
          </cell>
          <cell r="L2">
            <v>1</v>
          </cell>
        </row>
        <row r="3">
          <cell r="A3" t="str">
            <v>AVA</v>
          </cell>
          <cell r="B3" t="str">
            <v>AVDO</v>
          </cell>
          <cell r="C3" t="str">
            <v>AUDIO VIDEO AFFI</v>
          </cell>
          <cell r="D3">
            <v>19921217</v>
          </cell>
          <cell r="E3" t="str">
            <v>EPS</v>
          </cell>
          <cell r="F3" t="str">
            <v>LTG</v>
          </cell>
          <cell r="G3">
            <v>0</v>
          </cell>
          <cell r="H3">
            <v>1</v>
          </cell>
          <cell r="I3">
            <v>15</v>
          </cell>
          <cell r="J3">
            <v>15</v>
          </cell>
          <cell r="L3">
            <v>1</v>
          </cell>
        </row>
        <row r="4">
          <cell r="A4" t="str">
            <v>PNW</v>
          </cell>
          <cell r="B4" t="str">
            <v>AZP</v>
          </cell>
          <cell r="C4" t="str">
            <v>PINNACLE WST CAP</v>
          </cell>
          <cell r="D4">
            <v>19921217</v>
          </cell>
          <cell r="E4" t="str">
            <v>EPS</v>
          </cell>
          <cell r="F4" t="str">
            <v>LTG</v>
          </cell>
          <cell r="G4">
            <v>0</v>
          </cell>
          <cell r="H4">
            <v>7</v>
          </cell>
          <cell r="I4">
            <v>10</v>
          </cell>
          <cell r="J4">
            <v>12.86</v>
          </cell>
          <cell r="K4">
            <v>7.92</v>
          </cell>
          <cell r="L4">
            <v>1</v>
          </cell>
        </row>
        <row r="5">
          <cell r="A5" t="str">
            <v>BKH</v>
          </cell>
          <cell r="B5" t="str">
            <v>BHP</v>
          </cell>
          <cell r="C5" t="str">
            <v>BLACK HILLS CORP</v>
          </cell>
          <cell r="D5">
            <v>19921217</v>
          </cell>
          <cell r="E5" t="str">
            <v>EPS</v>
          </cell>
          <cell r="F5" t="str">
            <v>LTG</v>
          </cell>
          <cell r="G5">
            <v>0</v>
          </cell>
          <cell r="H5">
            <v>3</v>
          </cell>
          <cell r="I5">
            <v>3</v>
          </cell>
          <cell r="J5">
            <v>4</v>
          </cell>
          <cell r="K5">
            <v>2.65</v>
          </cell>
          <cell r="L5">
            <v>1</v>
          </cell>
        </row>
        <row r="6">
          <cell r="A6" t="str">
            <v>CIN</v>
          </cell>
          <cell r="B6" t="str">
            <v>CIN</v>
          </cell>
          <cell r="C6" t="str">
            <v>CINN GAS &amp; EL</v>
          </cell>
          <cell r="D6">
            <v>19921217</v>
          </cell>
          <cell r="E6" t="str">
            <v>EPS</v>
          </cell>
          <cell r="F6" t="str">
            <v>LTG</v>
          </cell>
          <cell r="G6">
            <v>0</v>
          </cell>
          <cell r="H6">
            <v>9</v>
          </cell>
          <cell r="I6">
            <v>2</v>
          </cell>
          <cell r="J6">
            <v>2.0099999999999998</v>
          </cell>
          <cell r="K6">
            <v>1.25</v>
          </cell>
          <cell r="L6">
            <v>1</v>
          </cell>
        </row>
        <row r="7">
          <cell r="A7" t="str">
            <v>CMS</v>
          </cell>
          <cell r="B7" t="str">
            <v>CMS</v>
          </cell>
          <cell r="C7" t="str">
            <v>CMS ENERGY CORP</v>
          </cell>
          <cell r="D7">
            <v>19921217</v>
          </cell>
          <cell r="E7" t="str">
            <v>EPS</v>
          </cell>
          <cell r="F7" t="str">
            <v>LTG</v>
          </cell>
          <cell r="G7">
            <v>0</v>
          </cell>
          <cell r="H7">
            <v>7</v>
          </cell>
          <cell r="I7">
            <v>2</v>
          </cell>
          <cell r="J7">
            <v>3.64</v>
          </cell>
          <cell r="K7">
            <v>3.77</v>
          </cell>
          <cell r="L7">
            <v>1</v>
          </cell>
        </row>
        <row r="8">
          <cell r="A8" t="str">
            <v>CNL</v>
          </cell>
          <cell r="B8" t="str">
            <v>CNL</v>
          </cell>
          <cell r="C8" t="str">
            <v>CENT LA ELEC INC</v>
          </cell>
          <cell r="D8">
            <v>19921217</v>
          </cell>
          <cell r="E8" t="str">
            <v>EPS</v>
          </cell>
          <cell r="F8" t="str">
            <v>LTG</v>
          </cell>
          <cell r="G8">
            <v>0</v>
          </cell>
          <cell r="H8">
            <v>4</v>
          </cell>
          <cell r="I8">
            <v>3.25</v>
          </cell>
          <cell r="J8">
            <v>3.22</v>
          </cell>
          <cell r="K8">
            <v>1.79</v>
          </cell>
          <cell r="L8">
            <v>1</v>
          </cell>
        </row>
        <row r="9">
          <cell r="A9" t="str">
            <v>CV</v>
          </cell>
          <cell r="B9" t="str">
            <v>CV</v>
          </cell>
          <cell r="C9" t="str">
            <v>CNTRL VT PUB SVC</v>
          </cell>
          <cell r="D9">
            <v>19921217</v>
          </cell>
          <cell r="E9" t="str">
            <v>EPS</v>
          </cell>
          <cell r="F9" t="str">
            <v>LTG</v>
          </cell>
          <cell r="G9">
            <v>0</v>
          </cell>
          <cell r="H9">
            <v>3</v>
          </cell>
          <cell r="I9">
            <v>3</v>
          </cell>
          <cell r="J9">
            <v>2.83</v>
          </cell>
          <cell r="K9">
            <v>0.76</v>
          </cell>
          <cell r="L9">
            <v>1</v>
          </cell>
        </row>
        <row r="10">
          <cell r="A10" t="str">
            <v>D</v>
          </cell>
          <cell r="B10" t="str">
            <v>D</v>
          </cell>
          <cell r="C10" t="str">
            <v>DOMINION RES INC</v>
          </cell>
          <cell r="D10">
            <v>19921217</v>
          </cell>
          <cell r="E10" t="str">
            <v>EPS</v>
          </cell>
          <cell r="F10" t="str">
            <v>LTG</v>
          </cell>
          <cell r="G10">
            <v>0</v>
          </cell>
          <cell r="H10">
            <v>14</v>
          </cell>
          <cell r="I10">
            <v>3.2</v>
          </cell>
          <cell r="J10">
            <v>3.99</v>
          </cell>
          <cell r="K10">
            <v>2.17</v>
          </cell>
          <cell r="L10">
            <v>1</v>
          </cell>
        </row>
        <row r="11">
          <cell r="A11" t="str">
            <v>DPL</v>
          </cell>
          <cell r="B11" t="str">
            <v>DPL</v>
          </cell>
          <cell r="C11" t="str">
            <v>DPL INC</v>
          </cell>
          <cell r="D11">
            <v>19921217</v>
          </cell>
          <cell r="E11" t="str">
            <v>EPS</v>
          </cell>
          <cell r="F11" t="str">
            <v>LTG</v>
          </cell>
          <cell r="G11">
            <v>0</v>
          </cell>
          <cell r="H11">
            <v>8</v>
          </cell>
          <cell r="I11">
            <v>2.5</v>
          </cell>
          <cell r="J11">
            <v>3.63</v>
          </cell>
          <cell r="K11">
            <v>2.67</v>
          </cell>
          <cell r="L11">
            <v>1</v>
          </cell>
        </row>
        <row r="12">
          <cell r="A12" t="str">
            <v>DTE</v>
          </cell>
          <cell r="B12" t="str">
            <v>DTE</v>
          </cell>
          <cell r="C12" t="str">
            <v>DETROIT EDISON</v>
          </cell>
          <cell r="D12">
            <v>19921217</v>
          </cell>
          <cell r="E12" t="str">
            <v>EPS</v>
          </cell>
          <cell r="F12" t="str">
            <v>LTG</v>
          </cell>
          <cell r="G12">
            <v>0</v>
          </cell>
          <cell r="H12">
            <v>8</v>
          </cell>
          <cell r="I12">
            <v>3</v>
          </cell>
          <cell r="J12">
            <v>2.89</v>
          </cell>
          <cell r="K12">
            <v>1.23</v>
          </cell>
          <cell r="L12">
            <v>1</v>
          </cell>
        </row>
        <row r="13">
          <cell r="A13" t="str">
            <v>DUK</v>
          </cell>
          <cell r="B13" t="str">
            <v>DUK</v>
          </cell>
          <cell r="C13" t="str">
            <v>DUKE POWER CO</v>
          </cell>
          <cell r="D13">
            <v>19921217</v>
          </cell>
          <cell r="E13" t="str">
            <v>EPS</v>
          </cell>
          <cell r="F13" t="str">
            <v>LTG</v>
          </cell>
          <cell r="G13">
            <v>0</v>
          </cell>
          <cell r="H13">
            <v>13</v>
          </cell>
          <cell r="I13">
            <v>4</v>
          </cell>
          <cell r="J13">
            <v>4.13</v>
          </cell>
          <cell r="K13">
            <v>0.76</v>
          </cell>
          <cell r="L13">
            <v>1</v>
          </cell>
        </row>
        <row r="14">
          <cell r="A14" t="str">
            <v>ED</v>
          </cell>
          <cell r="B14" t="str">
            <v>ED</v>
          </cell>
          <cell r="C14" t="str">
            <v>CONSOL EDISON</v>
          </cell>
          <cell r="D14">
            <v>19921217</v>
          </cell>
          <cell r="E14" t="str">
            <v>EPS</v>
          </cell>
          <cell r="F14" t="str">
            <v>LTG</v>
          </cell>
          <cell r="G14">
            <v>0</v>
          </cell>
          <cell r="H14">
            <v>11</v>
          </cell>
          <cell r="I14">
            <v>3</v>
          </cell>
          <cell r="J14">
            <v>2.96</v>
          </cell>
          <cell r="K14">
            <v>0.74</v>
          </cell>
          <cell r="L14">
            <v>1</v>
          </cell>
        </row>
        <row r="15">
          <cell r="A15" t="str">
            <v>EDE</v>
          </cell>
          <cell r="B15" t="str">
            <v>EDE</v>
          </cell>
          <cell r="C15" t="str">
            <v>EMPIRE DIST ELEC</v>
          </cell>
          <cell r="D15">
            <v>19921217</v>
          </cell>
          <cell r="E15" t="str">
            <v>EPS</v>
          </cell>
          <cell r="F15" t="str">
            <v>LTG</v>
          </cell>
          <cell r="G15">
            <v>0</v>
          </cell>
          <cell r="H15">
            <v>2</v>
          </cell>
          <cell r="I15">
            <v>3.1</v>
          </cell>
          <cell r="J15">
            <v>3.1</v>
          </cell>
          <cell r="K15">
            <v>1.27</v>
          </cell>
          <cell r="L15">
            <v>1</v>
          </cell>
        </row>
        <row r="16">
          <cell r="A16" t="str">
            <v>EXC</v>
          </cell>
          <cell r="B16" t="str">
            <v>EXC</v>
          </cell>
          <cell r="C16" t="str">
            <v>EXCEL INDS INC</v>
          </cell>
          <cell r="D16">
            <v>19921217</v>
          </cell>
          <cell r="E16" t="str">
            <v>EPS</v>
          </cell>
          <cell r="F16" t="str">
            <v>LTG</v>
          </cell>
          <cell r="G16">
            <v>0</v>
          </cell>
          <cell r="H16">
            <v>2</v>
          </cell>
          <cell r="I16">
            <v>12</v>
          </cell>
          <cell r="J16">
            <v>12</v>
          </cell>
          <cell r="K16">
            <v>4.24</v>
          </cell>
          <cell r="L16">
            <v>1</v>
          </cell>
        </row>
        <row r="17">
          <cell r="A17" t="str">
            <v>FPL</v>
          </cell>
          <cell r="B17" t="str">
            <v>FPL</v>
          </cell>
          <cell r="C17" t="str">
            <v>FPL GROUP</v>
          </cell>
          <cell r="D17">
            <v>19921217</v>
          </cell>
          <cell r="E17" t="str">
            <v>EPS</v>
          </cell>
          <cell r="F17" t="str">
            <v>LTG</v>
          </cell>
          <cell r="G17">
            <v>0</v>
          </cell>
          <cell r="H17">
            <v>16</v>
          </cell>
          <cell r="I17">
            <v>3</v>
          </cell>
          <cell r="J17">
            <v>3.22</v>
          </cell>
          <cell r="K17">
            <v>1.56</v>
          </cell>
          <cell r="L17">
            <v>1</v>
          </cell>
        </row>
        <row r="18">
          <cell r="A18" t="str">
            <v>HE</v>
          </cell>
          <cell r="B18" t="str">
            <v>HE</v>
          </cell>
          <cell r="C18" t="str">
            <v>HAWAIIAN ELEC</v>
          </cell>
          <cell r="D18">
            <v>19921217</v>
          </cell>
          <cell r="E18" t="str">
            <v>EPS</v>
          </cell>
          <cell r="F18" t="str">
            <v>LTG</v>
          </cell>
          <cell r="G18">
            <v>0</v>
          </cell>
          <cell r="H18">
            <v>3</v>
          </cell>
          <cell r="I18">
            <v>4</v>
          </cell>
          <cell r="J18">
            <v>5.33</v>
          </cell>
          <cell r="K18">
            <v>3.21</v>
          </cell>
          <cell r="L18">
            <v>1</v>
          </cell>
        </row>
        <row r="19">
          <cell r="A19" t="str">
            <v>IDA</v>
          </cell>
          <cell r="B19" t="str">
            <v>IDA</v>
          </cell>
          <cell r="C19" t="str">
            <v>IDAHO POWER CO</v>
          </cell>
          <cell r="D19">
            <v>19921217</v>
          </cell>
          <cell r="E19" t="str">
            <v>EPS</v>
          </cell>
          <cell r="F19" t="str">
            <v>LTG</v>
          </cell>
          <cell r="G19">
            <v>0</v>
          </cell>
          <cell r="H19">
            <v>8</v>
          </cell>
          <cell r="I19">
            <v>6.5</v>
          </cell>
          <cell r="J19">
            <v>6.22</v>
          </cell>
          <cell r="K19">
            <v>2.84</v>
          </cell>
          <cell r="L19">
            <v>1</v>
          </cell>
        </row>
        <row r="20">
          <cell r="A20" t="str">
            <v>WR</v>
          </cell>
          <cell r="B20" t="str">
            <v>KAN</v>
          </cell>
          <cell r="C20" t="str">
            <v>WESTN RESOURCES</v>
          </cell>
          <cell r="D20">
            <v>19921217</v>
          </cell>
          <cell r="E20" t="str">
            <v>EPS</v>
          </cell>
          <cell r="F20" t="str">
            <v>LTG</v>
          </cell>
          <cell r="G20">
            <v>0</v>
          </cell>
          <cell r="H20">
            <v>10</v>
          </cell>
          <cell r="I20">
            <v>5</v>
          </cell>
          <cell r="J20">
            <v>6.05</v>
          </cell>
          <cell r="K20">
            <v>3.17</v>
          </cell>
          <cell r="L20">
            <v>1</v>
          </cell>
        </row>
        <row r="21">
          <cell r="A21" t="str">
            <v>ETR</v>
          </cell>
          <cell r="B21" t="str">
            <v>MSU</v>
          </cell>
          <cell r="C21" t="str">
            <v>ENTERGY CP</v>
          </cell>
          <cell r="D21">
            <v>19921217</v>
          </cell>
          <cell r="E21" t="str">
            <v>EPS</v>
          </cell>
          <cell r="F21" t="str">
            <v>LTG</v>
          </cell>
          <cell r="G21">
            <v>0</v>
          </cell>
          <cell r="H21">
            <v>12</v>
          </cell>
          <cell r="I21">
            <v>4.5</v>
          </cell>
          <cell r="J21">
            <v>4.43</v>
          </cell>
          <cell r="K21">
            <v>1.48</v>
          </cell>
          <cell r="L21">
            <v>1</v>
          </cell>
        </row>
        <row r="22">
          <cell r="A22" t="str">
            <v>NU</v>
          </cell>
          <cell r="B22" t="str">
            <v>NU</v>
          </cell>
          <cell r="C22" t="str">
            <v>NORTHEAST UTILS</v>
          </cell>
          <cell r="D22">
            <v>19921217</v>
          </cell>
          <cell r="E22" t="str">
            <v>EPS</v>
          </cell>
          <cell r="F22" t="str">
            <v>LTG</v>
          </cell>
          <cell r="G22">
            <v>0</v>
          </cell>
          <cell r="H22">
            <v>11</v>
          </cell>
          <cell r="I22">
            <v>3</v>
          </cell>
          <cell r="J22">
            <v>2.98</v>
          </cell>
          <cell r="K22">
            <v>1.76</v>
          </cell>
          <cell r="L22">
            <v>1</v>
          </cell>
        </row>
        <row r="23">
          <cell r="A23" t="str">
            <v>OGE</v>
          </cell>
          <cell r="B23" t="str">
            <v>OGE</v>
          </cell>
          <cell r="C23" t="str">
            <v>OKLAHOMA G&amp;E</v>
          </cell>
          <cell r="D23">
            <v>19921217</v>
          </cell>
          <cell r="E23" t="str">
            <v>EPS</v>
          </cell>
          <cell r="F23" t="str">
            <v>LTG</v>
          </cell>
          <cell r="G23">
            <v>0</v>
          </cell>
          <cell r="H23">
            <v>9</v>
          </cell>
          <cell r="I23">
            <v>3</v>
          </cell>
          <cell r="J23">
            <v>2.68</v>
          </cell>
          <cell r="K23">
            <v>1.07</v>
          </cell>
          <cell r="L23">
            <v>1</v>
          </cell>
        </row>
        <row r="24">
          <cell r="A24" t="str">
            <v>OTTR</v>
          </cell>
          <cell r="B24" t="str">
            <v>OTTR</v>
          </cell>
          <cell r="C24" t="str">
            <v>OTTER TAIL PWR</v>
          </cell>
          <cell r="D24">
            <v>19921217</v>
          </cell>
          <cell r="E24" t="str">
            <v>EPS</v>
          </cell>
          <cell r="F24" t="str">
            <v>LTG</v>
          </cell>
          <cell r="G24">
            <v>0</v>
          </cell>
          <cell r="H24">
            <v>3</v>
          </cell>
          <cell r="I24">
            <v>3</v>
          </cell>
          <cell r="J24">
            <v>2.67</v>
          </cell>
          <cell r="K24">
            <v>0.57999999999999996</v>
          </cell>
          <cell r="L24">
            <v>1</v>
          </cell>
        </row>
        <row r="25">
          <cell r="A25" t="str">
            <v>PCG</v>
          </cell>
          <cell r="B25" t="str">
            <v>PCG</v>
          </cell>
          <cell r="C25" t="str">
            <v>PACIFIC G&amp;E</v>
          </cell>
          <cell r="D25">
            <v>19921217</v>
          </cell>
          <cell r="E25" t="str">
            <v>EPS</v>
          </cell>
          <cell r="F25" t="str">
            <v>LTG</v>
          </cell>
          <cell r="G25">
            <v>0</v>
          </cell>
          <cell r="H25">
            <v>14</v>
          </cell>
          <cell r="I25">
            <v>6.5</v>
          </cell>
          <cell r="J25">
            <v>6.48</v>
          </cell>
          <cell r="K25">
            <v>1.68</v>
          </cell>
          <cell r="L25">
            <v>1</v>
          </cell>
        </row>
        <row r="26">
          <cell r="A26" t="str">
            <v>PEG</v>
          </cell>
          <cell r="B26" t="str">
            <v>PEG</v>
          </cell>
          <cell r="C26" t="str">
            <v>PUB SVC ENTERS</v>
          </cell>
          <cell r="D26">
            <v>19921217</v>
          </cell>
          <cell r="E26" t="str">
            <v>EPS</v>
          </cell>
          <cell r="F26" t="str">
            <v>LTG</v>
          </cell>
          <cell r="G26">
            <v>0</v>
          </cell>
          <cell r="H26">
            <v>14</v>
          </cell>
          <cell r="I26">
            <v>2.5</v>
          </cell>
          <cell r="J26">
            <v>2.69</v>
          </cell>
          <cell r="K26">
            <v>1.23</v>
          </cell>
          <cell r="L26">
            <v>1</v>
          </cell>
        </row>
        <row r="27">
          <cell r="A27" t="str">
            <v>PGN</v>
          </cell>
          <cell r="B27" t="str">
            <v>PGN</v>
          </cell>
          <cell r="C27" t="str">
            <v>PORTLAND GEN CP</v>
          </cell>
          <cell r="D27">
            <v>19921217</v>
          </cell>
          <cell r="E27" t="str">
            <v>EPS</v>
          </cell>
          <cell r="F27" t="str">
            <v>LTG</v>
          </cell>
          <cell r="G27">
            <v>0</v>
          </cell>
          <cell r="H27">
            <v>7</v>
          </cell>
          <cell r="I27">
            <v>3.5</v>
          </cell>
          <cell r="J27">
            <v>4.17</v>
          </cell>
          <cell r="K27">
            <v>3.38</v>
          </cell>
          <cell r="L27">
            <v>1</v>
          </cell>
        </row>
        <row r="28">
          <cell r="A28" t="str">
            <v>PNM</v>
          </cell>
          <cell r="B28" t="str">
            <v>PNM</v>
          </cell>
          <cell r="C28" t="str">
            <v>PUB SVC N MEX</v>
          </cell>
          <cell r="D28">
            <v>19921217</v>
          </cell>
          <cell r="E28" t="str">
            <v>EPS</v>
          </cell>
          <cell r="F28" t="str">
            <v>LTG</v>
          </cell>
          <cell r="G28">
            <v>0</v>
          </cell>
          <cell r="H28">
            <v>6</v>
          </cell>
          <cell r="I28">
            <v>25</v>
          </cell>
          <cell r="J28">
            <v>19.579999999999998</v>
          </cell>
          <cell r="K28">
            <v>12.11</v>
          </cell>
          <cell r="L28">
            <v>1</v>
          </cell>
        </row>
        <row r="29">
          <cell r="A29" t="str">
            <v>POM</v>
          </cell>
          <cell r="B29" t="str">
            <v>POM</v>
          </cell>
          <cell r="C29" t="str">
            <v>POTOMAC ELEC</v>
          </cell>
          <cell r="D29">
            <v>19921217</v>
          </cell>
          <cell r="E29" t="str">
            <v>EPS</v>
          </cell>
          <cell r="F29" t="str">
            <v>LTG</v>
          </cell>
          <cell r="G29">
            <v>0</v>
          </cell>
          <cell r="H29">
            <v>13</v>
          </cell>
          <cell r="I29">
            <v>3</v>
          </cell>
          <cell r="J29">
            <v>3.12</v>
          </cell>
          <cell r="K29">
            <v>1.43</v>
          </cell>
          <cell r="L29">
            <v>1</v>
          </cell>
        </row>
        <row r="30">
          <cell r="A30" t="str">
            <v>PPL</v>
          </cell>
          <cell r="B30" t="str">
            <v>PPL</v>
          </cell>
          <cell r="C30" t="str">
            <v>PENNA P&amp;L</v>
          </cell>
          <cell r="D30">
            <v>19921217</v>
          </cell>
          <cell r="E30" t="str">
            <v>EPS</v>
          </cell>
          <cell r="F30" t="str">
            <v>LTG</v>
          </cell>
          <cell r="G30">
            <v>0</v>
          </cell>
          <cell r="H30">
            <v>10</v>
          </cell>
          <cell r="I30">
            <v>3</v>
          </cell>
          <cell r="J30">
            <v>3.01</v>
          </cell>
          <cell r="K30">
            <v>0.95</v>
          </cell>
          <cell r="L30">
            <v>1</v>
          </cell>
        </row>
        <row r="31">
          <cell r="A31" t="str">
            <v>PSD</v>
          </cell>
          <cell r="B31" t="str">
            <v>PSD</v>
          </cell>
          <cell r="C31" t="str">
            <v>PUGET SOUND P&amp;L</v>
          </cell>
          <cell r="D31">
            <v>19921217</v>
          </cell>
          <cell r="E31" t="str">
            <v>EPS</v>
          </cell>
          <cell r="F31" t="str">
            <v>LTG</v>
          </cell>
          <cell r="G31">
            <v>0</v>
          </cell>
          <cell r="H31">
            <v>6</v>
          </cell>
          <cell r="I31">
            <v>2.0499999999999998</v>
          </cell>
          <cell r="J31">
            <v>2.1800000000000002</v>
          </cell>
          <cell r="K31">
            <v>1.17</v>
          </cell>
          <cell r="L31">
            <v>1</v>
          </cell>
        </row>
        <row r="32">
          <cell r="A32" t="str">
            <v>SCG</v>
          </cell>
          <cell r="B32" t="str">
            <v>SCG</v>
          </cell>
          <cell r="C32" t="str">
            <v>SCANA CP</v>
          </cell>
          <cell r="D32">
            <v>19921217</v>
          </cell>
          <cell r="E32" t="str">
            <v>EPS</v>
          </cell>
          <cell r="F32" t="str">
            <v>LTG</v>
          </cell>
          <cell r="G32">
            <v>0</v>
          </cell>
          <cell r="H32">
            <v>8</v>
          </cell>
          <cell r="I32">
            <v>3</v>
          </cell>
          <cell r="J32">
            <v>3.13</v>
          </cell>
          <cell r="K32">
            <v>0.64</v>
          </cell>
          <cell r="L32">
            <v>1</v>
          </cell>
        </row>
        <row r="33">
          <cell r="A33" t="str">
            <v>SO</v>
          </cell>
          <cell r="B33" t="str">
            <v>SO</v>
          </cell>
          <cell r="C33" t="str">
            <v>SOUTHN CO</v>
          </cell>
          <cell r="D33">
            <v>19921217</v>
          </cell>
          <cell r="E33" t="str">
            <v>EPS</v>
          </cell>
          <cell r="F33" t="str">
            <v>LTG</v>
          </cell>
          <cell r="G33">
            <v>0</v>
          </cell>
          <cell r="H33">
            <v>14</v>
          </cell>
          <cell r="I33">
            <v>3</v>
          </cell>
          <cell r="J33">
            <v>3.8</v>
          </cell>
          <cell r="K33">
            <v>1.91</v>
          </cell>
          <cell r="L33">
            <v>1</v>
          </cell>
        </row>
        <row r="34">
          <cell r="A34" t="str">
            <v>TE</v>
          </cell>
          <cell r="B34" t="str">
            <v>TE</v>
          </cell>
          <cell r="C34" t="str">
            <v>TECO ENERGY INC</v>
          </cell>
          <cell r="D34">
            <v>19921217</v>
          </cell>
          <cell r="E34" t="str">
            <v>EPS</v>
          </cell>
          <cell r="F34" t="str">
            <v>LTG</v>
          </cell>
          <cell r="G34">
            <v>0</v>
          </cell>
          <cell r="H34">
            <v>12</v>
          </cell>
          <cell r="I34">
            <v>5</v>
          </cell>
          <cell r="J34">
            <v>5.37</v>
          </cell>
          <cell r="K34">
            <v>0.93</v>
          </cell>
          <cell r="L34">
            <v>1</v>
          </cell>
        </row>
        <row r="35">
          <cell r="A35" t="str">
            <v>UIL</v>
          </cell>
          <cell r="B35" t="str">
            <v>UIL</v>
          </cell>
          <cell r="C35" t="str">
            <v>UTD ILLUM CO</v>
          </cell>
          <cell r="D35">
            <v>19921217</v>
          </cell>
          <cell r="E35" t="str">
            <v>EPS</v>
          </cell>
          <cell r="F35" t="str">
            <v>LTG</v>
          </cell>
          <cell r="G35">
            <v>0</v>
          </cell>
          <cell r="H35">
            <v>5</v>
          </cell>
          <cell r="I35">
            <v>4</v>
          </cell>
          <cell r="J35">
            <v>3.7</v>
          </cell>
          <cell r="K35">
            <v>1.48</v>
          </cell>
          <cell r="L35">
            <v>1</v>
          </cell>
        </row>
        <row r="36">
          <cell r="A36" t="str">
            <v>WEC</v>
          </cell>
          <cell r="B36" t="str">
            <v>WPC</v>
          </cell>
          <cell r="C36" t="str">
            <v>WISCONSIN ENERGY</v>
          </cell>
          <cell r="D36">
            <v>19921217</v>
          </cell>
          <cell r="E36" t="str">
            <v>EPS</v>
          </cell>
          <cell r="F36" t="str">
            <v>LTG</v>
          </cell>
          <cell r="G36">
            <v>0</v>
          </cell>
          <cell r="H36">
            <v>15</v>
          </cell>
          <cell r="I36">
            <v>4.4000000000000004</v>
          </cell>
          <cell r="J36">
            <v>4.1500000000000004</v>
          </cell>
          <cell r="K36">
            <v>1.24</v>
          </cell>
          <cell r="L36">
            <v>1</v>
          </cell>
        </row>
        <row r="37">
          <cell r="A37" t="str">
            <v>WPS</v>
          </cell>
          <cell r="B37" t="str">
            <v>WPS</v>
          </cell>
          <cell r="C37" t="str">
            <v>WISC PUB SVC</v>
          </cell>
          <cell r="D37">
            <v>19921217</v>
          </cell>
          <cell r="E37" t="str">
            <v>EPS</v>
          </cell>
          <cell r="F37" t="str">
            <v>LTG</v>
          </cell>
          <cell r="G37">
            <v>0</v>
          </cell>
          <cell r="H37">
            <v>6</v>
          </cell>
          <cell r="I37">
            <v>2.5</v>
          </cell>
          <cell r="J37">
            <v>2.6</v>
          </cell>
          <cell r="K37">
            <v>1.1299999999999999</v>
          </cell>
          <cell r="L37">
            <v>1</v>
          </cell>
        </row>
      </sheetData>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23hiuisxfitqcvf"/>
    </sheetNames>
    <sheetDataSet>
      <sheetData sheetId="0">
        <row r="1">
          <cell r="B1" t="str">
            <v>Official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Forecast Period End Date (SAS Format)</v>
          </cell>
          <cell r="M1" t="str">
            <v>Actual Value, from the Detail Actuals File</v>
          </cell>
          <cell r="N1" t="str">
            <v>Announce date of the Actual, from the Detail Actuals File</v>
          </cell>
        </row>
        <row r="2">
          <cell r="B2" t="str">
            <v>ATG</v>
          </cell>
          <cell r="C2" t="str">
            <v>ATLANTA GAS LT</v>
          </cell>
          <cell r="D2">
            <v>33955</v>
          </cell>
          <cell r="E2" t="str">
            <v>EPS</v>
          </cell>
          <cell r="F2" t="str">
            <v>ANN</v>
          </cell>
          <cell r="G2" t="str">
            <v>1</v>
          </cell>
          <cell r="H2">
            <v>14</v>
          </cell>
          <cell r="I2">
            <v>1.19</v>
          </cell>
          <cell r="J2">
            <v>1.2</v>
          </cell>
          <cell r="K2">
            <v>0.06</v>
          </cell>
          <cell r="L2">
            <v>34242</v>
          </cell>
          <cell r="M2">
            <v>1.0900000000000001</v>
          </cell>
          <cell r="N2">
            <v>34278</v>
          </cell>
        </row>
        <row r="3">
          <cell r="B3" t="str">
            <v>CGC</v>
          </cell>
          <cell r="C3" t="str">
            <v>CASCADE NAT GAS</v>
          </cell>
          <cell r="D3">
            <v>33955</v>
          </cell>
          <cell r="E3" t="str">
            <v>EPS</v>
          </cell>
          <cell r="F3" t="str">
            <v>ANN</v>
          </cell>
          <cell r="G3" t="str">
            <v>1</v>
          </cell>
          <cell r="H3">
            <v>4</v>
          </cell>
          <cell r="I3">
            <v>0.72</v>
          </cell>
          <cell r="J3">
            <v>0.72</v>
          </cell>
          <cell r="K3">
            <v>0.13</v>
          </cell>
          <cell r="L3">
            <v>33969</v>
          </cell>
          <cell r="M3">
            <v>0.60670000000000002</v>
          </cell>
          <cell r="N3">
            <v>34002</v>
          </cell>
        </row>
        <row r="4">
          <cell r="B4" t="str">
            <v>ATO</v>
          </cell>
          <cell r="C4" t="str">
            <v>ATMOS ENERGY CP</v>
          </cell>
          <cell r="D4">
            <v>33955</v>
          </cell>
          <cell r="E4" t="str">
            <v>EPS</v>
          </cell>
          <cell r="F4" t="str">
            <v>ANN</v>
          </cell>
          <cell r="G4" t="str">
            <v>1</v>
          </cell>
          <cell r="H4">
            <v>3</v>
          </cell>
          <cell r="I4">
            <v>0.76</v>
          </cell>
          <cell r="J4">
            <v>0.75</v>
          </cell>
          <cell r="K4">
            <v>0.03</v>
          </cell>
          <cell r="L4">
            <v>34242</v>
          </cell>
          <cell r="M4">
            <v>1.48</v>
          </cell>
          <cell r="N4">
            <v>34283</v>
          </cell>
        </row>
        <row r="5">
          <cell r="B5" t="str">
            <v>GAS</v>
          </cell>
          <cell r="C5" t="str">
            <v>NICOR INC</v>
          </cell>
          <cell r="D5">
            <v>33955</v>
          </cell>
          <cell r="E5" t="str">
            <v>EPS</v>
          </cell>
          <cell r="F5" t="str">
            <v>ANN</v>
          </cell>
          <cell r="G5" t="str">
            <v>1</v>
          </cell>
          <cell r="H5">
            <v>10</v>
          </cell>
          <cell r="I5">
            <v>1.89</v>
          </cell>
          <cell r="J5">
            <v>1.88</v>
          </cell>
          <cell r="K5">
            <v>0.04</v>
          </cell>
          <cell r="L5">
            <v>33969</v>
          </cell>
          <cell r="M5">
            <v>1.91</v>
          </cell>
          <cell r="N5">
            <v>33996</v>
          </cell>
        </row>
        <row r="6">
          <cell r="B6" t="str">
            <v>LG</v>
          </cell>
          <cell r="C6" t="str">
            <v>LACLEDE GAS</v>
          </cell>
          <cell r="D6">
            <v>33955</v>
          </cell>
          <cell r="E6" t="str">
            <v>EPS</v>
          </cell>
          <cell r="F6" t="str">
            <v>ANN</v>
          </cell>
          <cell r="G6" t="str">
            <v>1</v>
          </cell>
          <cell r="H6">
            <v>1</v>
          </cell>
          <cell r="I6">
            <v>1.5</v>
          </cell>
          <cell r="J6">
            <v>1.5</v>
          </cell>
          <cell r="L6">
            <v>34242</v>
          </cell>
          <cell r="M6">
            <v>1.61</v>
          </cell>
          <cell r="N6">
            <v>34292</v>
          </cell>
        </row>
        <row r="7">
          <cell r="B7" t="str">
            <v>NI</v>
          </cell>
          <cell r="C7" t="str">
            <v>NIPSCO IND INC</v>
          </cell>
          <cell r="D7">
            <v>33955</v>
          </cell>
          <cell r="E7" t="str">
            <v>EPS</v>
          </cell>
          <cell r="F7" t="str">
            <v>ANN</v>
          </cell>
          <cell r="G7" t="str">
            <v>1</v>
          </cell>
          <cell r="H7">
            <v>20</v>
          </cell>
          <cell r="I7">
            <v>0.99</v>
          </cell>
          <cell r="J7">
            <v>0.98</v>
          </cell>
          <cell r="K7">
            <v>0.03</v>
          </cell>
          <cell r="L7">
            <v>33969</v>
          </cell>
          <cell r="M7">
            <v>0.995</v>
          </cell>
          <cell r="N7">
            <v>34001</v>
          </cell>
        </row>
        <row r="8">
          <cell r="B8" t="str">
            <v>NJR</v>
          </cell>
          <cell r="C8" t="str">
            <v>NEW JERSEY RES</v>
          </cell>
          <cell r="D8">
            <v>33955</v>
          </cell>
          <cell r="E8" t="str">
            <v>EPS</v>
          </cell>
          <cell r="F8" t="str">
            <v>ANN</v>
          </cell>
          <cell r="G8" t="str">
            <v>1</v>
          </cell>
          <cell r="H8">
            <v>7</v>
          </cell>
          <cell r="I8">
            <v>0.38</v>
          </cell>
          <cell r="J8">
            <v>0.38</v>
          </cell>
          <cell r="K8">
            <v>0.01</v>
          </cell>
          <cell r="L8">
            <v>34242</v>
          </cell>
          <cell r="M8">
            <v>0.38669999999999999</v>
          </cell>
          <cell r="N8">
            <v>34274</v>
          </cell>
        </row>
        <row r="9">
          <cell r="B9" t="str">
            <v>PNY</v>
          </cell>
          <cell r="C9" t="str">
            <v>PIEDMONT NAT GAS</v>
          </cell>
          <cell r="D9">
            <v>33955</v>
          </cell>
          <cell r="E9" t="str">
            <v>EPS</v>
          </cell>
          <cell r="F9" t="str">
            <v>ANN</v>
          </cell>
          <cell r="G9" t="str">
            <v>1</v>
          </cell>
          <cell r="H9">
            <v>9</v>
          </cell>
          <cell r="I9">
            <v>0.71</v>
          </cell>
          <cell r="J9">
            <v>0.71</v>
          </cell>
          <cell r="K9">
            <v>0.01</v>
          </cell>
          <cell r="L9">
            <v>34273</v>
          </cell>
          <cell r="M9">
            <v>0.72750000000000004</v>
          </cell>
          <cell r="N9">
            <v>34306</v>
          </cell>
        </row>
        <row r="10">
          <cell r="B10" t="str">
            <v>SJI</v>
          </cell>
          <cell r="C10" t="str">
            <v>SO JERSEY INDS</v>
          </cell>
          <cell r="D10">
            <v>33955</v>
          </cell>
          <cell r="E10" t="str">
            <v>EPS</v>
          </cell>
          <cell r="F10" t="str">
            <v>ANN</v>
          </cell>
          <cell r="G10" t="str">
            <v>1</v>
          </cell>
          <cell r="H10">
            <v>1</v>
          </cell>
          <cell r="I10">
            <v>0.42</v>
          </cell>
          <cell r="J10">
            <v>0.42</v>
          </cell>
          <cell r="L10">
            <v>33969</v>
          </cell>
          <cell r="M10">
            <v>0.40450000000000003</v>
          </cell>
          <cell r="N10">
            <v>33995</v>
          </cell>
        </row>
        <row r="11">
          <cell r="B11" t="str">
            <v>SWX</v>
          </cell>
          <cell r="C11" t="str">
            <v>SOUTHWEST GAS</v>
          </cell>
          <cell r="D11">
            <v>33955</v>
          </cell>
          <cell r="E11" t="str">
            <v>EPS</v>
          </cell>
          <cell r="F11" t="str">
            <v>ANN</v>
          </cell>
          <cell r="G11" t="str">
            <v>1</v>
          </cell>
          <cell r="H11">
            <v>3</v>
          </cell>
          <cell r="I11">
            <v>1.35</v>
          </cell>
          <cell r="J11">
            <v>1.32</v>
          </cell>
          <cell r="K11">
            <v>0.2</v>
          </cell>
          <cell r="L11">
            <v>33969</v>
          </cell>
          <cell r="M11">
            <v>0.81</v>
          </cell>
          <cell r="N11">
            <v>34016</v>
          </cell>
        </row>
        <row r="12">
          <cell r="B12" t="str">
            <v>WGL</v>
          </cell>
          <cell r="C12" t="str">
            <v>WASH GAS LT</v>
          </cell>
          <cell r="D12">
            <v>33955</v>
          </cell>
          <cell r="E12" t="str">
            <v>EPS</v>
          </cell>
          <cell r="F12" t="str">
            <v>ANN</v>
          </cell>
          <cell r="G12" t="str">
            <v>1</v>
          </cell>
          <cell r="H12">
            <v>12</v>
          </cell>
          <cell r="I12">
            <v>1.35</v>
          </cell>
          <cell r="J12">
            <v>1.36</v>
          </cell>
          <cell r="K12">
            <v>0.05</v>
          </cell>
          <cell r="L12">
            <v>34242</v>
          </cell>
          <cell r="M12">
            <v>1.325</v>
          </cell>
          <cell r="N12">
            <v>34269</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RDS"/>
    </sheetNames>
    <sheetDataSet>
      <sheetData sheetId="0">
        <row r="1">
          <cell r="A1" t="str">
            <v>OFTIC</v>
          </cell>
          <cell r="B1" t="str">
            <v>IBES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USFIRM=0 if from .INT file and USFIRM=1 if from .US file</v>
          </cell>
          <cell r="M1" t="str">
            <v>Forecast Period End Date (SAS Format)</v>
          </cell>
          <cell r="N1" t="str">
            <v>Actual Value, from the Detail Actuals File</v>
          </cell>
          <cell r="O1" t="str">
            <v>Announce date of the Actual, from the Detail Actuals File</v>
          </cell>
        </row>
        <row r="2">
          <cell r="A2" t="str">
            <v>PNW</v>
          </cell>
          <cell r="B2" t="str">
            <v>AZP</v>
          </cell>
          <cell r="C2" t="str">
            <v>PINNACLE WEST</v>
          </cell>
          <cell r="D2">
            <v>20151217</v>
          </cell>
          <cell r="E2" t="str">
            <v>EPS</v>
          </cell>
          <cell r="F2" t="str">
            <v>LTG</v>
          </cell>
          <cell r="G2">
            <v>0</v>
          </cell>
          <cell r="H2">
            <v>4</v>
          </cell>
          <cell r="I2">
            <v>5.05</v>
          </cell>
          <cell r="J2">
            <v>4.95</v>
          </cell>
          <cell r="K2">
            <v>0.73</v>
          </cell>
          <cell r="L2">
            <v>1</v>
          </cell>
        </row>
        <row r="3">
          <cell r="A3" t="str">
            <v>BKH</v>
          </cell>
          <cell r="B3" t="str">
            <v>BHP</v>
          </cell>
          <cell r="C3" t="str">
            <v>BLACK HILLS CP</v>
          </cell>
          <cell r="D3">
            <v>20151217</v>
          </cell>
          <cell r="E3" t="str">
            <v>EPS</v>
          </cell>
          <cell r="F3" t="str">
            <v>LTG</v>
          </cell>
          <cell r="G3">
            <v>0</v>
          </cell>
          <cell r="H3">
            <v>1</v>
          </cell>
          <cell r="I3">
            <v>3.48</v>
          </cell>
          <cell r="J3">
            <v>3.48</v>
          </cell>
          <cell r="L3">
            <v>1</v>
          </cell>
        </row>
        <row r="4">
          <cell r="A4" t="str">
            <v>CMS</v>
          </cell>
          <cell r="B4" t="str">
            <v>CMS</v>
          </cell>
          <cell r="C4" t="str">
            <v>CMS ENERGY</v>
          </cell>
          <cell r="D4">
            <v>20151217</v>
          </cell>
          <cell r="E4" t="str">
            <v>EPS</v>
          </cell>
          <cell r="F4" t="str">
            <v>LTG</v>
          </cell>
          <cell r="G4">
            <v>0</v>
          </cell>
          <cell r="H4">
            <v>4</v>
          </cell>
          <cell r="I4">
            <v>6.7</v>
          </cell>
          <cell r="J4">
            <v>6.72</v>
          </cell>
          <cell r="K4">
            <v>0.21</v>
          </cell>
          <cell r="L4">
            <v>1</v>
          </cell>
        </row>
        <row r="5">
          <cell r="A5" t="str">
            <v>D</v>
          </cell>
          <cell r="B5" t="str">
            <v>D</v>
          </cell>
          <cell r="C5" t="str">
            <v>DOMINION RESOURC</v>
          </cell>
          <cell r="D5">
            <v>20151217</v>
          </cell>
          <cell r="E5" t="str">
            <v>EPS</v>
          </cell>
          <cell r="F5" t="str">
            <v>LTG</v>
          </cell>
          <cell r="G5">
            <v>0</v>
          </cell>
          <cell r="H5">
            <v>5</v>
          </cell>
          <cell r="I5">
            <v>5.9</v>
          </cell>
          <cell r="J5">
            <v>5.38</v>
          </cell>
          <cell r="K5">
            <v>1.42</v>
          </cell>
          <cell r="L5">
            <v>1</v>
          </cell>
        </row>
        <row r="6">
          <cell r="A6" t="str">
            <v>DTE</v>
          </cell>
          <cell r="B6" t="str">
            <v>DTE</v>
          </cell>
          <cell r="C6" t="str">
            <v>DTE ENERGY</v>
          </cell>
          <cell r="D6">
            <v>20151217</v>
          </cell>
          <cell r="E6" t="str">
            <v>EPS</v>
          </cell>
          <cell r="F6" t="str">
            <v>LTG</v>
          </cell>
          <cell r="G6">
            <v>0</v>
          </cell>
          <cell r="H6">
            <v>5</v>
          </cell>
          <cell r="I6">
            <v>4.57</v>
          </cell>
          <cell r="J6">
            <v>4.99</v>
          </cell>
          <cell r="K6">
            <v>0.71</v>
          </cell>
          <cell r="L6">
            <v>1</v>
          </cell>
        </row>
        <row r="7">
          <cell r="A7" t="str">
            <v>DUK</v>
          </cell>
          <cell r="B7" t="str">
            <v>DUK</v>
          </cell>
          <cell r="C7" t="str">
            <v>DUKE ENERGY</v>
          </cell>
          <cell r="D7">
            <v>20151217</v>
          </cell>
          <cell r="E7" t="str">
            <v>EPS</v>
          </cell>
          <cell r="F7" t="str">
            <v>LTG</v>
          </cell>
          <cell r="G7">
            <v>0</v>
          </cell>
          <cell r="H7">
            <v>6</v>
          </cell>
          <cell r="I7">
            <v>3.1</v>
          </cell>
          <cell r="J7">
            <v>3.27</v>
          </cell>
          <cell r="K7">
            <v>1.46</v>
          </cell>
          <cell r="L7">
            <v>1</v>
          </cell>
        </row>
        <row r="8">
          <cell r="A8" t="str">
            <v>ED</v>
          </cell>
          <cell r="B8" t="str">
            <v>ED</v>
          </cell>
          <cell r="C8" t="str">
            <v>CONSOLIDATED EDI</v>
          </cell>
          <cell r="D8">
            <v>20151217</v>
          </cell>
          <cell r="E8" t="str">
            <v>EPS</v>
          </cell>
          <cell r="F8" t="str">
            <v>LTG</v>
          </cell>
          <cell r="G8">
            <v>0</v>
          </cell>
          <cell r="H8">
            <v>6</v>
          </cell>
          <cell r="I8">
            <v>2.6</v>
          </cell>
          <cell r="J8">
            <v>2.79</v>
          </cell>
          <cell r="K8">
            <v>0.82</v>
          </cell>
          <cell r="L8">
            <v>1</v>
          </cell>
        </row>
        <row r="9">
          <cell r="A9" t="str">
            <v>EDE</v>
          </cell>
          <cell r="B9" t="str">
            <v>EDE</v>
          </cell>
          <cell r="C9" t="str">
            <v>EMPIRE DIST ELEC</v>
          </cell>
          <cell r="D9">
            <v>20151217</v>
          </cell>
          <cell r="E9" t="str">
            <v>EPS</v>
          </cell>
          <cell r="F9" t="str">
            <v>LTG</v>
          </cell>
          <cell r="G9">
            <v>0</v>
          </cell>
          <cell r="H9">
            <v>1</v>
          </cell>
          <cell r="I9">
            <v>5</v>
          </cell>
          <cell r="J9">
            <v>5</v>
          </cell>
          <cell r="L9">
            <v>1</v>
          </cell>
        </row>
        <row r="10">
          <cell r="A10" t="str">
            <v>NEE</v>
          </cell>
          <cell r="B10" t="str">
            <v>FPL</v>
          </cell>
          <cell r="C10" t="str">
            <v>NEXTERA ENER</v>
          </cell>
          <cell r="D10">
            <v>20151217</v>
          </cell>
          <cell r="E10" t="str">
            <v>EPS</v>
          </cell>
          <cell r="F10" t="str">
            <v>LTG</v>
          </cell>
          <cell r="G10">
            <v>0</v>
          </cell>
          <cell r="H10">
            <v>5</v>
          </cell>
          <cell r="I10">
            <v>7.2</v>
          </cell>
          <cell r="J10">
            <v>7.12</v>
          </cell>
          <cell r="K10">
            <v>0.22</v>
          </cell>
          <cell r="L10">
            <v>1</v>
          </cell>
        </row>
        <row r="11">
          <cell r="A11" t="str">
            <v>HE</v>
          </cell>
          <cell r="B11" t="str">
            <v>HE</v>
          </cell>
          <cell r="C11" t="str">
            <v>HAWAIIAN ELEC</v>
          </cell>
          <cell r="D11">
            <v>20151217</v>
          </cell>
          <cell r="E11" t="str">
            <v>EPS</v>
          </cell>
          <cell r="F11" t="str">
            <v>LTG</v>
          </cell>
          <cell r="G11">
            <v>0</v>
          </cell>
          <cell r="H11">
            <v>2</v>
          </cell>
          <cell r="I11">
            <v>3.2</v>
          </cell>
          <cell r="J11">
            <v>3.2</v>
          </cell>
          <cell r="K11">
            <v>1.1299999999999999</v>
          </cell>
          <cell r="L11">
            <v>1</v>
          </cell>
        </row>
        <row r="12">
          <cell r="A12" t="str">
            <v>CNP</v>
          </cell>
          <cell r="B12" t="str">
            <v>HOU</v>
          </cell>
          <cell r="C12" t="str">
            <v>CENTERPNT ENERGY</v>
          </cell>
          <cell r="D12">
            <v>20151217</v>
          </cell>
          <cell r="E12" t="str">
            <v>EPS</v>
          </cell>
          <cell r="F12" t="str">
            <v>LTG</v>
          </cell>
          <cell r="G12">
            <v>0</v>
          </cell>
          <cell r="H12">
            <v>3</v>
          </cell>
          <cell r="I12">
            <v>0.5</v>
          </cell>
          <cell r="J12">
            <v>0.4</v>
          </cell>
          <cell r="K12">
            <v>3.66</v>
          </cell>
          <cell r="L12">
            <v>1</v>
          </cell>
        </row>
        <row r="13">
          <cell r="A13" t="str">
            <v>IDA</v>
          </cell>
          <cell r="B13" t="str">
            <v>IDA</v>
          </cell>
          <cell r="C13" t="str">
            <v>IDACORP INC.</v>
          </cell>
          <cell r="D13">
            <v>20151217</v>
          </cell>
          <cell r="E13" t="str">
            <v>EPS</v>
          </cell>
          <cell r="F13" t="str">
            <v>LTG</v>
          </cell>
          <cell r="G13">
            <v>0</v>
          </cell>
          <cell r="H13">
            <v>1</v>
          </cell>
          <cell r="I13">
            <v>4</v>
          </cell>
          <cell r="J13">
            <v>4</v>
          </cell>
          <cell r="L13">
            <v>1</v>
          </cell>
        </row>
        <row r="14">
          <cell r="A14" t="str">
            <v>WR</v>
          </cell>
          <cell r="B14" t="str">
            <v>KAN</v>
          </cell>
          <cell r="C14" t="str">
            <v>WESTAR ENERGY</v>
          </cell>
          <cell r="D14">
            <v>20151217</v>
          </cell>
          <cell r="E14" t="str">
            <v>EPS</v>
          </cell>
          <cell r="F14" t="str">
            <v>LTG</v>
          </cell>
          <cell r="G14">
            <v>0</v>
          </cell>
          <cell r="H14">
            <v>3</v>
          </cell>
          <cell r="I14">
            <v>2.8</v>
          </cell>
          <cell r="J14">
            <v>3.5</v>
          </cell>
          <cell r="K14">
            <v>1.3</v>
          </cell>
          <cell r="L14">
            <v>1</v>
          </cell>
        </row>
        <row r="15">
          <cell r="A15" t="str">
            <v>GXP</v>
          </cell>
          <cell r="B15" t="str">
            <v>KLT</v>
          </cell>
          <cell r="C15" t="str">
            <v>GREAT PLAINS</v>
          </cell>
          <cell r="D15">
            <v>20151217</v>
          </cell>
          <cell r="E15" t="str">
            <v>EPS</v>
          </cell>
          <cell r="F15" t="str">
            <v>LTG</v>
          </cell>
          <cell r="G15">
            <v>0</v>
          </cell>
          <cell r="H15">
            <v>3</v>
          </cell>
          <cell r="I15">
            <v>5.0999999999999996</v>
          </cell>
          <cell r="J15">
            <v>5.23</v>
          </cell>
          <cell r="K15">
            <v>1.31</v>
          </cell>
          <cell r="L15">
            <v>1</v>
          </cell>
        </row>
        <row r="16">
          <cell r="A16" t="str">
            <v>ALE</v>
          </cell>
          <cell r="B16" t="str">
            <v>MPL</v>
          </cell>
          <cell r="C16" t="str">
            <v>ALLETE INC</v>
          </cell>
          <cell r="D16">
            <v>20151217</v>
          </cell>
          <cell r="E16" t="str">
            <v>EPS</v>
          </cell>
          <cell r="F16" t="str">
            <v>LTG</v>
          </cell>
          <cell r="G16">
            <v>0</v>
          </cell>
          <cell r="H16">
            <v>2</v>
          </cell>
          <cell r="I16">
            <v>5.5</v>
          </cell>
          <cell r="J16">
            <v>5.5</v>
          </cell>
          <cell r="K16">
            <v>0.71</v>
          </cell>
          <cell r="L16">
            <v>1</v>
          </cell>
        </row>
        <row r="17">
          <cell r="A17" t="str">
            <v>ETR</v>
          </cell>
          <cell r="B17" t="str">
            <v>MSU</v>
          </cell>
          <cell r="C17" t="str">
            <v>ENTERGY</v>
          </cell>
          <cell r="D17">
            <v>20151217</v>
          </cell>
          <cell r="E17" t="str">
            <v>EPS</v>
          </cell>
          <cell r="F17" t="str">
            <v>LTG</v>
          </cell>
          <cell r="G17">
            <v>0</v>
          </cell>
          <cell r="H17">
            <v>5</v>
          </cell>
          <cell r="I17">
            <v>-3.15</v>
          </cell>
          <cell r="J17">
            <v>-2.46</v>
          </cell>
          <cell r="K17">
            <v>3.84</v>
          </cell>
          <cell r="L17">
            <v>1</v>
          </cell>
        </row>
        <row r="18">
          <cell r="A18" t="str">
            <v>XEL</v>
          </cell>
          <cell r="B18" t="str">
            <v>NSP</v>
          </cell>
          <cell r="C18" t="str">
            <v>XCEL ENERGY</v>
          </cell>
          <cell r="D18">
            <v>20151217</v>
          </cell>
          <cell r="E18" t="str">
            <v>EPS</v>
          </cell>
          <cell r="F18" t="str">
            <v>LTG</v>
          </cell>
          <cell r="G18">
            <v>0</v>
          </cell>
          <cell r="H18">
            <v>3</v>
          </cell>
          <cell r="I18">
            <v>4.8</v>
          </cell>
          <cell r="J18">
            <v>4.68</v>
          </cell>
          <cell r="K18">
            <v>0.39</v>
          </cell>
          <cell r="L18">
            <v>1</v>
          </cell>
        </row>
        <row r="19">
          <cell r="A19" t="str">
            <v>NWE</v>
          </cell>
          <cell r="B19" t="str">
            <v>NWPS</v>
          </cell>
          <cell r="C19" t="str">
            <v>NORTHWESTERN US</v>
          </cell>
          <cell r="D19">
            <v>20151217</v>
          </cell>
          <cell r="E19" t="str">
            <v>EPS</v>
          </cell>
          <cell r="F19" t="str">
            <v>LTG</v>
          </cell>
          <cell r="G19">
            <v>0</v>
          </cell>
          <cell r="H19">
            <v>3</v>
          </cell>
          <cell r="I19">
            <v>5</v>
          </cell>
          <cell r="J19">
            <v>6.81</v>
          </cell>
          <cell r="K19">
            <v>3.13</v>
          </cell>
          <cell r="L19">
            <v>1</v>
          </cell>
        </row>
        <row r="20">
          <cell r="A20" t="str">
            <v>FE</v>
          </cell>
          <cell r="B20" t="str">
            <v>OEC</v>
          </cell>
          <cell r="C20" t="str">
            <v>FIRSTENERGY</v>
          </cell>
          <cell r="D20">
            <v>20151217</v>
          </cell>
          <cell r="E20" t="str">
            <v>EPS</v>
          </cell>
          <cell r="F20" t="str">
            <v>LTG</v>
          </cell>
          <cell r="G20">
            <v>0</v>
          </cell>
          <cell r="H20">
            <v>4</v>
          </cell>
          <cell r="I20">
            <v>0.3</v>
          </cell>
          <cell r="J20">
            <v>-0.92</v>
          </cell>
          <cell r="K20">
            <v>3.68</v>
          </cell>
          <cell r="L20">
            <v>1</v>
          </cell>
        </row>
        <row r="21">
          <cell r="A21" t="str">
            <v>OGE</v>
          </cell>
          <cell r="B21" t="str">
            <v>OGE</v>
          </cell>
          <cell r="C21" t="str">
            <v>OGE ENERGY CORP</v>
          </cell>
          <cell r="D21">
            <v>20151217</v>
          </cell>
          <cell r="E21" t="str">
            <v>EPS</v>
          </cell>
          <cell r="F21" t="str">
            <v>LTG</v>
          </cell>
          <cell r="G21">
            <v>0</v>
          </cell>
          <cell r="H21">
            <v>3</v>
          </cell>
          <cell r="I21">
            <v>2.0099999999999998</v>
          </cell>
          <cell r="J21">
            <v>2.17</v>
          </cell>
          <cell r="K21">
            <v>1.76</v>
          </cell>
          <cell r="L21">
            <v>1</v>
          </cell>
        </row>
        <row r="22">
          <cell r="A22" t="str">
            <v>PCG</v>
          </cell>
          <cell r="B22" t="str">
            <v>PCG</v>
          </cell>
          <cell r="C22" t="str">
            <v>PG&amp;E US</v>
          </cell>
          <cell r="D22">
            <v>20151217</v>
          </cell>
          <cell r="E22" t="str">
            <v>EPS</v>
          </cell>
          <cell r="F22" t="str">
            <v>LTG</v>
          </cell>
          <cell r="G22">
            <v>0</v>
          </cell>
          <cell r="H22">
            <v>6</v>
          </cell>
          <cell r="I22">
            <v>6.45</v>
          </cell>
          <cell r="J22">
            <v>5.8</v>
          </cell>
          <cell r="K22">
            <v>3</v>
          </cell>
          <cell r="L22">
            <v>1</v>
          </cell>
        </row>
        <row r="23">
          <cell r="A23" t="str">
            <v>EXC</v>
          </cell>
          <cell r="B23" t="str">
            <v>PE</v>
          </cell>
          <cell r="C23" t="str">
            <v>EXELON</v>
          </cell>
          <cell r="D23">
            <v>20151217</v>
          </cell>
          <cell r="E23" t="str">
            <v>EPS</v>
          </cell>
          <cell r="F23" t="str">
            <v>LTG</v>
          </cell>
          <cell r="G23">
            <v>0</v>
          </cell>
          <cell r="H23">
            <v>3</v>
          </cell>
          <cell r="I23">
            <v>4</v>
          </cell>
          <cell r="J23">
            <v>3.88</v>
          </cell>
          <cell r="K23">
            <v>0.41</v>
          </cell>
          <cell r="L23">
            <v>1</v>
          </cell>
        </row>
        <row r="24">
          <cell r="A24" t="str">
            <v>PEG</v>
          </cell>
          <cell r="B24" t="str">
            <v>PEG</v>
          </cell>
          <cell r="C24" t="str">
            <v>PUBLIC SRVCE ENT</v>
          </cell>
          <cell r="D24">
            <v>20151217</v>
          </cell>
          <cell r="E24" t="str">
            <v>EPS</v>
          </cell>
          <cell r="F24" t="str">
            <v>LTG</v>
          </cell>
          <cell r="G24">
            <v>0</v>
          </cell>
          <cell r="H24">
            <v>3</v>
          </cell>
          <cell r="I24">
            <v>1.8</v>
          </cell>
          <cell r="J24">
            <v>1.38</v>
          </cell>
          <cell r="K24">
            <v>0.81</v>
          </cell>
          <cell r="L24">
            <v>1</v>
          </cell>
        </row>
        <row r="25">
          <cell r="A25" t="str">
            <v>PNM</v>
          </cell>
          <cell r="B25" t="str">
            <v>PNM</v>
          </cell>
          <cell r="C25" t="str">
            <v>PNM RESOURCES</v>
          </cell>
          <cell r="D25">
            <v>20151217</v>
          </cell>
          <cell r="E25" t="str">
            <v>EPS</v>
          </cell>
          <cell r="F25" t="str">
            <v>LTG</v>
          </cell>
          <cell r="G25">
            <v>0</v>
          </cell>
          <cell r="H25">
            <v>1</v>
          </cell>
          <cell r="I25">
            <v>9.3000000000000007</v>
          </cell>
          <cell r="J25">
            <v>9.3000000000000007</v>
          </cell>
          <cell r="L25">
            <v>1</v>
          </cell>
        </row>
        <row r="26">
          <cell r="A26" t="str">
            <v>POM</v>
          </cell>
          <cell r="B26" t="str">
            <v>POM</v>
          </cell>
          <cell r="C26" t="str">
            <v>PEPCO HOLDINGS</v>
          </cell>
          <cell r="D26">
            <v>20151217</v>
          </cell>
          <cell r="E26" t="str">
            <v>EPS</v>
          </cell>
          <cell r="F26" t="str">
            <v>LTG</v>
          </cell>
          <cell r="G26">
            <v>0</v>
          </cell>
          <cell r="H26">
            <v>2</v>
          </cell>
          <cell r="I26">
            <v>4.33</v>
          </cell>
          <cell r="J26">
            <v>4.33</v>
          </cell>
          <cell r="K26">
            <v>5.19</v>
          </cell>
          <cell r="L26">
            <v>1</v>
          </cell>
        </row>
        <row r="27">
          <cell r="A27" t="str">
            <v>POR</v>
          </cell>
          <cell r="B27" t="str">
            <v>PORO</v>
          </cell>
          <cell r="C27" t="str">
            <v>PORTLAND GENERAL</v>
          </cell>
          <cell r="D27">
            <v>20151217</v>
          </cell>
          <cell r="E27" t="str">
            <v>EPS</v>
          </cell>
          <cell r="F27" t="str">
            <v>LTG</v>
          </cell>
          <cell r="G27">
            <v>0</v>
          </cell>
          <cell r="H27">
            <v>4</v>
          </cell>
          <cell r="I27">
            <v>3.6</v>
          </cell>
          <cell r="J27">
            <v>4.1100000000000003</v>
          </cell>
          <cell r="K27">
            <v>1.27</v>
          </cell>
          <cell r="L27">
            <v>1</v>
          </cell>
        </row>
        <row r="28">
          <cell r="A28" t="str">
            <v>PPL</v>
          </cell>
          <cell r="B28" t="str">
            <v>PPL</v>
          </cell>
          <cell r="C28" t="str">
            <v>PPL</v>
          </cell>
          <cell r="D28">
            <v>20151217</v>
          </cell>
          <cell r="E28" t="str">
            <v>EPS</v>
          </cell>
          <cell r="F28" t="str">
            <v>LTG</v>
          </cell>
          <cell r="G28">
            <v>0</v>
          </cell>
          <cell r="H28">
            <v>3</v>
          </cell>
          <cell r="I28">
            <v>5.8</v>
          </cell>
          <cell r="J28">
            <v>5.2</v>
          </cell>
          <cell r="K28">
            <v>1.04</v>
          </cell>
          <cell r="L28">
            <v>1</v>
          </cell>
        </row>
        <row r="29">
          <cell r="A29" t="str">
            <v>EIX</v>
          </cell>
          <cell r="B29" t="str">
            <v>SCE</v>
          </cell>
          <cell r="C29" t="str">
            <v>EDISON INTL</v>
          </cell>
          <cell r="D29">
            <v>20151217</v>
          </cell>
          <cell r="E29" t="str">
            <v>EPS</v>
          </cell>
          <cell r="F29" t="str">
            <v>LTG</v>
          </cell>
          <cell r="G29">
            <v>0</v>
          </cell>
          <cell r="H29">
            <v>4</v>
          </cell>
          <cell r="I29">
            <v>0.39</v>
          </cell>
          <cell r="J29">
            <v>0.62</v>
          </cell>
          <cell r="K29">
            <v>5.84</v>
          </cell>
          <cell r="L29">
            <v>1</v>
          </cell>
        </row>
        <row r="30">
          <cell r="A30" t="str">
            <v>SCG</v>
          </cell>
          <cell r="B30" t="str">
            <v>SCG</v>
          </cell>
          <cell r="C30" t="str">
            <v>SCANA</v>
          </cell>
          <cell r="D30">
            <v>20151217</v>
          </cell>
          <cell r="E30" t="str">
            <v>EPS</v>
          </cell>
          <cell r="F30" t="str">
            <v>LTG</v>
          </cell>
          <cell r="G30">
            <v>0</v>
          </cell>
          <cell r="H30">
            <v>2</v>
          </cell>
          <cell r="I30">
            <v>4.45</v>
          </cell>
          <cell r="J30">
            <v>4.45</v>
          </cell>
          <cell r="K30">
            <v>2.19</v>
          </cell>
          <cell r="L30">
            <v>1</v>
          </cell>
        </row>
        <row r="31">
          <cell r="A31" t="str">
            <v>SRE</v>
          </cell>
          <cell r="B31" t="str">
            <v>SDO</v>
          </cell>
          <cell r="C31" t="str">
            <v>SEMPRA ENER</v>
          </cell>
          <cell r="D31">
            <v>20151217</v>
          </cell>
          <cell r="E31" t="str">
            <v>EPS</v>
          </cell>
          <cell r="F31" t="str">
            <v>LTG</v>
          </cell>
          <cell r="G31">
            <v>0</v>
          </cell>
          <cell r="H31">
            <v>2</v>
          </cell>
          <cell r="I31">
            <v>9.35</v>
          </cell>
          <cell r="J31">
            <v>9.35</v>
          </cell>
          <cell r="K31">
            <v>3.75</v>
          </cell>
          <cell r="L31">
            <v>1</v>
          </cell>
        </row>
        <row r="32">
          <cell r="A32" t="str">
            <v>VVC</v>
          </cell>
          <cell r="B32" t="str">
            <v>SIG</v>
          </cell>
          <cell r="C32" t="str">
            <v>VECTREN CORP</v>
          </cell>
          <cell r="D32">
            <v>20151217</v>
          </cell>
          <cell r="E32" t="str">
            <v>EPS</v>
          </cell>
          <cell r="F32" t="str">
            <v>LTG</v>
          </cell>
          <cell r="G32">
            <v>0</v>
          </cell>
          <cell r="H32">
            <v>2</v>
          </cell>
          <cell r="I32">
            <v>5</v>
          </cell>
          <cell r="J32">
            <v>5</v>
          </cell>
          <cell r="K32">
            <v>1.41</v>
          </cell>
          <cell r="L32">
            <v>1</v>
          </cell>
        </row>
        <row r="33">
          <cell r="A33" t="str">
            <v>SO</v>
          </cell>
          <cell r="B33" t="str">
            <v>SO</v>
          </cell>
          <cell r="C33" t="str">
            <v>SOUTHERN CO</v>
          </cell>
          <cell r="D33">
            <v>20151217</v>
          </cell>
          <cell r="E33" t="str">
            <v>EPS</v>
          </cell>
          <cell r="F33" t="str">
            <v>LTG</v>
          </cell>
          <cell r="G33">
            <v>0</v>
          </cell>
          <cell r="H33">
            <v>6</v>
          </cell>
          <cell r="I33">
            <v>3.73</v>
          </cell>
          <cell r="J33">
            <v>3.73</v>
          </cell>
          <cell r="K33">
            <v>0.87</v>
          </cell>
          <cell r="L33">
            <v>1</v>
          </cell>
        </row>
        <row r="34">
          <cell r="A34" t="str">
            <v>TE</v>
          </cell>
          <cell r="B34" t="str">
            <v>TE</v>
          </cell>
          <cell r="C34" t="str">
            <v>TECO ENERGY</v>
          </cell>
          <cell r="D34">
            <v>20151217</v>
          </cell>
          <cell r="E34" t="str">
            <v>EPS</v>
          </cell>
          <cell r="F34" t="str">
            <v>LTG</v>
          </cell>
          <cell r="G34">
            <v>0</v>
          </cell>
          <cell r="H34">
            <v>2</v>
          </cell>
          <cell r="I34">
            <v>6.78</v>
          </cell>
          <cell r="J34">
            <v>6.78</v>
          </cell>
          <cell r="K34">
            <v>0.6</v>
          </cell>
          <cell r="L34">
            <v>1</v>
          </cell>
        </row>
        <row r="35">
          <cell r="A35" t="str">
            <v>AEE</v>
          </cell>
          <cell r="B35" t="str">
            <v>UEP</v>
          </cell>
          <cell r="C35" t="str">
            <v>AMEREN</v>
          </cell>
          <cell r="D35">
            <v>20151217</v>
          </cell>
          <cell r="E35" t="str">
            <v>EPS</v>
          </cell>
          <cell r="F35" t="str">
            <v>LTG</v>
          </cell>
          <cell r="G35">
            <v>0</v>
          </cell>
          <cell r="H35">
            <v>2</v>
          </cell>
          <cell r="I35">
            <v>6.35</v>
          </cell>
          <cell r="J35">
            <v>6.35</v>
          </cell>
          <cell r="K35">
            <v>0.49</v>
          </cell>
          <cell r="L35">
            <v>1</v>
          </cell>
        </row>
        <row r="36">
          <cell r="A36" t="str">
            <v>WEC</v>
          </cell>
          <cell r="B36" t="str">
            <v>WPC</v>
          </cell>
          <cell r="C36" t="str">
            <v>WEC ENERGY GROUP</v>
          </cell>
          <cell r="D36">
            <v>20151217</v>
          </cell>
          <cell r="E36" t="str">
            <v>EPS</v>
          </cell>
          <cell r="F36" t="str">
            <v>LTG</v>
          </cell>
          <cell r="G36">
            <v>0</v>
          </cell>
          <cell r="H36">
            <v>4</v>
          </cell>
          <cell r="I36">
            <v>6.41</v>
          </cell>
          <cell r="J36">
            <v>7.55</v>
          </cell>
          <cell r="K36">
            <v>2.58</v>
          </cell>
          <cell r="L36">
            <v>1</v>
          </cell>
        </row>
        <row r="37">
          <cell r="A37" t="str">
            <v>LNT</v>
          </cell>
          <cell r="B37" t="str">
            <v>WPL</v>
          </cell>
          <cell r="C37" t="str">
            <v>ALLIANT ENER</v>
          </cell>
          <cell r="D37">
            <v>20151217</v>
          </cell>
          <cell r="E37" t="str">
            <v>EPS</v>
          </cell>
          <cell r="F37" t="str">
            <v>LTG</v>
          </cell>
          <cell r="G37">
            <v>0</v>
          </cell>
          <cell r="H37">
            <v>2</v>
          </cell>
          <cell r="I37">
            <v>5.55</v>
          </cell>
          <cell r="J37">
            <v>5.55</v>
          </cell>
          <cell r="K37">
            <v>0.64</v>
          </cell>
          <cell r="L37">
            <v>1</v>
          </cell>
        </row>
        <row r="38">
          <cell r="A38" t="str">
            <v>SCG</v>
          </cell>
          <cell r="B38" t="str">
            <v>@006C</v>
          </cell>
          <cell r="C38" t="str">
            <v>SCENTRE</v>
          </cell>
          <cell r="D38">
            <v>20151217</v>
          </cell>
          <cell r="E38" t="str">
            <v>EPS</v>
          </cell>
          <cell r="F38" t="str">
            <v>LTG</v>
          </cell>
          <cell r="G38">
            <v>0</v>
          </cell>
          <cell r="H38">
            <v>2</v>
          </cell>
          <cell r="I38">
            <v>3.6</v>
          </cell>
          <cell r="J38">
            <v>3.6</v>
          </cell>
          <cell r="K38">
            <v>0.99</v>
          </cell>
          <cell r="L38">
            <v>0</v>
          </cell>
        </row>
        <row r="39">
          <cell r="A39" t="str">
            <v>PPL</v>
          </cell>
          <cell r="B39" t="str">
            <v>@1Z1</v>
          </cell>
          <cell r="C39" t="str">
            <v>PPL</v>
          </cell>
          <cell r="D39">
            <v>20151217</v>
          </cell>
          <cell r="E39" t="str">
            <v>EPS</v>
          </cell>
          <cell r="F39" t="str">
            <v>LTG</v>
          </cell>
          <cell r="G39">
            <v>0</v>
          </cell>
          <cell r="H39">
            <v>1</v>
          </cell>
          <cell r="I39">
            <v>11</v>
          </cell>
          <cell r="J39">
            <v>11</v>
          </cell>
          <cell r="L39">
            <v>0</v>
          </cell>
        </row>
        <row r="40">
          <cell r="A40" t="str">
            <v>CNP</v>
          </cell>
          <cell r="B40" t="str">
            <v>@CN0</v>
          </cell>
          <cell r="C40" t="str">
            <v>CNP ASSURANCES</v>
          </cell>
          <cell r="D40">
            <v>20151217</v>
          </cell>
          <cell r="E40" t="str">
            <v>EPS</v>
          </cell>
          <cell r="F40" t="str">
            <v>LTG</v>
          </cell>
          <cell r="G40">
            <v>0</v>
          </cell>
          <cell r="H40">
            <v>1</v>
          </cell>
          <cell r="I40">
            <v>3.46</v>
          </cell>
          <cell r="J40">
            <v>3.46</v>
          </cell>
          <cell r="L40">
            <v>0</v>
          </cell>
        </row>
        <row r="41">
          <cell r="A41" t="str">
            <v>SO</v>
          </cell>
          <cell r="B41" t="str">
            <v>@DAM</v>
          </cell>
          <cell r="C41" t="str">
            <v>SOMFY</v>
          </cell>
          <cell r="D41">
            <v>20151217</v>
          </cell>
          <cell r="E41" t="str">
            <v>EPS</v>
          </cell>
          <cell r="F41" t="str">
            <v>LTG</v>
          </cell>
          <cell r="G41">
            <v>0</v>
          </cell>
          <cell r="H41">
            <v>1</v>
          </cell>
          <cell r="I41">
            <v>18.5</v>
          </cell>
          <cell r="J41">
            <v>18.5</v>
          </cell>
          <cell r="L41">
            <v>0</v>
          </cell>
        </row>
        <row r="42">
          <cell r="A42" t="str">
            <v>DTE</v>
          </cell>
          <cell r="B42" t="str">
            <v>@DT</v>
          </cell>
          <cell r="C42" t="str">
            <v>DEUTSCHE TELEKOM</v>
          </cell>
          <cell r="D42">
            <v>20151217</v>
          </cell>
          <cell r="E42" t="str">
            <v>EPS</v>
          </cell>
          <cell r="F42" t="str">
            <v>LTG</v>
          </cell>
          <cell r="G42">
            <v>0</v>
          </cell>
          <cell r="H42">
            <v>5</v>
          </cell>
          <cell r="I42">
            <v>23.4</v>
          </cell>
          <cell r="J42">
            <v>21.82</v>
          </cell>
          <cell r="K42">
            <v>7.13</v>
          </cell>
          <cell r="L42">
            <v>0</v>
          </cell>
        </row>
        <row r="43">
          <cell r="A43" t="str">
            <v>POM</v>
          </cell>
          <cell r="B43" t="str">
            <v>@PO8</v>
          </cell>
          <cell r="C43" t="str">
            <v>COMPAGNIE PLA OM</v>
          </cell>
          <cell r="D43">
            <v>20151217</v>
          </cell>
          <cell r="E43" t="str">
            <v>EPS</v>
          </cell>
          <cell r="F43" t="str">
            <v>LTG</v>
          </cell>
          <cell r="G43">
            <v>0</v>
          </cell>
          <cell r="H43">
            <v>3</v>
          </cell>
          <cell r="I43">
            <v>12.58</v>
          </cell>
          <cell r="J43">
            <v>12.06</v>
          </cell>
          <cell r="K43">
            <v>3.63</v>
          </cell>
          <cell r="L43">
            <v>0</v>
          </cell>
        </row>
        <row r="44">
          <cell r="A44" t="str">
            <v>PEG</v>
          </cell>
          <cell r="B44" t="str">
            <v>GEP1</v>
          </cell>
          <cell r="C44" t="str">
            <v>PATTERN</v>
          </cell>
          <cell r="D44">
            <v>20151217</v>
          </cell>
          <cell r="E44" t="str">
            <v>EPS</v>
          </cell>
          <cell r="F44" t="str">
            <v>LTG</v>
          </cell>
          <cell r="G44">
            <v>0</v>
          </cell>
          <cell r="H44">
            <v>1</v>
          </cell>
          <cell r="I44">
            <v>15</v>
          </cell>
          <cell r="J44">
            <v>15</v>
          </cell>
          <cell r="L44">
            <v>0</v>
          </cell>
        </row>
        <row r="45">
          <cell r="A45" t="str">
            <v>PPL</v>
          </cell>
          <cell r="B45" t="str">
            <v>PIF1</v>
          </cell>
          <cell r="C45" t="str">
            <v>PEMBINA PIPELINE</v>
          </cell>
          <cell r="D45">
            <v>20151217</v>
          </cell>
          <cell r="E45" t="str">
            <v>EPS</v>
          </cell>
          <cell r="F45" t="str">
            <v>LTG</v>
          </cell>
          <cell r="G45">
            <v>0</v>
          </cell>
          <cell r="H45">
            <v>1</v>
          </cell>
          <cell r="I45">
            <v>10.75</v>
          </cell>
          <cell r="J45">
            <v>10.75</v>
          </cell>
          <cell r="L45">
            <v>0</v>
          </cell>
        </row>
      </sheetData>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hjwdycqi5urzji7"/>
    </sheetNames>
    <sheetDataSet>
      <sheetData sheetId="0">
        <row r="1">
          <cell r="B1" t="str">
            <v>Official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Forecast Period End Date (SAS Format)</v>
          </cell>
          <cell r="M1" t="str">
            <v>Actual Value, from the Detail Actuals File</v>
          </cell>
          <cell r="N1" t="str">
            <v>Announce date of the Actual, from the Detail Actuals File</v>
          </cell>
        </row>
        <row r="2">
          <cell r="B2" t="str">
            <v>ATG</v>
          </cell>
          <cell r="C2" t="str">
            <v>ATLANTA GAS LT</v>
          </cell>
          <cell r="D2">
            <v>33955</v>
          </cell>
          <cell r="E2" t="str">
            <v>EPS</v>
          </cell>
          <cell r="F2" t="str">
            <v>LTG</v>
          </cell>
          <cell r="G2" t="str">
            <v>0</v>
          </cell>
          <cell r="H2">
            <v>11</v>
          </cell>
          <cell r="I2">
            <v>7</v>
          </cell>
          <cell r="J2">
            <v>6.27</v>
          </cell>
          <cell r="K2">
            <v>1.95</v>
          </cell>
        </row>
        <row r="3">
          <cell r="B3" t="str">
            <v>CGC</v>
          </cell>
          <cell r="C3" t="str">
            <v>CASCADE NAT GAS</v>
          </cell>
          <cell r="D3">
            <v>33955</v>
          </cell>
          <cell r="E3" t="str">
            <v>EPS</v>
          </cell>
          <cell r="F3" t="str">
            <v>LTG</v>
          </cell>
          <cell r="G3" t="str">
            <v>0</v>
          </cell>
          <cell r="H3">
            <v>2</v>
          </cell>
          <cell r="I3">
            <v>6</v>
          </cell>
          <cell r="J3">
            <v>6</v>
          </cell>
          <cell r="K3">
            <v>2.83</v>
          </cell>
        </row>
        <row r="4">
          <cell r="B4" t="str">
            <v>ATO</v>
          </cell>
          <cell r="C4" t="str">
            <v>ATMOS ENERGY CP</v>
          </cell>
          <cell r="D4">
            <v>33955</v>
          </cell>
          <cell r="E4" t="str">
            <v>EPS</v>
          </cell>
          <cell r="F4" t="str">
            <v>LTG</v>
          </cell>
          <cell r="G4" t="str">
            <v>0</v>
          </cell>
          <cell r="H4">
            <v>2</v>
          </cell>
          <cell r="I4">
            <v>7.75</v>
          </cell>
          <cell r="J4">
            <v>7.75</v>
          </cell>
          <cell r="K4">
            <v>5.3</v>
          </cell>
        </row>
        <row r="5">
          <cell r="B5" t="str">
            <v>GAS</v>
          </cell>
          <cell r="C5" t="str">
            <v>NICOR INC</v>
          </cell>
          <cell r="D5">
            <v>33955</v>
          </cell>
          <cell r="E5" t="str">
            <v>EPS</v>
          </cell>
          <cell r="F5" t="str">
            <v>LTG</v>
          </cell>
          <cell r="G5" t="str">
            <v>0</v>
          </cell>
          <cell r="H5">
            <v>6</v>
          </cell>
          <cell r="I5">
            <v>5.5</v>
          </cell>
          <cell r="J5">
            <v>5.5</v>
          </cell>
          <cell r="K5">
            <v>1.38</v>
          </cell>
        </row>
        <row r="6">
          <cell r="B6" t="str">
            <v>NI</v>
          </cell>
          <cell r="C6" t="str">
            <v>NIPSCO IND INC</v>
          </cell>
          <cell r="D6">
            <v>33955</v>
          </cell>
          <cell r="E6" t="str">
            <v>EPS</v>
          </cell>
          <cell r="F6" t="str">
            <v>LTG</v>
          </cell>
          <cell r="G6" t="str">
            <v>0</v>
          </cell>
          <cell r="H6">
            <v>13</v>
          </cell>
          <cell r="I6">
            <v>6</v>
          </cell>
          <cell r="J6">
            <v>5.64</v>
          </cell>
          <cell r="K6">
            <v>2.15</v>
          </cell>
        </row>
        <row r="7">
          <cell r="B7" t="str">
            <v>NJR</v>
          </cell>
          <cell r="C7" t="str">
            <v>NEW JERSEY RES</v>
          </cell>
          <cell r="D7">
            <v>33955</v>
          </cell>
          <cell r="E7" t="str">
            <v>EPS</v>
          </cell>
          <cell r="F7" t="str">
            <v>LTG</v>
          </cell>
          <cell r="G7" t="str">
            <v>0</v>
          </cell>
          <cell r="H7">
            <v>5</v>
          </cell>
          <cell r="I7">
            <v>7</v>
          </cell>
          <cell r="J7">
            <v>8.8000000000000007</v>
          </cell>
          <cell r="K7">
            <v>6.83</v>
          </cell>
        </row>
        <row r="8">
          <cell r="B8" t="str">
            <v>PNY</v>
          </cell>
          <cell r="C8" t="str">
            <v>PIEDMONT NAT GAS</v>
          </cell>
          <cell r="D8">
            <v>33955</v>
          </cell>
          <cell r="E8" t="str">
            <v>EPS</v>
          </cell>
          <cell r="F8" t="str">
            <v>LTG</v>
          </cell>
          <cell r="G8" t="str">
            <v>0</v>
          </cell>
          <cell r="H8">
            <v>6</v>
          </cell>
          <cell r="I8">
            <v>9</v>
          </cell>
          <cell r="J8">
            <v>8</v>
          </cell>
          <cell r="K8">
            <v>2.4500000000000002</v>
          </cell>
        </row>
        <row r="9">
          <cell r="B9" t="str">
            <v>SJI</v>
          </cell>
          <cell r="C9" t="str">
            <v>SO JERSEY INDS</v>
          </cell>
          <cell r="D9">
            <v>33955</v>
          </cell>
          <cell r="E9" t="str">
            <v>EPS</v>
          </cell>
          <cell r="F9" t="str">
            <v>LTG</v>
          </cell>
          <cell r="G9" t="str">
            <v>0</v>
          </cell>
          <cell r="H9">
            <v>1</v>
          </cell>
          <cell r="I9">
            <v>4</v>
          </cell>
          <cell r="J9">
            <v>4</v>
          </cell>
        </row>
        <row r="10">
          <cell r="B10" t="str">
            <v>SWX</v>
          </cell>
          <cell r="C10" t="str">
            <v>SOUTHWEST GAS</v>
          </cell>
          <cell r="D10">
            <v>33955</v>
          </cell>
          <cell r="E10" t="str">
            <v>EPS</v>
          </cell>
          <cell r="F10" t="str">
            <v>LTG</v>
          </cell>
          <cell r="G10" t="str">
            <v>0</v>
          </cell>
          <cell r="H10">
            <v>2</v>
          </cell>
          <cell r="I10">
            <v>9.5</v>
          </cell>
          <cell r="J10">
            <v>9.5</v>
          </cell>
          <cell r="K10">
            <v>6.36</v>
          </cell>
        </row>
        <row r="11">
          <cell r="B11" t="str">
            <v>WGL</v>
          </cell>
          <cell r="C11" t="str">
            <v>WASH GAS LT</v>
          </cell>
          <cell r="D11">
            <v>33955</v>
          </cell>
          <cell r="E11" t="str">
            <v>EPS</v>
          </cell>
          <cell r="F11" t="str">
            <v>LTG</v>
          </cell>
          <cell r="G11" t="str">
            <v>0</v>
          </cell>
          <cell r="H11">
            <v>7</v>
          </cell>
          <cell r="I11">
            <v>5</v>
          </cell>
          <cell r="J11">
            <v>4.43</v>
          </cell>
          <cell r="K11">
            <v>1.1299999999999999</v>
          </cell>
        </row>
      </sheetData>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RDS"/>
    </sheetNames>
    <sheetDataSet>
      <sheetData sheetId="0">
        <row r="1">
          <cell r="A1" t="str">
            <v>OFTIC</v>
          </cell>
          <cell r="B1" t="str">
            <v>IBES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USFIRM=0 if from .INT file and USFIRM=1 if from .US file</v>
          </cell>
          <cell r="L1" t="str">
            <v>Forecast Period End Date (SAS Format)</v>
          </cell>
          <cell r="M1" t="str">
            <v>Actual Value, from the Detail Actuals File</v>
          </cell>
          <cell r="N1" t="str">
            <v>Announce date of the Actual, from the Detail Actuals File</v>
          </cell>
        </row>
        <row r="2">
          <cell r="A2" t="str">
            <v>AEE</v>
          </cell>
          <cell r="B2" t="str">
            <v>AEE</v>
          </cell>
          <cell r="C2" t="str">
            <v>AILEEN INC</v>
          </cell>
          <cell r="D2">
            <v>19911219</v>
          </cell>
          <cell r="E2" t="str">
            <v>EPS</v>
          </cell>
          <cell r="F2" t="str">
            <v>ANN</v>
          </cell>
          <cell r="G2">
            <v>1</v>
          </cell>
          <cell r="H2">
            <v>1</v>
          </cell>
          <cell r="I2">
            <v>0.68</v>
          </cell>
          <cell r="J2">
            <v>0.68</v>
          </cell>
          <cell r="K2">
            <v>1</v>
          </cell>
          <cell r="L2">
            <v>19911031</v>
          </cell>
          <cell r="M2">
            <v>1.1499999999999999</v>
          </cell>
          <cell r="N2">
            <v>19920107</v>
          </cell>
        </row>
        <row r="3">
          <cell r="A3" t="str">
            <v>AVA</v>
          </cell>
          <cell r="B3" t="str">
            <v>AVDO</v>
          </cell>
          <cell r="C3" t="str">
            <v>AUDIO VIDEO AFFI</v>
          </cell>
          <cell r="D3">
            <v>19911219</v>
          </cell>
          <cell r="E3" t="str">
            <v>EPS</v>
          </cell>
          <cell r="F3" t="str">
            <v>ANN</v>
          </cell>
          <cell r="G3">
            <v>1</v>
          </cell>
          <cell r="H3">
            <v>2</v>
          </cell>
          <cell r="I3">
            <v>0.24</v>
          </cell>
          <cell r="J3">
            <v>0.24</v>
          </cell>
          <cell r="K3">
            <v>1</v>
          </cell>
          <cell r="L3">
            <v>19920131</v>
          </cell>
          <cell r="M3">
            <v>0.2044</v>
          </cell>
          <cell r="N3">
            <v>19920410</v>
          </cell>
        </row>
        <row r="4">
          <cell r="A4" t="str">
            <v>PNW</v>
          </cell>
          <cell r="B4" t="str">
            <v>AZP</v>
          </cell>
          <cell r="C4" t="str">
            <v>PINNACLE WST CAP</v>
          </cell>
          <cell r="D4">
            <v>19911219</v>
          </cell>
          <cell r="E4" t="str">
            <v>EPS</v>
          </cell>
          <cell r="F4" t="str">
            <v>ANN</v>
          </cell>
          <cell r="G4">
            <v>1</v>
          </cell>
          <cell r="H4">
            <v>16</v>
          </cell>
          <cell r="I4">
            <v>1.17</v>
          </cell>
          <cell r="J4">
            <v>1.1599999999999999</v>
          </cell>
          <cell r="K4">
            <v>1</v>
          </cell>
          <cell r="L4">
            <v>19911231</v>
          </cell>
          <cell r="M4">
            <v>0.77</v>
          </cell>
          <cell r="N4">
            <v>19920129</v>
          </cell>
        </row>
        <row r="5">
          <cell r="A5" t="str">
            <v>BKH</v>
          </cell>
          <cell r="B5" t="str">
            <v>BHP</v>
          </cell>
          <cell r="C5" t="str">
            <v>BLACK HILLS CORP</v>
          </cell>
          <cell r="D5">
            <v>19911219</v>
          </cell>
          <cell r="E5" t="str">
            <v>EPS</v>
          </cell>
          <cell r="F5" t="str">
            <v>ANN</v>
          </cell>
          <cell r="G5">
            <v>1</v>
          </cell>
          <cell r="H5">
            <v>7</v>
          </cell>
          <cell r="I5">
            <v>1.0900000000000001</v>
          </cell>
          <cell r="J5">
            <v>1.1000000000000001</v>
          </cell>
          <cell r="K5">
            <v>1</v>
          </cell>
          <cell r="L5">
            <v>19911231</v>
          </cell>
          <cell r="M5">
            <v>1.1113</v>
          </cell>
          <cell r="N5">
            <v>19920203</v>
          </cell>
        </row>
        <row r="6">
          <cell r="A6" t="str">
            <v>CIN</v>
          </cell>
          <cell r="B6" t="str">
            <v>CIN</v>
          </cell>
          <cell r="C6" t="str">
            <v>CINN GAS &amp; EL</v>
          </cell>
          <cell r="D6">
            <v>19911219</v>
          </cell>
          <cell r="E6" t="str">
            <v>EPS</v>
          </cell>
          <cell r="F6" t="str">
            <v>ANN</v>
          </cell>
          <cell r="G6">
            <v>1</v>
          </cell>
          <cell r="H6">
            <v>19</v>
          </cell>
          <cell r="I6">
            <v>2.4</v>
          </cell>
          <cell r="J6">
            <v>2.38</v>
          </cell>
          <cell r="K6">
            <v>1</v>
          </cell>
          <cell r="L6">
            <v>19911231</v>
          </cell>
          <cell r="M6">
            <v>2.2400000000000002</v>
          </cell>
          <cell r="N6">
            <v>19920124</v>
          </cell>
        </row>
        <row r="7">
          <cell r="A7" t="str">
            <v>CMS</v>
          </cell>
          <cell r="B7" t="str">
            <v>CMS</v>
          </cell>
          <cell r="C7" t="str">
            <v>CMS ENERGY CORP</v>
          </cell>
          <cell r="D7">
            <v>19911219</v>
          </cell>
          <cell r="E7" t="str">
            <v>EPS</v>
          </cell>
          <cell r="F7" t="str">
            <v>ANN</v>
          </cell>
          <cell r="G7">
            <v>1</v>
          </cell>
          <cell r="H7">
            <v>19</v>
          </cell>
          <cell r="I7">
            <v>1.92</v>
          </cell>
          <cell r="J7">
            <v>1.96</v>
          </cell>
          <cell r="K7">
            <v>1</v>
          </cell>
          <cell r="L7">
            <v>19911231</v>
          </cell>
          <cell r="M7">
            <v>0.62</v>
          </cell>
          <cell r="N7">
            <v>19920309</v>
          </cell>
        </row>
        <row r="8">
          <cell r="A8" t="str">
            <v>CNL</v>
          </cell>
          <cell r="B8" t="str">
            <v>CNL</v>
          </cell>
          <cell r="C8" t="str">
            <v>CENT LA ELEC INC</v>
          </cell>
          <cell r="D8">
            <v>19911219</v>
          </cell>
          <cell r="E8" t="str">
            <v>EPS</v>
          </cell>
          <cell r="F8" t="str">
            <v>ANN</v>
          </cell>
          <cell r="G8">
            <v>1</v>
          </cell>
          <cell r="H8">
            <v>7</v>
          </cell>
          <cell r="I8">
            <v>0.94</v>
          </cell>
          <cell r="J8">
            <v>0.94</v>
          </cell>
          <cell r="K8">
            <v>1</v>
          </cell>
          <cell r="L8">
            <v>19911231</v>
          </cell>
          <cell r="M8">
            <v>0.96</v>
          </cell>
          <cell r="N8">
            <v>19920129</v>
          </cell>
        </row>
        <row r="9">
          <cell r="A9" t="str">
            <v>CNP</v>
          </cell>
          <cell r="B9" t="str">
            <v>CNP</v>
          </cell>
          <cell r="C9" t="str">
            <v>CROWN CENT PETE</v>
          </cell>
          <cell r="D9">
            <v>19911219</v>
          </cell>
          <cell r="E9" t="str">
            <v>EPS</v>
          </cell>
          <cell r="F9" t="str">
            <v>ANN</v>
          </cell>
          <cell r="G9">
            <v>1</v>
          </cell>
          <cell r="H9">
            <v>3</v>
          </cell>
          <cell r="I9">
            <v>2.65</v>
          </cell>
          <cell r="J9">
            <v>2.67</v>
          </cell>
          <cell r="K9">
            <v>1</v>
          </cell>
          <cell r="L9">
            <v>19911231</v>
          </cell>
          <cell r="M9">
            <v>-0.61</v>
          </cell>
          <cell r="N9">
            <v>19920228</v>
          </cell>
        </row>
        <row r="10">
          <cell r="A10" t="str">
            <v>CV</v>
          </cell>
          <cell r="B10" t="str">
            <v>CV</v>
          </cell>
          <cell r="C10" t="str">
            <v>CNTRL VT PUB SVC</v>
          </cell>
          <cell r="D10">
            <v>19911219</v>
          </cell>
          <cell r="E10" t="str">
            <v>EPS</v>
          </cell>
          <cell r="F10" t="str">
            <v>ANN</v>
          </cell>
          <cell r="G10">
            <v>1</v>
          </cell>
          <cell r="H10">
            <v>4</v>
          </cell>
          <cell r="I10">
            <v>1.62</v>
          </cell>
          <cell r="J10">
            <v>1.59</v>
          </cell>
          <cell r="K10">
            <v>1</v>
          </cell>
          <cell r="L10">
            <v>19911231</v>
          </cell>
          <cell r="M10">
            <v>1.66</v>
          </cell>
          <cell r="N10">
            <v>19920211</v>
          </cell>
        </row>
        <row r="11">
          <cell r="A11" t="str">
            <v>D</v>
          </cell>
          <cell r="B11" t="str">
            <v>D</v>
          </cell>
          <cell r="C11" t="str">
            <v>DOMINION RES INC</v>
          </cell>
          <cell r="D11">
            <v>19911219</v>
          </cell>
          <cell r="E11" t="str">
            <v>EPS</v>
          </cell>
          <cell r="F11" t="str">
            <v>ANN</v>
          </cell>
          <cell r="G11">
            <v>1</v>
          </cell>
          <cell r="H11">
            <v>27</v>
          </cell>
          <cell r="I11">
            <v>1.47</v>
          </cell>
          <cell r="J11">
            <v>1.47</v>
          </cell>
          <cell r="K11">
            <v>1</v>
          </cell>
          <cell r="L11">
            <v>19911231</v>
          </cell>
          <cell r="M11">
            <v>1.4730000000000001</v>
          </cell>
          <cell r="N11">
            <v>19920124</v>
          </cell>
        </row>
        <row r="12">
          <cell r="A12" t="str">
            <v>DPL</v>
          </cell>
          <cell r="B12" t="str">
            <v>DPL</v>
          </cell>
          <cell r="C12" t="str">
            <v>DPL INC</v>
          </cell>
          <cell r="D12">
            <v>19911219</v>
          </cell>
          <cell r="E12" t="str">
            <v>EPS</v>
          </cell>
          <cell r="F12" t="str">
            <v>ANN</v>
          </cell>
          <cell r="G12">
            <v>1</v>
          </cell>
          <cell r="H12">
            <v>16</v>
          </cell>
          <cell r="I12">
            <v>0.82</v>
          </cell>
          <cell r="J12">
            <v>0.83</v>
          </cell>
          <cell r="K12">
            <v>1</v>
          </cell>
          <cell r="L12">
            <v>19911231</v>
          </cell>
          <cell r="M12">
            <v>0.76870000000000005</v>
          </cell>
          <cell r="N12">
            <v>19920122</v>
          </cell>
        </row>
        <row r="13">
          <cell r="A13" t="str">
            <v>DTE</v>
          </cell>
          <cell r="B13" t="str">
            <v>DTE</v>
          </cell>
          <cell r="C13" t="str">
            <v>DETROIT EDISON</v>
          </cell>
          <cell r="D13">
            <v>19911219</v>
          </cell>
          <cell r="E13" t="str">
            <v>EPS</v>
          </cell>
          <cell r="F13" t="str">
            <v>ANN</v>
          </cell>
          <cell r="G13">
            <v>1</v>
          </cell>
          <cell r="H13">
            <v>21</v>
          </cell>
          <cell r="I13">
            <v>3.45</v>
          </cell>
          <cell r="J13">
            <v>3.45</v>
          </cell>
          <cell r="K13">
            <v>1</v>
          </cell>
          <cell r="L13">
            <v>19911231</v>
          </cell>
          <cell r="M13">
            <v>3.65</v>
          </cell>
          <cell r="N13">
            <v>19920127</v>
          </cell>
        </row>
        <row r="14">
          <cell r="A14" t="str">
            <v>DUK</v>
          </cell>
          <cell r="B14" t="str">
            <v>DUK</v>
          </cell>
          <cell r="C14" t="str">
            <v>DUKE POWER CO</v>
          </cell>
          <cell r="D14">
            <v>19911219</v>
          </cell>
          <cell r="E14" t="str">
            <v>EPS</v>
          </cell>
          <cell r="F14" t="str">
            <v>ANN</v>
          </cell>
          <cell r="G14">
            <v>1</v>
          </cell>
          <cell r="H14">
            <v>23</v>
          </cell>
          <cell r="I14">
            <v>3.82</v>
          </cell>
          <cell r="J14">
            <v>3.82</v>
          </cell>
          <cell r="K14">
            <v>1</v>
          </cell>
          <cell r="L14">
            <v>19911231</v>
          </cell>
          <cell r="M14">
            <v>3.9</v>
          </cell>
          <cell r="N14">
            <v>19920124</v>
          </cell>
        </row>
        <row r="15">
          <cell r="A15" t="str">
            <v>ED</v>
          </cell>
          <cell r="B15" t="str">
            <v>ED</v>
          </cell>
          <cell r="C15" t="str">
            <v>CONSOL EDISON</v>
          </cell>
          <cell r="D15">
            <v>19911219</v>
          </cell>
          <cell r="E15" t="str">
            <v>EPS</v>
          </cell>
          <cell r="F15" t="str">
            <v>ANN</v>
          </cell>
          <cell r="G15">
            <v>1</v>
          </cell>
          <cell r="H15">
            <v>23</v>
          </cell>
          <cell r="I15">
            <v>2.4</v>
          </cell>
          <cell r="J15">
            <v>2.39</v>
          </cell>
          <cell r="K15">
            <v>1</v>
          </cell>
          <cell r="L15">
            <v>19911231</v>
          </cell>
          <cell r="M15">
            <v>2.3199999999999998</v>
          </cell>
          <cell r="N15">
            <v>19920128</v>
          </cell>
        </row>
        <row r="16">
          <cell r="A16" t="str">
            <v>EDE</v>
          </cell>
          <cell r="B16" t="str">
            <v>EDE</v>
          </cell>
          <cell r="C16" t="str">
            <v>EMPIRE DIST ELEC</v>
          </cell>
          <cell r="D16">
            <v>19911219</v>
          </cell>
          <cell r="E16" t="str">
            <v>EPS</v>
          </cell>
          <cell r="F16" t="str">
            <v>ANN</v>
          </cell>
          <cell r="G16">
            <v>1</v>
          </cell>
          <cell r="H16">
            <v>3</v>
          </cell>
          <cell r="I16">
            <v>1.42</v>
          </cell>
          <cell r="J16">
            <v>1.44</v>
          </cell>
          <cell r="K16">
            <v>1</v>
          </cell>
          <cell r="L16">
            <v>19911231</v>
          </cell>
          <cell r="M16">
            <v>1.2949999999999999</v>
          </cell>
          <cell r="N16">
            <v>19920124</v>
          </cell>
        </row>
        <row r="17">
          <cell r="A17" t="str">
            <v>EXC</v>
          </cell>
          <cell r="B17" t="str">
            <v>EXC</v>
          </cell>
          <cell r="C17" t="str">
            <v>EXCEL INDS INC</v>
          </cell>
          <cell r="D17">
            <v>19911219</v>
          </cell>
          <cell r="E17" t="str">
            <v>EPS</v>
          </cell>
          <cell r="F17" t="str">
            <v>ANN</v>
          </cell>
          <cell r="G17">
            <v>1</v>
          </cell>
          <cell r="H17">
            <v>3</v>
          </cell>
          <cell r="I17">
            <v>0.3</v>
          </cell>
          <cell r="J17">
            <v>0.26</v>
          </cell>
          <cell r="K17">
            <v>1</v>
          </cell>
          <cell r="L17">
            <v>19911231</v>
          </cell>
          <cell r="M17">
            <v>0.02</v>
          </cell>
          <cell r="N17">
            <v>19920222</v>
          </cell>
        </row>
        <row r="18">
          <cell r="A18" t="str">
            <v>FPL</v>
          </cell>
          <cell r="B18" t="str">
            <v>FPL</v>
          </cell>
          <cell r="C18" t="str">
            <v>FPL GROUP</v>
          </cell>
          <cell r="D18">
            <v>19911219</v>
          </cell>
          <cell r="E18" t="str">
            <v>EPS</v>
          </cell>
          <cell r="F18" t="str">
            <v>ANN</v>
          </cell>
          <cell r="G18">
            <v>1</v>
          </cell>
          <cell r="H18">
            <v>26</v>
          </cell>
          <cell r="I18">
            <v>0.34</v>
          </cell>
          <cell r="J18">
            <v>0.33</v>
          </cell>
          <cell r="K18">
            <v>1</v>
          </cell>
          <cell r="L18">
            <v>19911231</v>
          </cell>
          <cell r="M18">
            <v>0.2213</v>
          </cell>
          <cell r="N18">
            <v>19920124</v>
          </cell>
        </row>
        <row r="19">
          <cell r="A19" t="str">
            <v>HE</v>
          </cell>
          <cell r="B19" t="str">
            <v>HE</v>
          </cell>
          <cell r="C19" t="str">
            <v>HAWAIIAN ELEC</v>
          </cell>
          <cell r="D19">
            <v>19911219</v>
          </cell>
          <cell r="E19" t="str">
            <v>EPS</v>
          </cell>
          <cell r="F19" t="str">
            <v>ANN</v>
          </cell>
          <cell r="G19">
            <v>1</v>
          </cell>
          <cell r="H19">
            <v>8</v>
          </cell>
          <cell r="I19">
            <v>1.26</v>
          </cell>
          <cell r="J19">
            <v>1.26</v>
          </cell>
          <cell r="K19">
            <v>1</v>
          </cell>
          <cell r="L19">
            <v>19911231</v>
          </cell>
          <cell r="M19">
            <v>1.2</v>
          </cell>
          <cell r="N19">
            <v>19920129</v>
          </cell>
        </row>
        <row r="20">
          <cell r="A20" t="str">
            <v>IDA</v>
          </cell>
          <cell r="B20" t="str">
            <v>IDA</v>
          </cell>
          <cell r="C20" t="str">
            <v>IDAHO POWER CO</v>
          </cell>
          <cell r="D20">
            <v>19911219</v>
          </cell>
          <cell r="E20" t="str">
            <v>EPS</v>
          </cell>
          <cell r="F20" t="str">
            <v>ANN</v>
          </cell>
          <cell r="G20">
            <v>1</v>
          </cell>
          <cell r="H20">
            <v>16</v>
          </cell>
          <cell r="I20">
            <v>1.75</v>
          </cell>
          <cell r="J20">
            <v>1.77</v>
          </cell>
          <cell r="K20">
            <v>1</v>
          </cell>
          <cell r="L20">
            <v>19911231</v>
          </cell>
          <cell r="M20">
            <v>1.55</v>
          </cell>
          <cell r="N20">
            <v>19920131</v>
          </cell>
        </row>
        <row r="21">
          <cell r="A21" t="str">
            <v>ETR</v>
          </cell>
          <cell r="B21" t="str">
            <v>MSU</v>
          </cell>
          <cell r="C21" t="str">
            <v>ENTERGY CP</v>
          </cell>
          <cell r="D21">
            <v>19911219</v>
          </cell>
          <cell r="E21" t="str">
            <v>EPS</v>
          </cell>
          <cell r="F21" t="str">
            <v>ANN</v>
          </cell>
          <cell r="G21">
            <v>1</v>
          </cell>
          <cell r="H21">
            <v>22</v>
          </cell>
          <cell r="I21">
            <v>2.4500000000000002</v>
          </cell>
          <cell r="J21">
            <v>2.46</v>
          </cell>
          <cell r="K21">
            <v>1</v>
          </cell>
          <cell r="L21">
            <v>19911231</v>
          </cell>
          <cell r="M21">
            <v>2.64</v>
          </cell>
          <cell r="N21">
            <v>19920403</v>
          </cell>
        </row>
        <row r="22">
          <cell r="A22" t="str">
            <v>NU</v>
          </cell>
          <cell r="B22" t="str">
            <v>NU</v>
          </cell>
          <cell r="C22" t="str">
            <v>NORTHEAST UTILS</v>
          </cell>
          <cell r="D22">
            <v>19911219</v>
          </cell>
          <cell r="E22" t="str">
            <v>EPS</v>
          </cell>
          <cell r="F22" t="str">
            <v>ANN</v>
          </cell>
          <cell r="G22">
            <v>1</v>
          </cell>
          <cell r="H22">
            <v>18</v>
          </cell>
          <cell r="I22">
            <v>2</v>
          </cell>
          <cell r="J22">
            <v>1.99</v>
          </cell>
          <cell r="K22">
            <v>1</v>
          </cell>
          <cell r="L22">
            <v>19911231</v>
          </cell>
          <cell r="M22">
            <v>2.12</v>
          </cell>
          <cell r="N22">
            <v>19920128</v>
          </cell>
        </row>
        <row r="23">
          <cell r="A23" t="str">
            <v>OGE</v>
          </cell>
          <cell r="B23" t="str">
            <v>OGE</v>
          </cell>
          <cell r="C23" t="str">
            <v>OKLAHOMA G&amp;E</v>
          </cell>
          <cell r="D23">
            <v>19911219</v>
          </cell>
          <cell r="E23" t="str">
            <v>EPS</v>
          </cell>
          <cell r="F23" t="str">
            <v>ANN</v>
          </cell>
          <cell r="G23">
            <v>1</v>
          </cell>
          <cell r="H23">
            <v>20</v>
          </cell>
          <cell r="I23">
            <v>0.85</v>
          </cell>
          <cell r="J23">
            <v>0.84</v>
          </cell>
          <cell r="K23">
            <v>1</v>
          </cell>
          <cell r="L23">
            <v>19911231</v>
          </cell>
          <cell r="M23">
            <v>0.8175</v>
          </cell>
          <cell r="N23">
            <v>19920203</v>
          </cell>
        </row>
        <row r="24">
          <cell r="A24" t="str">
            <v>SRE</v>
          </cell>
          <cell r="B24" t="str">
            <v>OJ</v>
          </cell>
          <cell r="C24" t="str">
            <v>STONERIDGE RES</v>
          </cell>
          <cell r="D24">
            <v>19911219</v>
          </cell>
          <cell r="E24" t="str">
            <v>EPS</v>
          </cell>
          <cell r="F24" t="str">
            <v>ANN</v>
          </cell>
          <cell r="G24">
            <v>1</v>
          </cell>
          <cell r="H24">
            <v>1</v>
          </cell>
          <cell r="I24">
            <v>-2</v>
          </cell>
          <cell r="J24">
            <v>-2</v>
          </cell>
          <cell r="K24">
            <v>1</v>
          </cell>
          <cell r="L24">
            <v>19911231</v>
          </cell>
          <cell r="M24">
            <v>-7</v>
          </cell>
          <cell r="N24">
            <v>19930308</v>
          </cell>
        </row>
        <row r="25">
          <cell r="A25" t="str">
            <v>OTTR</v>
          </cell>
          <cell r="B25" t="str">
            <v>OTTR</v>
          </cell>
          <cell r="C25" t="str">
            <v>OTTER TAIL PWR</v>
          </cell>
          <cell r="D25">
            <v>19911219</v>
          </cell>
          <cell r="E25" t="str">
            <v>EPS</v>
          </cell>
          <cell r="F25" t="str">
            <v>ANN</v>
          </cell>
          <cell r="G25">
            <v>1</v>
          </cell>
          <cell r="H25">
            <v>5</v>
          </cell>
          <cell r="I25">
            <v>1.02</v>
          </cell>
          <cell r="J25">
            <v>1.04</v>
          </cell>
          <cell r="K25">
            <v>1</v>
          </cell>
          <cell r="L25">
            <v>19911231</v>
          </cell>
          <cell r="M25">
            <v>1.07</v>
          </cell>
          <cell r="N25">
            <v>19920122</v>
          </cell>
        </row>
        <row r="26">
          <cell r="A26" t="str">
            <v>PCG</v>
          </cell>
          <cell r="B26" t="str">
            <v>PCG</v>
          </cell>
          <cell r="C26" t="str">
            <v>PACIFIC G&amp;E</v>
          </cell>
          <cell r="D26">
            <v>19911219</v>
          </cell>
          <cell r="E26" t="str">
            <v>EPS</v>
          </cell>
          <cell r="F26" t="str">
            <v>ANN</v>
          </cell>
          <cell r="G26">
            <v>1</v>
          </cell>
          <cell r="H26">
            <v>24</v>
          </cell>
          <cell r="I26">
            <v>2.15</v>
          </cell>
          <cell r="J26">
            <v>2.13</v>
          </cell>
          <cell r="K26">
            <v>1</v>
          </cell>
          <cell r="L26">
            <v>19911231</v>
          </cell>
          <cell r="M26">
            <v>2.2400000000000002</v>
          </cell>
          <cell r="N26">
            <v>19920115</v>
          </cell>
        </row>
        <row r="27">
          <cell r="A27" t="str">
            <v>PEG</v>
          </cell>
          <cell r="B27" t="str">
            <v>PEG</v>
          </cell>
          <cell r="C27" t="str">
            <v>PUB SVC ENTERS</v>
          </cell>
          <cell r="D27">
            <v>19911219</v>
          </cell>
          <cell r="E27" t="str">
            <v>EPS</v>
          </cell>
          <cell r="F27" t="str">
            <v>ANN</v>
          </cell>
          <cell r="G27">
            <v>1</v>
          </cell>
          <cell r="H27">
            <v>24</v>
          </cell>
          <cell r="I27">
            <v>1.29</v>
          </cell>
          <cell r="J27">
            <v>1.29</v>
          </cell>
          <cell r="K27">
            <v>1</v>
          </cell>
          <cell r="L27">
            <v>19911231</v>
          </cell>
          <cell r="M27">
            <v>1.22</v>
          </cell>
          <cell r="N27">
            <v>19920122</v>
          </cell>
        </row>
        <row r="28">
          <cell r="A28" t="str">
            <v>PGN</v>
          </cell>
          <cell r="B28" t="str">
            <v>PGN</v>
          </cell>
          <cell r="C28" t="str">
            <v>PORTLAND GEN CP</v>
          </cell>
          <cell r="D28">
            <v>19911219</v>
          </cell>
          <cell r="E28" t="str">
            <v>EPS</v>
          </cell>
          <cell r="F28" t="str">
            <v>ANN</v>
          </cell>
          <cell r="G28">
            <v>1</v>
          </cell>
          <cell r="H28">
            <v>16</v>
          </cell>
          <cell r="I28">
            <v>1.08</v>
          </cell>
          <cell r="J28">
            <v>1.08</v>
          </cell>
          <cell r="K28">
            <v>1</v>
          </cell>
          <cell r="L28">
            <v>19911231</v>
          </cell>
          <cell r="M28">
            <v>1.06</v>
          </cell>
          <cell r="N28">
            <v>19920207</v>
          </cell>
        </row>
        <row r="29">
          <cell r="A29" t="str">
            <v>PNM</v>
          </cell>
          <cell r="B29" t="str">
            <v>PNM</v>
          </cell>
          <cell r="C29" t="str">
            <v>PUB SVC N MEX</v>
          </cell>
          <cell r="D29">
            <v>19911219</v>
          </cell>
          <cell r="E29" t="str">
            <v>EPS</v>
          </cell>
          <cell r="F29" t="str">
            <v>ANN</v>
          </cell>
          <cell r="G29">
            <v>1</v>
          </cell>
          <cell r="H29">
            <v>14</v>
          </cell>
          <cell r="I29">
            <v>0.27</v>
          </cell>
          <cell r="J29">
            <v>0.25</v>
          </cell>
          <cell r="K29">
            <v>1</v>
          </cell>
          <cell r="L29">
            <v>19911231</v>
          </cell>
          <cell r="M29">
            <v>0.32</v>
          </cell>
          <cell r="N29">
            <v>19920203</v>
          </cell>
        </row>
        <row r="30">
          <cell r="A30" t="str">
            <v>POM</v>
          </cell>
          <cell r="B30" t="str">
            <v>POM</v>
          </cell>
          <cell r="C30" t="str">
            <v>POTOMAC ELEC</v>
          </cell>
          <cell r="D30">
            <v>19911219</v>
          </cell>
          <cell r="E30" t="str">
            <v>EPS</v>
          </cell>
          <cell r="F30" t="str">
            <v>ANN</v>
          </cell>
          <cell r="G30">
            <v>1</v>
          </cell>
          <cell r="H30">
            <v>24</v>
          </cell>
          <cell r="I30">
            <v>1.9</v>
          </cell>
          <cell r="J30">
            <v>1.9</v>
          </cell>
          <cell r="K30">
            <v>1</v>
          </cell>
          <cell r="L30">
            <v>19911231</v>
          </cell>
          <cell r="M30">
            <v>1.85</v>
          </cell>
          <cell r="N30">
            <v>19920124</v>
          </cell>
        </row>
        <row r="31">
          <cell r="A31" t="str">
            <v>PPL</v>
          </cell>
          <cell r="B31" t="str">
            <v>PPL</v>
          </cell>
          <cell r="C31" t="str">
            <v>PENNA P&amp;L</v>
          </cell>
          <cell r="D31">
            <v>19911219</v>
          </cell>
          <cell r="E31" t="str">
            <v>EPS</v>
          </cell>
          <cell r="F31" t="str">
            <v>ANN</v>
          </cell>
          <cell r="G31">
            <v>1</v>
          </cell>
          <cell r="H31">
            <v>18</v>
          </cell>
          <cell r="I31">
            <v>1.04</v>
          </cell>
          <cell r="J31">
            <v>1.03</v>
          </cell>
          <cell r="K31">
            <v>1</v>
          </cell>
          <cell r="L31">
            <v>19911231</v>
          </cell>
          <cell r="M31">
            <v>1.0024999999999999</v>
          </cell>
          <cell r="N31">
            <v>19920122</v>
          </cell>
        </row>
        <row r="32">
          <cell r="A32" t="str">
            <v>PSD</v>
          </cell>
          <cell r="B32" t="str">
            <v>PSD</v>
          </cell>
          <cell r="C32" t="str">
            <v>PUGET SOUND P&amp;L</v>
          </cell>
          <cell r="D32">
            <v>19911219</v>
          </cell>
          <cell r="E32" t="str">
            <v>EPS</v>
          </cell>
          <cell r="F32" t="str">
            <v>ANN</v>
          </cell>
          <cell r="G32">
            <v>1</v>
          </cell>
          <cell r="H32">
            <v>14</v>
          </cell>
          <cell r="I32">
            <v>2.2000000000000002</v>
          </cell>
          <cell r="J32">
            <v>2.19</v>
          </cell>
          <cell r="K32">
            <v>1</v>
          </cell>
          <cell r="L32">
            <v>19911231</v>
          </cell>
          <cell r="M32">
            <v>2.21</v>
          </cell>
          <cell r="N32">
            <v>19920213</v>
          </cell>
        </row>
        <row r="33">
          <cell r="A33" t="str">
            <v>SCG</v>
          </cell>
          <cell r="B33" t="str">
            <v>SCG</v>
          </cell>
          <cell r="C33" t="str">
            <v>SCANA CP</v>
          </cell>
          <cell r="D33">
            <v>19911219</v>
          </cell>
          <cell r="E33" t="str">
            <v>EPS</v>
          </cell>
          <cell r="F33" t="str">
            <v>ANN</v>
          </cell>
          <cell r="G33">
            <v>1</v>
          </cell>
          <cell r="H33">
            <v>17</v>
          </cell>
          <cell r="I33">
            <v>1.65</v>
          </cell>
          <cell r="J33">
            <v>1.66</v>
          </cell>
          <cell r="K33">
            <v>1</v>
          </cell>
          <cell r="L33">
            <v>19911231</v>
          </cell>
          <cell r="M33">
            <v>1.6850000000000001</v>
          </cell>
          <cell r="N33">
            <v>19920218</v>
          </cell>
        </row>
        <row r="34">
          <cell r="A34" t="str">
            <v>SO</v>
          </cell>
          <cell r="B34" t="str">
            <v>SO</v>
          </cell>
          <cell r="C34" t="str">
            <v>SOUTHN CO</v>
          </cell>
          <cell r="D34">
            <v>19911219</v>
          </cell>
          <cell r="E34" t="str">
            <v>EPS</v>
          </cell>
          <cell r="F34" t="str">
            <v>ANN</v>
          </cell>
          <cell r="G34">
            <v>1</v>
          </cell>
          <cell r="H34">
            <v>25</v>
          </cell>
          <cell r="I34">
            <v>1.3</v>
          </cell>
          <cell r="J34">
            <v>1.31</v>
          </cell>
          <cell r="K34">
            <v>1</v>
          </cell>
          <cell r="L34">
            <v>19911231</v>
          </cell>
          <cell r="M34">
            <v>1.26</v>
          </cell>
          <cell r="N34">
            <v>19920120</v>
          </cell>
        </row>
        <row r="35">
          <cell r="A35" t="str">
            <v>TE</v>
          </cell>
          <cell r="B35" t="str">
            <v>TE</v>
          </cell>
          <cell r="C35" t="str">
            <v>TECO ENERGY INC</v>
          </cell>
          <cell r="D35">
            <v>19911219</v>
          </cell>
          <cell r="E35" t="str">
            <v>EPS</v>
          </cell>
          <cell r="F35" t="str">
            <v>ANN</v>
          </cell>
          <cell r="G35">
            <v>1</v>
          </cell>
          <cell r="H35">
            <v>21</v>
          </cell>
          <cell r="I35">
            <v>1.27</v>
          </cell>
          <cell r="J35">
            <v>1.28</v>
          </cell>
          <cell r="K35">
            <v>1</v>
          </cell>
          <cell r="L35">
            <v>19911231</v>
          </cell>
          <cell r="M35">
            <v>1.2749999999999999</v>
          </cell>
          <cell r="N35">
            <v>19920118</v>
          </cell>
        </row>
        <row r="36">
          <cell r="A36" t="str">
            <v>UIL</v>
          </cell>
          <cell r="B36" t="str">
            <v>UIL</v>
          </cell>
          <cell r="C36" t="str">
            <v>UTD ILLUM CO</v>
          </cell>
          <cell r="D36">
            <v>19911219</v>
          </cell>
          <cell r="E36" t="str">
            <v>EPS</v>
          </cell>
          <cell r="F36" t="str">
            <v>ANN</v>
          </cell>
          <cell r="G36">
            <v>1</v>
          </cell>
          <cell r="H36">
            <v>9</v>
          </cell>
          <cell r="I36">
            <v>2.12</v>
          </cell>
          <cell r="J36">
            <v>2.1</v>
          </cell>
          <cell r="K36">
            <v>1</v>
          </cell>
          <cell r="L36">
            <v>19911231</v>
          </cell>
          <cell r="M36">
            <v>2.1960000000000002</v>
          </cell>
          <cell r="N36">
            <v>19920127</v>
          </cell>
        </row>
        <row r="37">
          <cell r="A37" t="str">
            <v>WEC</v>
          </cell>
          <cell r="B37" t="str">
            <v>WPC</v>
          </cell>
          <cell r="C37" t="str">
            <v>WISCONSIN ENERGY</v>
          </cell>
          <cell r="D37">
            <v>19911219</v>
          </cell>
          <cell r="E37" t="str">
            <v>EPS</v>
          </cell>
          <cell r="F37" t="str">
            <v>ANN</v>
          </cell>
          <cell r="G37">
            <v>1</v>
          </cell>
          <cell r="H37">
            <v>24</v>
          </cell>
          <cell r="I37">
            <v>0.95</v>
          </cell>
          <cell r="J37">
            <v>0.94</v>
          </cell>
          <cell r="K37">
            <v>1</v>
          </cell>
          <cell r="L37">
            <v>19911231</v>
          </cell>
          <cell r="M37">
            <v>0.94350000000000001</v>
          </cell>
          <cell r="N37">
            <v>19920129</v>
          </cell>
        </row>
        <row r="38">
          <cell r="A38" t="str">
            <v>WPS</v>
          </cell>
          <cell r="B38" t="str">
            <v>WPS</v>
          </cell>
          <cell r="C38" t="str">
            <v>WISC PUB SVC</v>
          </cell>
          <cell r="D38">
            <v>19911219</v>
          </cell>
          <cell r="E38" t="str">
            <v>EPS</v>
          </cell>
          <cell r="F38" t="str">
            <v>ANN</v>
          </cell>
          <cell r="G38">
            <v>1</v>
          </cell>
          <cell r="H38">
            <v>11</v>
          </cell>
          <cell r="I38">
            <v>2.15</v>
          </cell>
          <cell r="J38">
            <v>2.13</v>
          </cell>
          <cell r="K38">
            <v>1</v>
          </cell>
          <cell r="L38">
            <v>19911231</v>
          </cell>
          <cell r="M38">
            <v>2.23</v>
          </cell>
          <cell r="N38">
            <v>19920214</v>
          </cell>
        </row>
        <row r="39">
          <cell r="A39" t="str">
            <v>AGR</v>
          </cell>
          <cell r="B39" t="str">
            <v>AGR1</v>
          </cell>
          <cell r="C39" t="str">
            <v>AGRA INDS INC</v>
          </cell>
          <cell r="D39">
            <v>19911219</v>
          </cell>
          <cell r="E39" t="str">
            <v>EPS</v>
          </cell>
          <cell r="F39" t="str">
            <v>ANN</v>
          </cell>
          <cell r="G39">
            <v>1</v>
          </cell>
          <cell r="H39">
            <v>1</v>
          </cell>
          <cell r="I39">
            <v>0.97</v>
          </cell>
          <cell r="J39">
            <v>0.97</v>
          </cell>
          <cell r="K39">
            <v>0</v>
          </cell>
          <cell r="L39">
            <v>19920731</v>
          </cell>
          <cell r="M39">
            <v>-0.15</v>
          </cell>
          <cell r="N39">
            <v>19921030</v>
          </cell>
        </row>
        <row r="40">
          <cell r="A40" t="str">
            <v>FPL</v>
          </cell>
          <cell r="B40" t="str">
            <v>FPI1</v>
          </cell>
          <cell r="C40" t="str">
            <v>FPI LTD</v>
          </cell>
          <cell r="D40">
            <v>19911219</v>
          </cell>
          <cell r="E40" t="str">
            <v>EPS</v>
          </cell>
          <cell r="F40" t="str">
            <v>ANN</v>
          </cell>
          <cell r="G40">
            <v>1</v>
          </cell>
          <cell r="H40">
            <v>6</v>
          </cell>
          <cell r="I40">
            <v>0.15</v>
          </cell>
          <cell r="J40">
            <v>0.19</v>
          </cell>
          <cell r="K40">
            <v>0</v>
          </cell>
          <cell r="L40">
            <v>19911231</v>
          </cell>
          <cell r="M40">
            <v>-0.02</v>
          </cell>
          <cell r="N40">
            <v>19920224</v>
          </cell>
        </row>
      </sheetData>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RDS"/>
    </sheetNames>
    <sheetDataSet>
      <sheetData sheetId="0">
        <row r="1">
          <cell r="A1" t="str">
            <v>OFTIC</v>
          </cell>
          <cell r="B1" t="str">
            <v>IBES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USFIRM=0 if from .INT file and USFIRM=1 if from .US file</v>
          </cell>
          <cell r="M1" t="str">
            <v>Forecast Period End Date (SAS Format)</v>
          </cell>
          <cell r="N1" t="str">
            <v>Actual Value, from the Detail Actuals File</v>
          </cell>
          <cell r="O1" t="str">
            <v>Announce date of the Actual, from the Detail Actuals File</v>
          </cell>
        </row>
        <row r="2">
          <cell r="A2" t="str">
            <v>AEE</v>
          </cell>
          <cell r="B2" t="str">
            <v>AEE</v>
          </cell>
          <cell r="C2" t="str">
            <v>AILEEN INC</v>
          </cell>
          <cell r="D2">
            <v>19911219</v>
          </cell>
          <cell r="E2" t="str">
            <v>EPS</v>
          </cell>
          <cell r="F2" t="str">
            <v>LTG</v>
          </cell>
          <cell r="G2">
            <v>0</v>
          </cell>
          <cell r="H2">
            <v>1</v>
          </cell>
          <cell r="I2">
            <v>20</v>
          </cell>
          <cell r="J2">
            <v>20</v>
          </cell>
          <cell r="L2">
            <v>1</v>
          </cell>
        </row>
        <row r="3">
          <cell r="A3" t="str">
            <v>AVA</v>
          </cell>
          <cell r="B3" t="str">
            <v>AVDO</v>
          </cell>
          <cell r="C3" t="str">
            <v>AUDIO VIDEO AFFI</v>
          </cell>
          <cell r="D3">
            <v>19911219</v>
          </cell>
          <cell r="E3" t="str">
            <v>EPS</v>
          </cell>
          <cell r="F3" t="str">
            <v>LTG</v>
          </cell>
          <cell r="G3">
            <v>0</v>
          </cell>
          <cell r="H3">
            <v>1</v>
          </cell>
          <cell r="I3">
            <v>20</v>
          </cell>
          <cell r="J3">
            <v>20</v>
          </cell>
          <cell r="L3">
            <v>1</v>
          </cell>
        </row>
        <row r="4">
          <cell r="A4" t="str">
            <v>PNW</v>
          </cell>
          <cell r="B4" t="str">
            <v>AZP</v>
          </cell>
          <cell r="C4" t="str">
            <v>PINNACLE WST CAP</v>
          </cell>
          <cell r="D4">
            <v>19911219</v>
          </cell>
          <cell r="E4" t="str">
            <v>EPS</v>
          </cell>
          <cell r="F4" t="str">
            <v>LTG</v>
          </cell>
          <cell r="G4">
            <v>0</v>
          </cell>
          <cell r="H4">
            <v>8</v>
          </cell>
          <cell r="I4">
            <v>8.5</v>
          </cell>
          <cell r="J4">
            <v>11.16</v>
          </cell>
          <cell r="K4">
            <v>8.98</v>
          </cell>
          <cell r="L4">
            <v>1</v>
          </cell>
        </row>
        <row r="5">
          <cell r="A5" t="str">
            <v>BKH</v>
          </cell>
          <cell r="B5" t="str">
            <v>BHP</v>
          </cell>
          <cell r="C5" t="str">
            <v>BLACK HILLS CORP</v>
          </cell>
          <cell r="D5">
            <v>19911219</v>
          </cell>
          <cell r="E5" t="str">
            <v>EPS</v>
          </cell>
          <cell r="F5" t="str">
            <v>LTG</v>
          </cell>
          <cell r="G5">
            <v>0</v>
          </cell>
          <cell r="H5">
            <v>3</v>
          </cell>
          <cell r="I5">
            <v>4</v>
          </cell>
          <cell r="J5">
            <v>5</v>
          </cell>
          <cell r="K5">
            <v>1.73</v>
          </cell>
          <cell r="L5">
            <v>1</v>
          </cell>
        </row>
        <row r="6">
          <cell r="A6" t="str">
            <v>CIN</v>
          </cell>
          <cell r="B6" t="str">
            <v>CIN</v>
          </cell>
          <cell r="C6" t="str">
            <v>CINN GAS &amp; EL</v>
          </cell>
          <cell r="D6">
            <v>19911219</v>
          </cell>
          <cell r="E6" t="str">
            <v>EPS</v>
          </cell>
          <cell r="F6" t="str">
            <v>LTG</v>
          </cell>
          <cell r="G6">
            <v>0</v>
          </cell>
          <cell r="H6">
            <v>8</v>
          </cell>
          <cell r="I6">
            <v>2.5</v>
          </cell>
          <cell r="J6">
            <v>1.88</v>
          </cell>
          <cell r="K6">
            <v>2.12</v>
          </cell>
          <cell r="L6">
            <v>1</v>
          </cell>
        </row>
        <row r="7">
          <cell r="A7" t="str">
            <v>CMS</v>
          </cell>
          <cell r="B7" t="str">
            <v>CMS</v>
          </cell>
          <cell r="C7" t="str">
            <v>CMS ENERGY CORP</v>
          </cell>
          <cell r="D7">
            <v>19911219</v>
          </cell>
          <cell r="E7" t="str">
            <v>EPS</v>
          </cell>
          <cell r="F7" t="str">
            <v>LTG</v>
          </cell>
          <cell r="G7">
            <v>0</v>
          </cell>
          <cell r="H7">
            <v>9</v>
          </cell>
          <cell r="I7">
            <v>2</v>
          </cell>
          <cell r="J7">
            <v>2.2200000000000002</v>
          </cell>
          <cell r="K7">
            <v>4.63</v>
          </cell>
          <cell r="L7">
            <v>1</v>
          </cell>
        </row>
        <row r="8">
          <cell r="A8" t="str">
            <v>CNL</v>
          </cell>
          <cell r="B8" t="str">
            <v>CNL</v>
          </cell>
          <cell r="C8" t="str">
            <v>CENT LA ELEC INC</v>
          </cell>
          <cell r="D8">
            <v>19911219</v>
          </cell>
          <cell r="E8" t="str">
            <v>EPS</v>
          </cell>
          <cell r="F8" t="str">
            <v>LTG</v>
          </cell>
          <cell r="G8">
            <v>0</v>
          </cell>
          <cell r="H8">
            <v>4</v>
          </cell>
          <cell r="I8">
            <v>3.25</v>
          </cell>
          <cell r="J8">
            <v>3.22</v>
          </cell>
          <cell r="K8">
            <v>1.79</v>
          </cell>
          <cell r="L8">
            <v>1</v>
          </cell>
        </row>
        <row r="9">
          <cell r="A9" t="str">
            <v>CV</v>
          </cell>
          <cell r="B9" t="str">
            <v>CV</v>
          </cell>
          <cell r="C9" t="str">
            <v>CNTRL VT PUB SVC</v>
          </cell>
          <cell r="D9">
            <v>19911219</v>
          </cell>
          <cell r="E9" t="str">
            <v>EPS</v>
          </cell>
          <cell r="F9" t="str">
            <v>LTG</v>
          </cell>
          <cell r="G9">
            <v>0</v>
          </cell>
          <cell r="H9">
            <v>3</v>
          </cell>
          <cell r="I9">
            <v>3.3</v>
          </cell>
          <cell r="J9">
            <v>3.43</v>
          </cell>
          <cell r="K9">
            <v>1.5</v>
          </cell>
          <cell r="L9">
            <v>1</v>
          </cell>
        </row>
        <row r="10">
          <cell r="A10" t="str">
            <v>D</v>
          </cell>
          <cell r="B10" t="str">
            <v>D</v>
          </cell>
          <cell r="C10" t="str">
            <v>DOMINION RES INC</v>
          </cell>
          <cell r="D10">
            <v>19911219</v>
          </cell>
          <cell r="E10" t="str">
            <v>EPS</v>
          </cell>
          <cell r="F10" t="str">
            <v>LTG</v>
          </cell>
          <cell r="G10">
            <v>0</v>
          </cell>
          <cell r="H10">
            <v>14</v>
          </cell>
          <cell r="I10">
            <v>3.6</v>
          </cell>
          <cell r="J10">
            <v>3.56</v>
          </cell>
          <cell r="K10">
            <v>0.5</v>
          </cell>
          <cell r="L10">
            <v>1</v>
          </cell>
        </row>
        <row r="11">
          <cell r="A11" t="str">
            <v>DPL</v>
          </cell>
          <cell r="B11" t="str">
            <v>DPL</v>
          </cell>
          <cell r="C11" t="str">
            <v>DPL INC</v>
          </cell>
          <cell r="D11">
            <v>19911219</v>
          </cell>
          <cell r="E11" t="str">
            <v>EPS</v>
          </cell>
          <cell r="F11" t="str">
            <v>LTG</v>
          </cell>
          <cell r="G11">
            <v>0</v>
          </cell>
          <cell r="H11">
            <v>7</v>
          </cell>
          <cell r="I11">
            <v>2</v>
          </cell>
          <cell r="J11">
            <v>2.14</v>
          </cell>
          <cell r="K11">
            <v>1.21</v>
          </cell>
          <cell r="L11">
            <v>1</v>
          </cell>
        </row>
        <row r="12">
          <cell r="A12" t="str">
            <v>DTE</v>
          </cell>
          <cell r="B12" t="str">
            <v>DTE</v>
          </cell>
          <cell r="C12" t="str">
            <v>DETROIT EDISON</v>
          </cell>
          <cell r="D12">
            <v>19911219</v>
          </cell>
          <cell r="E12" t="str">
            <v>EPS</v>
          </cell>
          <cell r="F12" t="str">
            <v>LTG</v>
          </cell>
          <cell r="G12">
            <v>0</v>
          </cell>
          <cell r="H12">
            <v>11</v>
          </cell>
          <cell r="I12">
            <v>4</v>
          </cell>
          <cell r="J12">
            <v>3.44</v>
          </cell>
          <cell r="K12">
            <v>1.58</v>
          </cell>
          <cell r="L12">
            <v>1</v>
          </cell>
        </row>
        <row r="13">
          <cell r="A13" t="str">
            <v>DUK</v>
          </cell>
          <cell r="B13" t="str">
            <v>DUK</v>
          </cell>
          <cell r="C13" t="str">
            <v>DUKE POWER CO</v>
          </cell>
          <cell r="D13">
            <v>19911219</v>
          </cell>
          <cell r="E13" t="str">
            <v>EPS</v>
          </cell>
          <cell r="F13" t="str">
            <v>LTG</v>
          </cell>
          <cell r="G13">
            <v>0</v>
          </cell>
          <cell r="H13">
            <v>15</v>
          </cell>
          <cell r="I13">
            <v>4.3</v>
          </cell>
          <cell r="J13">
            <v>4.46</v>
          </cell>
          <cell r="K13">
            <v>0.9</v>
          </cell>
          <cell r="L13">
            <v>1</v>
          </cell>
        </row>
        <row r="14">
          <cell r="A14" t="str">
            <v>ED</v>
          </cell>
          <cell r="B14" t="str">
            <v>ED</v>
          </cell>
          <cell r="C14" t="str">
            <v>CONSOL EDISON</v>
          </cell>
          <cell r="D14">
            <v>19911219</v>
          </cell>
          <cell r="E14" t="str">
            <v>EPS</v>
          </cell>
          <cell r="F14" t="str">
            <v>LTG</v>
          </cell>
          <cell r="G14">
            <v>0</v>
          </cell>
          <cell r="H14">
            <v>12</v>
          </cell>
          <cell r="I14">
            <v>2.75</v>
          </cell>
          <cell r="J14">
            <v>2.54</v>
          </cell>
          <cell r="K14">
            <v>1.07</v>
          </cell>
          <cell r="L14">
            <v>1</v>
          </cell>
        </row>
        <row r="15">
          <cell r="A15" t="str">
            <v>EDE</v>
          </cell>
          <cell r="B15" t="str">
            <v>EDE</v>
          </cell>
          <cell r="C15" t="str">
            <v>EMPIRE DIST ELEC</v>
          </cell>
          <cell r="D15">
            <v>19911219</v>
          </cell>
          <cell r="E15" t="str">
            <v>EPS</v>
          </cell>
          <cell r="F15" t="str">
            <v>LTG</v>
          </cell>
          <cell r="G15">
            <v>0</v>
          </cell>
          <cell r="H15">
            <v>2</v>
          </cell>
          <cell r="I15">
            <v>4.0999999999999996</v>
          </cell>
          <cell r="J15">
            <v>4.0999999999999996</v>
          </cell>
          <cell r="K15">
            <v>2.69</v>
          </cell>
          <cell r="L15">
            <v>1</v>
          </cell>
        </row>
        <row r="16">
          <cell r="A16" t="str">
            <v>EXC</v>
          </cell>
          <cell r="B16" t="str">
            <v>EXC</v>
          </cell>
          <cell r="C16" t="str">
            <v>EXCEL INDS INC</v>
          </cell>
          <cell r="D16">
            <v>19911219</v>
          </cell>
          <cell r="E16" t="str">
            <v>EPS</v>
          </cell>
          <cell r="F16" t="str">
            <v>LTG</v>
          </cell>
          <cell r="G16">
            <v>0</v>
          </cell>
          <cell r="H16">
            <v>2</v>
          </cell>
          <cell r="I16">
            <v>12</v>
          </cell>
          <cell r="J16">
            <v>12</v>
          </cell>
          <cell r="K16">
            <v>4.24</v>
          </cell>
          <cell r="L16">
            <v>1</v>
          </cell>
        </row>
        <row r="17">
          <cell r="A17" t="str">
            <v>FPL</v>
          </cell>
          <cell r="B17" t="str">
            <v>FPL</v>
          </cell>
          <cell r="C17" t="str">
            <v>FPL GROUP</v>
          </cell>
          <cell r="D17">
            <v>19911219</v>
          </cell>
          <cell r="E17" t="str">
            <v>EPS</v>
          </cell>
          <cell r="F17" t="str">
            <v>LTG</v>
          </cell>
          <cell r="G17">
            <v>0</v>
          </cell>
          <cell r="H17">
            <v>15</v>
          </cell>
          <cell r="I17">
            <v>3</v>
          </cell>
          <cell r="J17">
            <v>3.32</v>
          </cell>
          <cell r="K17">
            <v>1.26</v>
          </cell>
          <cell r="L17">
            <v>1</v>
          </cell>
        </row>
        <row r="18">
          <cell r="A18" t="str">
            <v>HE</v>
          </cell>
          <cell r="B18" t="str">
            <v>HE</v>
          </cell>
          <cell r="C18" t="str">
            <v>HAWAIIAN ELEC</v>
          </cell>
          <cell r="D18">
            <v>19911219</v>
          </cell>
          <cell r="E18" t="str">
            <v>EPS</v>
          </cell>
          <cell r="F18" t="str">
            <v>LTG</v>
          </cell>
          <cell r="G18">
            <v>0</v>
          </cell>
          <cell r="H18">
            <v>4</v>
          </cell>
          <cell r="I18">
            <v>4.4000000000000004</v>
          </cell>
          <cell r="J18">
            <v>4.2</v>
          </cell>
          <cell r="K18">
            <v>0.91</v>
          </cell>
          <cell r="L18">
            <v>1</v>
          </cell>
        </row>
        <row r="19">
          <cell r="A19" t="str">
            <v>IDA</v>
          </cell>
          <cell r="B19" t="str">
            <v>IDA</v>
          </cell>
          <cell r="C19" t="str">
            <v>IDAHO POWER CO</v>
          </cell>
          <cell r="D19">
            <v>19911219</v>
          </cell>
          <cell r="E19" t="str">
            <v>EPS</v>
          </cell>
          <cell r="F19" t="str">
            <v>LTG</v>
          </cell>
          <cell r="G19">
            <v>0</v>
          </cell>
          <cell r="H19">
            <v>9</v>
          </cell>
          <cell r="I19">
            <v>3.8</v>
          </cell>
          <cell r="J19">
            <v>3.83</v>
          </cell>
          <cell r="K19">
            <v>1.36</v>
          </cell>
          <cell r="L19">
            <v>1</v>
          </cell>
        </row>
        <row r="20">
          <cell r="A20" t="str">
            <v>ETR</v>
          </cell>
          <cell r="B20" t="str">
            <v>MSU</v>
          </cell>
          <cell r="C20" t="str">
            <v>ENTERGY CP</v>
          </cell>
          <cell r="D20">
            <v>19911219</v>
          </cell>
          <cell r="E20" t="str">
            <v>EPS</v>
          </cell>
          <cell r="F20" t="str">
            <v>LTG</v>
          </cell>
          <cell r="G20">
            <v>0</v>
          </cell>
          <cell r="H20">
            <v>14</v>
          </cell>
          <cell r="I20">
            <v>5.45</v>
          </cell>
          <cell r="J20">
            <v>4.99</v>
          </cell>
          <cell r="K20">
            <v>1.96</v>
          </cell>
          <cell r="L20">
            <v>1</v>
          </cell>
        </row>
        <row r="21">
          <cell r="A21" t="str">
            <v>NU</v>
          </cell>
          <cell r="B21" t="str">
            <v>NU</v>
          </cell>
          <cell r="C21" t="str">
            <v>NORTHEAST UTILS</v>
          </cell>
          <cell r="D21">
            <v>19911219</v>
          </cell>
          <cell r="E21" t="str">
            <v>EPS</v>
          </cell>
          <cell r="F21" t="str">
            <v>LTG</v>
          </cell>
          <cell r="G21">
            <v>0</v>
          </cell>
          <cell r="H21">
            <v>11</v>
          </cell>
          <cell r="I21">
            <v>3</v>
          </cell>
          <cell r="J21">
            <v>3.41</v>
          </cell>
          <cell r="K21">
            <v>1.71</v>
          </cell>
          <cell r="L21">
            <v>1</v>
          </cell>
        </row>
        <row r="22">
          <cell r="A22" t="str">
            <v>OGE</v>
          </cell>
          <cell r="B22" t="str">
            <v>OGE</v>
          </cell>
          <cell r="C22" t="str">
            <v>OKLAHOMA G&amp;E</v>
          </cell>
          <cell r="D22">
            <v>19911219</v>
          </cell>
          <cell r="E22" t="str">
            <v>EPS</v>
          </cell>
          <cell r="F22" t="str">
            <v>LTG</v>
          </cell>
          <cell r="G22">
            <v>0</v>
          </cell>
          <cell r="H22">
            <v>10</v>
          </cell>
          <cell r="I22">
            <v>3</v>
          </cell>
          <cell r="J22">
            <v>2.4900000000000002</v>
          </cell>
          <cell r="K22">
            <v>1.7</v>
          </cell>
          <cell r="L22">
            <v>1</v>
          </cell>
        </row>
        <row r="23">
          <cell r="A23" t="str">
            <v>OTTR</v>
          </cell>
          <cell r="B23" t="str">
            <v>OTTR</v>
          </cell>
          <cell r="C23" t="str">
            <v>OTTER TAIL PWR</v>
          </cell>
          <cell r="D23">
            <v>19911219</v>
          </cell>
          <cell r="E23" t="str">
            <v>EPS</v>
          </cell>
          <cell r="F23" t="str">
            <v>LTG</v>
          </cell>
          <cell r="G23">
            <v>0</v>
          </cell>
          <cell r="H23">
            <v>2</v>
          </cell>
          <cell r="I23">
            <v>2.5</v>
          </cell>
          <cell r="J23">
            <v>2.5</v>
          </cell>
          <cell r="K23">
            <v>0.71</v>
          </cell>
          <cell r="L23">
            <v>1</v>
          </cell>
        </row>
        <row r="24">
          <cell r="A24" t="str">
            <v>PCG</v>
          </cell>
          <cell r="B24" t="str">
            <v>PCG</v>
          </cell>
          <cell r="C24" t="str">
            <v>PACIFIC G&amp;E</v>
          </cell>
          <cell r="D24">
            <v>19911219</v>
          </cell>
          <cell r="E24" t="str">
            <v>EPS</v>
          </cell>
          <cell r="F24" t="str">
            <v>LTG</v>
          </cell>
          <cell r="G24">
            <v>0</v>
          </cell>
          <cell r="H24">
            <v>17</v>
          </cell>
          <cell r="I24">
            <v>7</v>
          </cell>
          <cell r="J24">
            <v>6.39</v>
          </cell>
          <cell r="K24">
            <v>1.86</v>
          </cell>
          <cell r="L24">
            <v>1</v>
          </cell>
        </row>
        <row r="25">
          <cell r="A25" t="str">
            <v>PEG</v>
          </cell>
          <cell r="B25" t="str">
            <v>PEG</v>
          </cell>
          <cell r="C25" t="str">
            <v>PUB SVC ENTERS</v>
          </cell>
          <cell r="D25">
            <v>19911219</v>
          </cell>
          <cell r="E25" t="str">
            <v>EPS</v>
          </cell>
          <cell r="F25" t="str">
            <v>LTG</v>
          </cell>
          <cell r="G25">
            <v>0</v>
          </cell>
          <cell r="H25">
            <v>13</v>
          </cell>
          <cell r="I25">
            <v>2.8</v>
          </cell>
          <cell r="J25">
            <v>2.81</v>
          </cell>
          <cell r="K25">
            <v>0.95</v>
          </cell>
          <cell r="L25">
            <v>1</v>
          </cell>
        </row>
        <row r="26">
          <cell r="A26" t="str">
            <v>PGN</v>
          </cell>
          <cell r="B26" t="str">
            <v>PGN</v>
          </cell>
          <cell r="C26" t="str">
            <v>PORTLAND GEN CP</v>
          </cell>
          <cell r="D26">
            <v>19911219</v>
          </cell>
          <cell r="E26" t="str">
            <v>EPS</v>
          </cell>
          <cell r="F26" t="str">
            <v>LTG</v>
          </cell>
          <cell r="G26">
            <v>0</v>
          </cell>
          <cell r="H26">
            <v>9</v>
          </cell>
          <cell r="I26">
            <v>4</v>
          </cell>
          <cell r="J26">
            <v>4.07</v>
          </cell>
          <cell r="K26">
            <v>2.46</v>
          </cell>
          <cell r="L26">
            <v>1</v>
          </cell>
        </row>
        <row r="27">
          <cell r="A27" t="str">
            <v>PNM</v>
          </cell>
          <cell r="B27" t="str">
            <v>PNM</v>
          </cell>
          <cell r="C27" t="str">
            <v>PUB SVC N MEX</v>
          </cell>
          <cell r="D27">
            <v>19911219</v>
          </cell>
          <cell r="E27" t="str">
            <v>EPS</v>
          </cell>
          <cell r="F27" t="str">
            <v>LTG</v>
          </cell>
          <cell r="G27">
            <v>0</v>
          </cell>
          <cell r="H27">
            <v>4</v>
          </cell>
          <cell r="I27">
            <v>11.25</v>
          </cell>
          <cell r="J27">
            <v>11.38</v>
          </cell>
          <cell r="K27">
            <v>8.3800000000000008</v>
          </cell>
          <cell r="L27">
            <v>1</v>
          </cell>
        </row>
        <row r="28">
          <cell r="A28" t="str">
            <v>POM</v>
          </cell>
          <cell r="B28" t="str">
            <v>POM</v>
          </cell>
          <cell r="C28" t="str">
            <v>POTOMAC ELEC</v>
          </cell>
          <cell r="D28">
            <v>19911219</v>
          </cell>
          <cell r="E28" t="str">
            <v>EPS</v>
          </cell>
          <cell r="F28" t="str">
            <v>LTG</v>
          </cell>
          <cell r="G28">
            <v>0</v>
          </cell>
          <cell r="H28">
            <v>14</v>
          </cell>
          <cell r="I28">
            <v>3</v>
          </cell>
          <cell r="J28">
            <v>4.46</v>
          </cell>
          <cell r="K28">
            <v>2.79</v>
          </cell>
          <cell r="L28">
            <v>1</v>
          </cell>
        </row>
        <row r="29">
          <cell r="A29" t="str">
            <v>PPL</v>
          </cell>
          <cell r="B29" t="str">
            <v>PPL</v>
          </cell>
          <cell r="C29" t="str">
            <v>PENNA P&amp;L</v>
          </cell>
          <cell r="D29">
            <v>19911219</v>
          </cell>
          <cell r="E29" t="str">
            <v>EPS</v>
          </cell>
          <cell r="F29" t="str">
            <v>LTG</v>
          </cell>
          <cell r="G29">
            <v>0</v>
          </cell>
          <cell r="H29">
            <v>11</v>
          </cell>
          <cell r="I29">
            <v>3.5</v>
          </cell>
          <cell r="J29">
            <v>3.23</v>
          </cell>
          <cell r="K29">
            <v>0.91</v>
          </cell>
          <cell r="L29">
            <v>1</v>
          </cell>
        </row>
        <row r="30">
          <cell r="A30" t="str">
            <v>PSD</v>
          </cell>
          <cell r="B30" t="str">
            <v>PSD</v>
          </cell>
          <cell r="C30" t="str">
            <v>PUGET SOUND P&amp;L</v>
          </cell>
          <cell r="D30">
            <v>19911219</v>
          </cell>
          <cell r="E30" t="str">
            <v>EPS</v>
          </cell>
          <cell r="F30" t="str">
            <v>LTG</v>
          </cell>
          <cell r="G30">
            <v>0</v>
          </cell>
          <cell r="H30">
            <v>5</v>
          </cell>
          <cell r="I30">
            <v>2</v>
          </cell>
          <cell r="J30">
            <v>2.17</v>
          </cell>
          <cell r="K30">
            <v>1.25</v>
          </cell>
          <cell r="L30">
            <v>1</v>
          </cell>
        </row>
        <row r="31">
          <cell r="A31" t="str">
            <v>SCG</v>
          </cell>
          <cell r="B31" t="str">
            <v>SCG</v>
          </cell>
          <cell r="C31" t="str">
            <v>SCANA CP</v>
          </cell>
          <cell r="D31">
            <v>19911219</v>
          </cell>
          <cell r="E31" t="str">
            <v>EPS</v>
          </cell>
          <cell r="F31" t="str">
            <v>LTG</v>
          </cell>
          <cell r="G31">
            <v>0</v>
          </cell>
          <cell r="H31">
            <v>7</v>
          </cell>
          <cell r="I31">
            <v>3</v>
          </cell>
          <cell r="J31">
            <v>2.98</v>
          </cell>
          <cell r="K31">
            <v>1.03</v>
          </cell>
          <cell r="L31">
            <v>1</v>
          </cell>
        </row>
        <row r="32">
          <cell r="A32" t="str">
            <v>SO</v>
          </cell>
          <cell r="B32" t="str">
            <v>SO</v>
          </cell>
          <cell r="C32" t="str">
            <v>SOUTHN CO</v>
          </cell>
          <cell r="D32">
            <v>19911219</v>
          </cell>
          <cell r="E32" t="str">
            <v>EPS</v>
          </cell>
          <cell r="F32" t="str">
            <v>LTG</v>
          </cell>
          <cell r="G32">
            <v>0</v>
          </cell>
          <cell r="H32">
            <v>15</v>
          </cell>
          <cell r="I32">
            <v>3</v>
          </cell>
          <cell r="J32">
            <v>3.07</v>
          </cell>
          <cell r="K32">
            <v>0.76</v>
          </cell>
          <cell r="L32">
            <v>1</v>
          </cell>
        </row>
        <row r="33">
          <cell r="A33" t="str">
            <v>TE</v>
          </cell>
          <cell r="B33" t="str">
            <v>TE</v>
          </cell>
          <cell r="C33" t="str">
            <v>TECO ENERGY INC</v>
          </cell>
          <cell r="D33">
            <v>19911219</v>
          </cell>
          <cell r="E33" t="str">
            <v>EPS</v>
          </cell>
          <cell r="F33" t="str">
            <v>LTG</v>
          </cell>
          <cell r="G33">
            <v>0</v>
          </cell>
          <cell r="H33">
            <v>13</v>
          </cell>
          <cell r="I33">
            <v>5</v>
          </cell>
          <cell r="J33">
            <v>4.93</v>
          </cell>
          <cell r="K33">
            <v>0.98</v>
          </cell>
          <cell r="L33">
            <v>1</v>
          </cell>
        </row>
        <row r="34">
          <cell r="A34" t="str">
            <v>UIL</v>
          </cell>
          <cell r="B34" t="str">
            <v>UIL</v>
          </cell>
          <cell r="C34" t="str">
            <v>UTD ILLUM CO</v>
          </cell>
          <cell r="D34">
            <v>19911219</v>
          </cell>
          <cell r="E34" t="str">
            <v>EPS</v>
          </cell>
          <cell r="F34" t="str">
            <v>LTG</v>
          </cell>
          <cell r="G34">
            <v>0</v>
          </cell>
          <cell r="H34">
            <v>3</v>
          </cell>
          <cell r="I34">
            <v>5</v>
          </cell>
          <cell r="J34">
            <v>4.67</v>
          </cell>
          <cell r="K34">
            <v>0.56999999999999995</v>
          </cell>
          <cell r="L34">
            <v>1</v>
          </cell>
        </row>
        <row r="35">
          <cell r="A35" t="str">
            <v>WEC</v>
          </cell>
          <cell r="B35" t="str">
            <v>WPC</v>
          </cell>
          <cell r="C35" t="str">
            <v>WISCONSIN ENERGY</v>
          </cell>
          <cell r="D35">
            <v>19911219</v>
          </cell>
          <cell r="E35" t="str">
            <v>EPS</v>
          </cell>
          <cell r="F35" t="str">
            <v>LTG</v>
          </cell>
          <cell r="G35">
            <v>0</v>
          </cell>
          <cell r="H35">
            <v>15</v>
          </cell>
          <cell r="I35">
            <v>4.4000000000000004</v>
          </cell>
          <cell r="J35">
            <v>4.12</v>
          </cell>
          <cell r="K35">
            <v>1.2</v>
          </cell>
          <cell r="L35">
            <v>1</v>
          </cell>
        </row>
        <row r="36">
          <cell r="A36" t="str">
            <v>WPS</v>
          </cell>
          <cell r="B36" t="str">
            <v>WPS</v>
          </cell>
          <cell r="C36" t="str">
            <v>WISC PUB SVC</v>
          </cell>
          <cell r="D36">
            <v>19911219</v>
          </cell>
          <cell r="E36" t="str">
            <v>EPS</v>
          </cell>
          <cell r="F36" t="str">
            <v>LTG</v>
          </cell>
          <cell r="G36">
            <v>0</v>
          </cell>
          <cell r="H36">
            <v>6</v>
          </cell>
          <cell r="I36">
            <v>2.75</v>
          </cell>
          <cell r="J36">
            <v>2.97</v>
          </cell>
          <cell r="K36">
            <v>1.1299999999999999</v>
          </cell>
          <cell r="L36">
            <v>1</v>
          </cell>
        </row>
      </sheetData>
    </sheetDataSet>
  </externalBook>
</externalLink>
</file>

<file path=xl/externalLinks/externalLink1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lbznzhd71s8z1mj"/>
    </sheetNames>
    <sheetDataSet>
      <sheetData sheetId="0">
        <row r="1">
          <cell r="B1" t="str">
            <v>Official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Forecast Period End Date (SAS Format)</v>
          </cell>
          <cell r="M1" t="str">
            <v>Actual Value, from the Detail Actuals File</v>
          </cell>
          <cell r="N1" t="str">
            <v>Announce date of the Actual, from the Detail Actuals File</v>
          </cell>
        </row>
        <row r="2">
          <cell r="B2" t="str">
            <v>ATG</v>
          </cell>
          <cell r="C2" t="str">
            <v>ATLANTA GAS LT</v>
          </cell>
          <cell r="D2">
            <v>33591</v>
          </cell>
          <cell r="E2" t="str">
            <v>EPS</v>
          </cell>
          <cell r="F2" t="str">
            <v>ANN</v>
          </cell>
          <cell r="G2" t="str">
            <v>1</v>
          </cell>
          <cell r="H2">
            <v>15</v>
          </cell>
          <cell r="I2">
            <v>1.2</v>
          </cell>
          <cell r="J2">
            <v>1.21</v>
          </cell>
          <cell r="K2">
            <v>0.08</v>
          </cell>
          <cell r="L2">
            <v>33877</v>
          </cell>
          <cell r="M2">
            <v>1.1399999999999999</v>
          </cell>
          <cell r="N2">
            <v>33914</v>
          </cell>
        </row>
        <row r="3">
          <cell r="B3" t="str">
            <v>CGC</v>
          </cell>
          <cell r="C3" t="str">
            <v>CASCADE NAT GAS</v>
          </cell>
          <cell r="D3">
            <v>33591</v>
          </cell>
          <cell r="E3" t="str">
            <v>EPS</v>
          </cell>
          <cell r="F3" t="str">
            <v>ANN</v>
          </cell>
          <cell r="G3" t="str">
            <v>1</v>
          </cell>
          <cell r="H3">
            <v>6</v>
          </cell>
          <cell r="I3">
            <v>1.33</v>
          </cell>
          <cell r="J3">
            <v>1.29</v>
          </cell>
          <cell r="K3">
            <v>0.12</v>
          </cell>
          <cell r="L3">
            <v>33603</v>
          </cell>
          <cell r="M3">
            <v>1.1399999999999999</v>
          </cell>
          <cell r="N3">
            <v>33639</v>
          </cell>
        </row>
        <row r="4">
          <cell r="B4" t="str">
            <v>ATO</v>
          </cell>
          <cell r="C4" t="str">
            <v>ATMOS ENERGY CP</v>
          </cell>
          <cell r="D4">
            <v>33591</v>
          </cell>
          <cell r="E4" t="str">
            <v>EPS</v>
          </cell>
          <cell r="F4" t="str">
            <v>ANN</v>
          </cell>
          <cell r="G4" t="str">
            <v>1</v>
          </cell>
          <cell r="H4">
            <v>4</v>
          </cell>
          <cell r="I4">
            <v>0.77</v>
          </cell>
          <cell r="J4">
            <v>0.77</v>
          </cell>
          <cell r="K4">
            <v>0.02</v>
          </cell>
          <cell r="L4">
            <v>33877</v>
          </cell>
          <cell r="M4">
            <v>0.98670000000000002</v>
          </cell>
          <cell r="N4">
            <v>33919</v>
          </cell>
        </row>
        <row r="5">
          <cell r="B5" t="str">
            <v>GAS</v>
          </cell>
          <cell r="C5" t="str">
            <v>NICOR INC</v>
          </cell>
          <cell r="D5">
            <v>33591</v>
          </cell>
          <cell r="E5" t="str">
            <v>EPS</v>
          </cell>
          <cell r="F5" t="str">
            <v>ANN</v>
          </cell>
          <cell r="G5" t="str">
            <v>1</v>
          </cell>
          <cell r="H5">
            <v>12</v>
          </cell>
          <cell r="I5">
            <v>1.92</v>
          </cell>
          <cell r="J5">
            <v>1.92</v>
          </cell>
          <cell r="K5">
            <v>0.04</v>
          </cell>
          <cell r="L5">
            <v>33603</v>
          </cell>
          <cell r="M5">
            <v>1.855</v>
          </cell>
          <cell r="N5">
            <v>33631</v>
          </cell>
        </row>
        <row r="6">
          <cell r="B6" t="str">
            <v>NI</v>
          </cell>
          <cell r="C6" t="str">
            <v>NIPSCO IND INC</v>
          </cell>
          <cell r="D6">
            <v>33591</v>
          </cell>
          <cell r="E6" t="str">
            <v>EPS</v>
          </cell>
          <cell r="F6" t="str">
            <v>ANN</v>
          </cell>
          <cell r="G6" t="str">
            <v>1</v>
          </cell>
          <cell r="H6">
            <v>20</v>
          </cell>
          <cell r="I6">
            <v>0.97</v>
          </cell>
          <cell r="J6">
            <v>0.98</v>
          </cell>
          <cell r="K6">
            <v>0.02</v>
          </cell>
          <cell r="L6">
            <v>33603</v>
          </cell>
          <cell r="M6">
            <v>0.96499999999999997</v>
          </cell>
          <cell r="N6">
            <v>33637</v>
          </cell>
        </row>
        <row r="7">
          <cell r="B7" t="str">
            <v>NJR</v>
          </cell>
          <cell r="C7" t="str">
            <v>NEW JERSEY RES</v>
          </cell>
          <cell r="D7">
            <v>33591</v>
          </cell>
          <cell r="E7" t="str">
            <v>EPS</v>
          </cell>
          <cell r="F7" t="str">
            <v>ANN</v>
          </cell>
          <cell r="G7" t="str">
            <v>1</v>
          </cell>
          <cell r="H7">
            <v>7</v>
          </cell>
          <cell r="I7">
            <v>0.33</v>
          </cell>
          <cell r="J7">
            <v>0.34</v>
          </cell>
          <cell r="K7">
            <v>0.03</v>
          </cell>
          <cell r="L7">
            <v>33877</v>
          </cell>
          <cell r="M7">
            <v>0.36890000000000001</v>
          </cell>
          <cell r="N7">
            <v>33907</v>
          </cell>
        </row>
        <row r="8">
          <cell r="B8" t="str">
            <v>PNY</v>
          </cell>
          <cell r="C8" t="str">
            <v>PIEDMONT NAT GAS</v>
          </cell>
          <cell r="D8">
            <v>33591</v>
          </cell>
          <cell r="E8" t="str">
            <v>EPS</v>
          </cell>
          <cell r="F8" t="str">
            <v>ANN</v>
          </cell>
          <cell r="G8" t="str">
            <v>1</v>
          </cell>
          <cell r="H8">
            <v>7</v>
          </cell>
          <cell r="I8">
            <v>0.67</v>
          </cell>
          <cell r="J8">
            <v>0.64</v>
          </cell>
          <cell r="K8">
            <v>0.09</v>
          </cell>
          <cell r="L8">
            <v>33908</v>
          </cell>
          <cell r="M8">
            <v>0.70750000000000002</v>
          </cell>
          <cell r="N8">
            <v>33942</v>
          </cell>
        </row>
        <row r="9">
          <cell r="B9" t="str">
            <v>SJI</v>
          </cell>
          <cell r="C9" t="str">
            <v>SO JERSEY INDS</v>
          </cell>
          <cell r="D9">
            <v>33591</v>
          </cell>
          <cell r="E9" t="str">
            <v>EPS</v>
          </cell>
          <cell r="F9" t="str">
            <v>ANN</v>
          </cell>
          <cell r="G9" t="str">
            <v>1</v>
          </cell>
          <cell r="H9">
            <v>2</v>
          </cell>
          <cell r="I9">
            <v>0.37</v>
          </cell>
          <cell r="J9">
            <v>0.37</v>
          </cell>
          <cell r="K9">
            <v>0.06</v>
          </cell>
          <cell r="L9">
            <v>33603</v>
          </cell>
          <cell r="M9">
            <v>0.32100000000000001</v>
          </cell>
          <cell r="N9">
            <v>33630</v>
          </cell>
        </row>
        <row r="10">
          <cell r="B10" t="str">
            <v>SWX</v>
          </cell>
          <cell r="C10" t="str">
            <v>SOUTHWEST GAS</v>
          </cell>
          <cell r="D10">
            <v>33591</v>
          </cell>
          <cell r="E10" t="str">
            <v>EPS</v>
          </cell>
          <cell r="F10" t="str">
            <v>ANN</v>
          </cell>
          <cell r="G10" t="str">
            <v>1</v>
          </cell>
          <cell r="H10">
            <v>4</v>
          </cell>
          <cell r="I10">
            <v>1.25</v>
          </cell>
          <cell r="J10">
            <v>1.2</v>
          </cell>
          <cell r="K10">
            <v>0.24</v>
          </cell>
          <cell r="L10">
            <v>33603</v>
          </cell>
          <cell r="M10">
            <v>-0.76</v>
          </cell>
          <cell r="N10">
            <v>33656</v>
          </cell>
        </row>
        <row r="11">
          <cell r="B11" t="str">
            <v>WGL</v>
          </cell>
          <cell r="C11" t="str">
            <v>WASH GAS LT</v>
          </cell>
          <cell r="D11">
            <v>33591</v>
          </cell>
          <cell r="E11" t="str">
            <v>EPS</v>
          </cell>
          <cell r="F11" t="str">
            <v>ANN</v>
          </cell>
          <cell r="G11" t="str">
            <v>1</v>
          </cell>
          <cell r="H11">
            <v>14</v>
          </cell>
          <cell r="I11">
            <v>1.33</v>
          </cell>
          <cell r="J11">
            <v>1.32</v>
          </cell>
          <cell r="K11">
            <v>0.03</v>
          </cell>
          <cell r="L11">
            <v>33877</v>
          </cell>
          <cell r="M11">
            <v>1.27</v>
          </cell>
          <cell r="N11">
            <v>33905</v>
          </cell>
        </row>
      </sheetData>
    </sheetDataSet>
  </externalBook>
</externalLink>
</file>

<file path=xl/externalLinks/externalLink1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th761amax5qosok"/>
    </sheetNames>
    <sheetDataSet>
      <sheetData sheetId="0">
        <row r="1">
          <cell r="B1" t="str">
            <v>Official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Forecast Period End Date (SAS Format)</v>
          </cell>
          <cell r="M1" t="str">
            <v>Actual Value, from the Detail Actuals File</v>
          </cell>
          <cell r="N1" t="str">
            <v>Announce date of the Actual, from the Detail Actuals File</v>
          </cell>
        </row>
        <row r="2">
          <cell r="B2" t="str">
            <v>ATG</v>
          </cell>
          <cell r="C2" t="str">
            <v>ATLANTA GAS LT</v>
          </cell>
          <cell r="D2">
            <v>33591</v>
          </cell>
          <cell r="E2" t="str">
            <v>EPS</v>
          </cell>
          <cell r="F2" t="str">
            <v>LTG</v>
          </cell>
          <cell r="G2" t="str">
            <v>0</v>
          </cell>
          <cell r="H2">
            <v>10</v>
          </cell>
          <cell r="I2">
            <v>6.5</v>
          </cell>
          <cell r="J2">
            <v>6.05</v>
          </cell>
          <cell r="K2">
            <v>1.61</v>
          </cell>
        </row>
        <row r="3">
          <cell r="B3" t="str">
            <v>CGC</v>
          </cell>
          <cell r="C3" t="str">
            <v>CASCADE NAT GAS</v>
          </cell>
          <cell r="D3">
            <v>33591</v>
          </cell>
          <cell r="E3" t="str">
            <v>EPS</v>
          </cell>
          <cell r="F3" t="str">
            <v>LTG</v>
          </cell>
          <cell r="G3" t="str">
            <v>0</v>
          </cell>
          <cell r="H3">
            <v>4</v>
          </cell>
          <cell r="I3">
            <v>4.5</v>
          </cell>
          <cell r="J3">
            <v>5</v>
          </cell>
          <cell r="K3">
            <v>2.16</v>
          </cell>
        </row>
        <row r="4">
          <cell r="B4" t="str">
            <v>ATO</v>
          </cell>
          <cell r="C4" t="str">
            <v>ATMOS ENERGY CP</v>
          </cell>
          <cell r="D4">
            <v>33591</v>
          </cell>
          <cell r="E4" t="str">
            <v>EPS</v>
          </cell>
          <cell r="F4" t="str">
            <v>LTG</v>
          </cell>
          <cell r="G4" t="str">
            <v>0</v>
          </cell>
          <cell r="H4">
            <v>2</v>
          </cell>
          <cell r="I4">
            <v>7.25</v>
          </cell>
          <cell r="J4">
            <v>7.25</v>
          </cell>
          <cell r="K4">
            <v>6.01</v>
          </cell>
        </row>
        <row r="5">
          <cell r="B5" t="str">
            <v>GAS</v>
          </cell>
          <cell r="C5" t="str">
            <v>NICOR INC</v>
          </cell>
          <cell r="D5">
            <v>33591</v>
          </cell>
          <cell r="E5" t="str">
            <v>EPS</v>
          </cell>
          <cell r="F5" t="str">
            <v>LTG</v>
          </cell>
          <cell r="G5" t="str">
            <v>0</v>
          </cell>
          <cell r="H5">
            <v>6</v>
          </cell>
          <cell r="I5">
            <v>5</v>
          </cell>
          <cell r="J5">
            <v>5.33</v>
          </cell>
          <cell r="K5">
            <v>1.03</v>
          </cell>
        </row>
        <row r="6">
          <cell r="B6" t="str">
            <v>NI</v>
          </cell>
          <cell r="C6" t="str">
            <v>NIPSCO IND INC</v>
          </cell>
          <cell r="D6">
            <v>33591</v>
          </cell>
          <cell r="E6" t="str">
            <v>EPS</v>
          </cell>
          <cell r="F6" t="str">
            <v>LTG</v>
          </cell>
          <cell r="G6" t="str">
            <v>0</v>
          </cell>
          <cell r="H6">
            <v>12</v>
          </cell>
          <cell r="I6">
            <v>6</v>
          </cell>
          <cell r="J6">
            <v>5.84</v>
          </cell>
          <cell r="K6">
            <v>1.39</v>
          </cell>
        </row>
        <row r="7">
          <cell r="B7" t="str">
            <v>NJR</v>
          </cell>
          <cell r="C7" t="str">
            <v>NEW JERSEY RES</v>
          </cell>
          <cell r="D7">
            <v>33591</v>
          </cell>
          <cell r="E7" t="str">
            <v>EPS</v>
          </cell>
          <cell r="F7" t="str">
            <v>LTG</v>
          </cell>
          <cell r="G7" t="str">
            <v>0</v>
          </cell>
          <cell r="H7">
            <v>6</v>
          </cell>
          <cell r="I7">
            <v>5.5</v>
          </cell>
          <cell r="J7">
            <v>7.33</v>
          </cell>
          <cell r="K7">
            <v>4.97</v>
          </cell>
        </row>
        <row r="8">
          <cell r="B8" t="str">
            <v>PNY</v>
          </cell>
          <cell r="C8" t="str">
            <v>PIEDMONT NAT GAS</v>
          </cell>
          <cell r="D8">
            <v>33591</v>
          </cell>
          <cell r="E8" t="str">
            <v>EPS</v>
          </cell>
          <cell r="F8" t="str">
            <v>LTG</v>
          </cell>
          <cell r="G8" t="str">
            <v>0</v>
          </cell>
          <cell r="H8">
            <v>5</v>
          </cell>
          <cell r="I8">
            <v>6</v>
          </cell>
          <cell r="J8">
            <v>6.6</v>
          </cell>
          <cell r="K8">
            <v>3.29</v>
          </cell>
        </row>
        <row r="9">
          <cell r="B9" t="str">
            <v>SJI</v>
          </cell>
          <cell r="C9" t="str">
            <v>SO JERSEY INDS</v>
          </cell>
          <cell r="D9">
            <v>33591</v>
          </cell>
          <cell r="E9" t="str">
            <v>EPS</v>
          </cell>
          <cell r="F9" t="str">
            <v>LTG</v>
          </cell>
          <cell r="G9" t="str">
            <v>0</v>
          </cell>
          <cell r="H9">
            <v>1</v>
          </cell>
          <cell r="I9">
            <v>4</v>
          </cell>
          <cell r="J9">
            <v>4</v>
          </cell>
        </row>
        <row r="10">
          <cell r="B10" t="str">
            <v>SWX</v>
          </cell>
          <cell r="C10" t="str">
            <v>SOUTHWEST GAS</v>
          </cell>
          <cell r="D10">
            <v>33591</v>
          </cell>
          <cell r="E10" t="str">
            <v>EPS</v>
          </cell>
          <cell r="F10" t="str">
            <v>LTG</v>
          </cell>
          <cell r="G10" t="str">
            <v>0</v>
          </cell>
          <cell r="H10">
            <v>2</v>
          </cell>
          <cell r="I10">
            <v>4.5</v>
          </cell>
          <cell r="J10">
            <v>4.5</v>
          </cell>
          <cell r="K10">
            <v>0.71</v>
          </cell>
        </row>
        <row r="11">
          <cell r="B11" t="str">
            <v>WGL</v>
          </cell>
          <cell r="C11" t="str">
            <v>WASH GAS LT</v>
          </cell>
          <cell r="D11">
            <v>33591</v>
          </cell>
          <cell r="E11" t="str">
            <v>EPS</v>
          </cell>
          <cell r="F11" t="str">
            <v>LTG</v>
          </cell>
          <cell r="G11" t="str">
            <v>0</v>
          </cell>
          <cell r="H11">
            <v>7</v>
          </cell>
          <cell r="I11">
            <v>4</v>
          </cell>
          <cell r="J11">
            <v>3.71</v>
          </cell>
          <cell r="K11">
            <v>0.76</v>
          </cell>
        </row>
      </sheetData>
    </sheetDataSet>
  </externalBook>
</externalLink>
</file>

<file path=xl/externalLinks/externalLink1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RDS"/>
    </sheetNames>
    <sheetDataSet>
      <sheetData sheetId="0">
        <row r="1">
          <cell r="A1" t="str">
            <v>OFTIC</v>
          </cell>
          <cell r="B1" t="str">
            <v>IBES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USFIRM=0 if from .INT file and USFIRM=1 if from .US file</v>
          </cell>
          <cell r="L1" t="str">
            <v>Forecast Period End Date (SAS Format)</v>
          </cell>
          <cell r="M1" t="str">
            <v>Actual Value, from the Detail Actuals File</v>
          </cell>
          <cell r="N1" t="str">
            <v>Announce date of the Actual, from the Detail Actuals File</v>
          </cell>
        </row>
        <row r="2">
          <cell r="A2" t="str">
            <v>AVA</v>
          </cell>
          <cell r="B2" t="str">
            <v>AVDO</v>
          </cell>
          <cell r="C2" t="str">
            <v>AUDIO VIDEO AFFI</v>
          </cell>
          <cell r="D2">
            <v>19901220</v>
          </cell>
          <cell r="E2" t="str">
            <v>EPS</v>
          </cell>
          <cell r="F2" t="str">
            <v>ANN</v>
          </cell>
          <cell r="G2">
            <v>1</v>
          </cell>
          <cell r="H2">
            <v>2</v>
          </cell>
          <cell r="I2">
            <v>0.06</v>
          </cell>
          <cell r="J2">
            <v>0.06</v>
          </cell>
          <cell r="K2">
            <v>1</v>
          </cell>
          <cell r="L2">
            <v>19910131</v>
          </cell>
          <cell r="M2">
            <v>0.1956</v>
          </cell>
          <cell r="N2">
            <v>19910426</v>
          </cell>
        </row>
        <row r="3">
          <cell r="A3" t="str">
            <v>PNW</v>
          </cell>
          <cell r="B3" t="str">
            <v>AZP</v>
          </cell>
          <cell r="C3" t="str">
            <v>PINNACLE WST CAP</v>
          </cell>
          <cell r="D3">
            <v>19901220</v>
          </cell>
          <cell r="E3" t="str">
            <v>EPS</v>
          </cell>
          <cell r="F3" t="str">
            <v>ANN</v>
          </cell>
          <cell r="G3">
            <v>1</v>
          </cell>
          <cell r="H3">
            <v>17</v>
          </cell>
          <cell r="I3">
            <v>1</v>
          </cell>
          <cell r="J3">
            <v>1.05</v>
          </cell>
          <cell r="K3">
            <v>1</v>
          </cell>
          <cell r="L3">
            <v>19901231</v>
          </cell>
          <cell r="M3">
            <v>1.1000000000000001</v>
          </cell>
          <cell r="N3">
            <v>19910128</v>
          </cell>
        </row>
        <row r="4">
          <cell r="A4" t="str">
            <v>BKH</v>
          </cell>
          <cell r="B4" t="str">
            <v>BHP</v>
          </cell>
          <cell r="C4" t="str">
            <v>BLACK HILLS CORP</v>
          </cell>
          <cell r="D4">
            <v>19901220</v>
          </cell>
          <cell r="E4" t="str">
            <v>EPS</v>
          </cell>
          <cell r="F4" t="str">
            <v>ANN</v>
          </cell>
          <cell r="G4">
            <v>1</v>
          </cell>
          <cell r="H4">
            <v>7</v>
          </cell>
          <cell r="I4">
            <v>1.1100000000000001</v>
          </cell>
          <cell r="J4">
            <v>1.1100000000000001</v>
          </cell>
          <cell r="K4">
            <v>1</v>
          </cell>
          <cell r="L4">
            <v>19901231</v>
          </cell>
          <cell r="M4">
            <v>1.1200000000000001</v>
          </cell>
          <cell r="N4">
            <v>19910201</v>
          </cell>
        </row>
        <row r="5">
          <cell r="A5" t="str">
            <v>CIN</v>
          </cell>
          <cell r="B5" t="str">
            <v>CIN</v>
          </cell>
          <cell r="C5" t="str">
            <v>CINN GAS &amp; EL</v>
          </cell>
          <cell r="D5">
            <v>19901220</v>
          </cell>
          <cell r="E5" t="str">
            <v>EPS</v>
          </cell>
          <cell r="F5" t="str">
            <v>ANN</v>
          </cell>
          <cell r="G5">
            <v>1</v>
          </cell>
          <cell r="H5">
            <v>16</v>
          </cell>
          <cell r="I5">
            <v>2.73</v>
          </cell>
          <cell r="J5">
            <v>2.72</v>
          </cell>
          <cell r="K5">
            <v>1</v>
          </cell>
          <cell r="L5">
            <v>19901231</v>
          </cell>
          <cell r="M5">
            <v>2.74</v>
          </cell>
          <cell r="N5">
            <v>19910123</v>
          </cell>
        </row>
        <row r="6">
          <cell r="A6" t="str">
            <v>CMS</v>
          </cell>
          <cell r="B6" t="str">
            <v>CMS</v>
          </cell>
          <cell r="C6" t="str">
            <v>CMS ENERGY CORP</v>
          </cell>
          <cell r="D6">
            <v>19901220</v>
          </cell>
          <cell r="E6" t="str">
            <v>EPS</v>
          </cell>
          <cell r="F6" t="str">
            <v>ANN</v>
          </cell>
          <cell r="G6">
            <v>1</v>
          </cell>
          <cell r="H6">
            <v>22</v>
          </cell>
          <cell r="I6">
            <v>3.83</v>
          </cell>
          <cell r="J6">
            <v>3.82</v>
          </cell>
          <cell r="K6">
            <v>1</v>
          </cell>
          <cell r="L6">
            <v>19901231</v>
          </cell>
          <cell r="M6">
            <v>3.45</v>
          </cell>
          <cell r="N6">
            <v>19910227</v>
          </cell>
        </row>
        <row r="7">
          <cell r="A7" t="str">
            <v>CNL</v>
          </cell>
          <cell r="B7" t="str">
            <v>CNL</v>
          </cell>
          <cell r="C7" t="str">
            <v>CENT LA ELEC INC</v>
          </cell>
          <cell r="D7">
            <v>19901220</v>
          </cell>
          <cell r="E7" t="str">
            <v>EPS</v>
          </cell>
          <cell r="F7" t="str">
            <v>ANN</v>
          </cell>
          <cell r="G7">
            <v>1</v>
          </cell>
          <cell r="H7">
            <v>8</v>
          </cell>
          <cell r="I7">
            <v>0.9</v>
          </cell>
          <cell r="J7">
            <v>0.9</v>
          </cell>
          <cell r="K7">
            <v>1</v>
          </cell>
          <cell r="L7">
            <v>19901231</v>
          </cell>
          <cell r="M7">
            <v>0.92749999999999999</v>
          </cell>
          <cell r="N7">
            <v>19910201</v>
          </cell>
        </row>
        <row r="8">
          <cell r="A8" t="str">
            <v>CNP</v>
          </cell>
          <cell r="B8" t="str">
            <v>CNP</v>
          </cell>
          <cell r="C8" t="str">
            <v>CROWN CENT PETE</v>
          </cell>
          <cell r="D8">
            <v>19901220</v>
          </cell>
          <cell r="E8" t="str">
            <v>EPS</v>
          </cell>
          <cell r="F8" t="str">
            <v>ANN</v>
          </cell>
          <cell r="G8">
            <v>1</v>
          </cell>
          <cell r="H8">
            <v>3</v>
          </cell>
          <cell r="I8">
            <v>2.44</v>
          </cell>
          <cell r="J8">
            <v>2.5299999999999998</v>
          </cell>
          <cell r="K8">
            <v>1</v>
          </cell>
          <cell r="L8">
            <v>19901231</v>
          </cell>
          <cell r="M8">
            <v>2.65</v>
          </cell>
          <cell r="N8">
            <v>19910301</v>
          </cell>
        </row>
        <row r="9">
          <cell r="A9" t="str">
            <v>CV</v>
          </cell>
          <cell r="B9" t="str">
            <v>CV</v>
          </cell>
          <cell r="C9" t="str">
            <v>CNTRL VT PUB SVC</v>
          </cell>
          <cell r="D9">
            <v>19901220</v>
          </cell>
          <cell r="E9" t="str">
            <v>EPS</v>
          </cell>
          <cell r="F9" t="str">
            <v>ANN</v>
          </cell>
          <cell r="G9">
            <v>1</v>
          </cell>
          <cell r="H9">
            <v>5</v>
          </cell>
          <cell r="I9">
            <v>1.67</v>
          </cell>
          <cell r="J9">
            <v>1.58</v>
          </cell>
          <cell r="K9">
            <v>1</v>
          </cell>
          <cell r="L9">
            <v>19901231</v>
          </cell>
          <cell r="M9">
            <v>1.56</v>
          </cell>
          <cell r="N9">
            <v>19910213</v>
          </cell>
        </row>
        <row r="10">
          <cell r="A10" t="str">
            <v>D</v>
          </cell>
          <cell r="B10" t="str">
            <v>D</v>
          </cell>
          <cell r="C10" t="str">
            <v>DOMINION RES INC</v>
          </cell>
          <cell r="D10">
            <v>19901220</v>
          </cell>
          <cell r="E10" t="str">
            <v>EPS</v>
          </cell>
          <cell r="F10" t="str">
            <v>ANN</v>
          </cell>
          <cell r="G10">
            <v>1</v>
          </cell>
          <cell r="H10">
            <v>29</v>
          </cell>
          <cell r="I10">
            <v>1.45</v>
          </cell>
          <cell r="J10">
            <v>1.46</v>
          </cell>
          <cell r="K10">
            <v>1</v>
          </cell>
          <cell r="L10">
            <v>19901231</v>
          </cell>
          <cell r="M10">
            <v>1.38</v>
          </cell>
          <cell r="N10">
            <v>19910128</v>
          </cell>
        </row>
        <row r="11">
          <cell r="A11" t="str">
            <v>DPL</v>
          </cell>
          <cell r="B11" t="str">
            <v>DPL</v>
          </cell>
          <cell r="C11" t="str">
            <v>DPL INC</v>
          </cell>
          <cell r="D11">
            <v>19901220</v>
          </cell>
          <cell r="E11" t="str">
            <v>EPS</v>
          </cell>
          <cell r="F11" t="str">
            <v>ANN</v>
          </cell>
          <cell r="G11">
            <v>1</v>
          </cell>
          <cell r="H11">
            <v>16</v>
          </cell>
          <cell r="I11">
            <v>0.98</v>
          </cell>
          <cell r="J11">
            <v>0.98</v>
          </cell>
          <cell r="K11">
            <v>1</v>
          </cell>
          <cell r="L11">
            <v>19901231</v>
          </cell>
          <cell r="M11">
            <v>0.99129999999999996</v>
          </cell>
          <cell r="N11">
            <v>19910122</v>
          </cell>
        </row>
        <row r="12">
          <cell r="A12" t="str">
            <v>DTE</v>
          </cell>
          <cell r="B12" t="str">
            <v>DTE</v>
          </cell>
          <cell r="C12" t="str">
            <v>DETROIT EDISON</v>
          </cell>
          <cell r="D12">
            <v>19901220</v>
          </cell>
          <cell r="E12" t="str">
            <v>EPS</v>
          </cell>
          <cell r="F12" t="str">
            <v>ANN</v>
          </cell>
          <cell r="G12">
            <v>1</v>
          </cell>
          <cell r="H12">
            <v>23</v>
          </cell>
          <cell r="I12">
            <v>3.15</v>
          </cell>
          <cell r="J12">
            <v>3.12</v>
          </cell>
          <cell r="K12">
            <v>1</v>
          </cell>
          <cell r="L12">
            <v>19901231</v>
          </cell>
          <cell r="M12">
            <v>3.27</v>
          </cell>
          <cell r="N12">
            <v>19910128</v>
          </cell>
        </row>
        <row r="13">
          <cell r="A13" t="str">
            <v>DUK</v>
          </cell>
          <cell r="B13" t="str">
            <v>DUK</v>
          </cell>
          <cell r="C13" t="str">
            <v>DUKE POWER CO</v>
          </cell>
          <cell r="D13">
            <v>19901220</v>
          </cell>
          <cell r="E13" t="str">
            <v>EPS</v>
          </cell>
          <cell r="F13" t="str">
            <v>ANN</v>
          </cell>
          <cell r="G13">
            <v>1</v>
          </cell>
          <cell r="H13">
            <v>26</v>
          </cell>
          <cell r="I13">
            <v>3.88</v>
          </cell>
          <cell r="J13">
            <v>3.84</v>
          </cell>
          <cell r="K13">
            <v>1</v>
          </cell>
          <cell r="L13">
            <v>19901231</v>
          </cell>
          <cell r="M13">
            <v>3.6150000000000002</v>
          </cell>
          <cell r="N13">
            <v>19910122</v>
          </cell>
        </row>
        <row r="14">
          <cell r="A14" t="str">
            <v>ED</v>
          </cell>
          <cell r="B14" t="str">
            <v>ED</v>
          </cell>
          <cell r="C14" t="str">
            <v>CONSOL EDISON</v>
          </cell>
          <cell r="D14">
            <v>19901220</v>
          </cell>
          <cell r="E14" t="str">
            <v>EPS</v>
          </cell>
          <cell r="F14" t="str">
            <v>ANN</v>
          </cell>
          <cell r="G14">
            <v>1</v>
          </cell>
          <cell r="H14">
            <v>28</v>
          </cell>
          <cell r="I14">
            <v>2.2999999999999998</v>
          </cell>
          <cell r="J14">
            <v>2.33</v>
          </cell>
          <cell r="K14">
            <v>1</v>
          </cell>
          <cell r="L14">
            <v>19901231</v>
          </cell>
          <cell r="M14">
            <v>2.335</v>
          </cell>
          <cell r="N14">
            <v>19910122</v>
          </cell>
        </row>
        <row r="15">
          <cell r="A15" t="str">
            <v>EDE</v>
          </cell>
          <cell r="B15" t="str">
            <v>EDE</v>
          </cell>
          <cell r="C15" t="str">
            <v>EMPIRE DIST ELEC</v>
          </cell>
          <cell r="D15">
            <v>19901220</v>
          </cell>
          <cell r="E15" t="str">
            <v>EPS</v>
          </cell>
          <cell r="F15" t="str">
            <v>ANN</v>
          </cell>
          <cell r="G15">
            <v>1</v>
          </cell>
          <cell r="H15">
            <v>3</v>
          </cell>
          <cell r="I15">
            <v>1.38</v>
          </cell>
          <cell r="J15">
            <v>1.37</v>
          </cell>
          <cell r="K15">
            <v>1</v>
          </cell>
          <cell r="L15">
            <v>19901231</v>
          </cell>
          <cell r="M15">
            <v>1.155</v>
          </cell>
          <cell r="N15">
            <v>19910125</v>
          </cell>
        </row>
        <row r="16">
          <cell r="A16" t="str">
            <v>EXC</v>
          </cell>
          <cell r="B16" t="str">
            <v>EXC</v>
          </cell>
          <cell r="C16" t="str">
            <v>EXCEL INDS INC</v>
          </cell>
          <cell r="D16">
            <v>19901220</v>
          </cell>
          <cell r="E16" t="str">
            <v>EPS</v>
          </cell>
          <cell r="F16" t="str">
            <v>ANN</v>
          </cell>
          <cell r="G16">
            <v>1</v>
          </cell>
          <cell r="H16">
            <v>4</v>
          </cell>
          <cell r="I16">
            <v>1.05</v>
          </cell>
          <cell r="J16">
            <v>1.06</v>
          </cell>
          <cell r="K16">
            <v>1</v>
          </cell>
          <cell r="L16">
            <v>19901231</v>
          </cell>
          <cell r="M16">
            <v>0.8</v>
          </cell>
          <cell r="N16">
            <v>19910222</v>
          </cell>
        </row>
        <row r="17">
          <cell r="A17" t="str">
            <v>FPL</v>
          </cell>
          <cell r="B17" t="str">
            <v>FPL</v>
          </cell>
          <cell r="C17" t="str">
            <v>FPL GROUP</v>
          </cell>
          <cell r="D17">
            <v>19901220</v>
          </cell>
          <cell r="E17" t="str">
            <v>EPS</v>
          </cell>
          <cell r="F17" t="str">
            <v>ANN</v>
          </cell>
          <cell r="G17">
            <v>1</v>
          </cell>
          <cell r="H17">
            <v>23</v>
          </cell>
          <cell r="I17">
            <v>0.35</v>
          </cell>
          <cell r="J17">
            <v>0.35</v>
          </cell>
          <cell r="K17">
            <v>1</v>
          </cell>
          <cell r="L17">
            <v>19901231</v>
          </cell>
        </row>
        <row r="18">
          <cell r="A18" t="str">
            <v>HE</v>
          </cell>
          <cell r="B18" t="str">
            <v>HE</v>
          </cell>
          <cell r="C18" t="str">
            <v>HAWAIIAN ELEC</v>
          </cell>
          <cell r="D18">
            <v>19901220</v>
          </cell>
          <cell r="E18" t="str">
            <v>EPS</v>
          </cell>
          <cell r="F18" t="str">
            <v>ANN</v>
          </cell>
          <cell r="G18">
            <v>1</v>
          </cell>
          <cell r="H18">
            <v>7</v>
          </cell>
          <cell r="I18">
            <v>1.3</v>
          </cell>
          <cell r="J18">
            <v>1.31</v>
          </cell>
          <cell r="K18">
            <v>1</v>
          </cell>
          <cell r="L18">
            <v>19901231</v>
          </cell>
          <cell r="M18">
            <v>1.28</v>
          </cell>
          <cell r="N18">
            <v>19910221</v>
          </cell>
        </row>
        <row r="19">
          <cell r="A19" t="str">
            <v>IDA</v>
          </cell>
          <cell r="B19" t="str">
            <v>IDA</v>
          </cell>
          <cell r="C19" t="str">
            <v>IDAHO POWER CO</v>
          </cell>
          <cell r="D19">
            <v>19901220</v>
          </cell>
          <cell r="E19" t="str">
            <v>EPS</v>
          </cell>
          <cell r="F19" t="str">
            <v>ANN</v>
          </cell>
          <cell r="G19">
            <v>1</v>
          </cell>
          <cell r="H19">
            <v>18</v>
          </cell>
          <cell r="I19">
            <v>1.9</v>
          </cell>
          <cell r="J19">
            <v>1.91</v>
          </cell>
          <cell r="K19">
            <v>1</v>
          </cell>
          <cell r="L19">
            <v>19901231</v>
          </cell>
          <cell r="M19">
            <v>1.92</v>
          </cell>
          <cell r="N19">
            <v>19910201</v>
          </cell>
        </row>
        <row r="20">
          <cell r="A20" t="str">
            <v>ETR</v>
          </cell>
          <cell r="B20" t="str">
            <v>MSU</v>
          </cell>
          <cell r="C20" t="str">
            <v>ENTERGY CP</v>
          </cell>
          <cell r="D20">
            <v>19901220</v>
          </cell>
          <cell r="E20" t="str">
            <v>EPS</v>
          </cell>
          <cell r="F20" t="str">
            <v>ANN</v>
          </cell>
          <cell r="G20">
            <v>1</v>
          </cell>
          <cell r="H20">
            <v>22</v>
          </cell>
          <cell r="I20">
            <v>2.25</v>
          </cell>
          <cell r="J20">
            <v>2.21</v>
          </cell>
          <cell r="K20">
            <v>1</v>
          </cell>
          <cell r="L20">
            <v>19901231</v>
          </cell>
          <cell r="M20">
            <v>2.44</v>
          </cell>
          <cell r="N20">
            <v>19910216</v>
          </cell>
        </row>
        <row r="21">
          <cell r="A21" t="str">
            <v>NU</v>
          </cell>
          <cell r="B21" t="str">
            <v>NU</v>
          </cell>
          <cell r="C21" t="str">
            <v>NORTHEAST UTILS</v>
          </cell>
          <cell r="D21">
            <v>19901220</v>
          </cell>
          <cell r="E21" t="str">
            <v>EPS</v>
          </cell>
          <cell r="F21" t="str">
            <v>ANN</v>
          </cell>
          <cell r="G21">
            <v>1</v>
          </cell>
          <cell r="H21">
            <v>21</v>
          </cell>
          <cell r="I21">
            <v>2.0499999999999998</v>
          </cell>
          <cell r="J21">
            <v>2.04</v>
          </cell>
          <cell r="K21">
            <v>1</v>
          </cell>
          <cell r="L21">
            <v>19901231</v>
          </cell>
          <cell r="M21">
            <v>1.94</v>
          </cell>
          <cell r="N21">
            <v>19910122</v>
          </cell>
        </row>
        <row r="22">
          <cell r="A22" t="str">
            <v>OGE</v>
          </cell>
          <cell r="B22" t="str">
            <v>OGE</v>
          </cell>
          <cell r="C22" t="str">
            <v>OKLAHOMA G&amp;E</v>
          </cell>
          <cell r="D22">
            <v>19901220</v>
          </cell>
          <cell r="E22" t="str">
            <v>EPS</v>
          </cell>
          <cell r="F22" t="str">
            <v>ANN</v>
          </cell>
          <cell r="G22">
            <v>1</v>
          </cell>
          <cell r="H22">
            <v>21</v>
          </cell>
          <cell r="I22">
            <v>0.84</v>
          </cell>
          <cell r="J22">
            <v>0.83</v>
          </cell>
          <cell r="K22">
            <v>1</v>
          </cell>
          <cell r="L22">
            <v>19901231</v>
          </cell>
        </row>
        <row r="23">
          <cell r="A23" t="str">
            <v>SRE</v>
          </cell>
          <cell r="B23" t="str">
            <v>OJ</v>
          </cell>
          <cell r="C23" t="str">
            <v>STONERIDGE RES</v>
          </cell>
          <cell r="D23">
            <v>19901220</v>
          </cell>
          <cell r="E23" t="str">
            <v>EPS</v>
          </cell>
          <cell r="F23" t="str">
            <v>ANN</v>
          </cell>
          <cell r="G23">
            <v>1</v>
          </cell>
          <cell r="H23">
            <v>1</v>
          </cell>
          <cell r="I23">
            <v>1.6</v>
          </cell>
          <cell r="J23">
            <v>1.6</v>
          </cell>
          <cell r="K23">
            <v>1</v>
          </cell>
          <cell r="L23">
            <v>19910831</v>
          </cell>
        </row>
        <row r="24">
          <cell r="A24" t="str">
            <v>OTTR</v>
          </cell>
          <cell r="B24" t="str">
            <v>OTTR</v>
          </cell>
          <cell r="C24" t="str">
            <v>OTTER TAIL PWR</v>
          </cell>
          <cell r="D24">
            <v>19901220</v>
          </cell>
          <cell r="E24" t="str">
            <v>EPS</v>
          </cell>
          <cell r="F24" t="str">
            <v>ANN</v>
          </cell>
          <cell r="G24">
            <v>1</v>
          </cell>
          <cell r="H24">
            <v>6</v>
          </cell>
          <cell r="I24">
            <v>0.98</v>
          </cell>
          <cell r="J24">
            <v>0.98</v>
          </cell>
          <cell r="K24">
            <v>1</v>
          </cell>
          <cell r="L24">
            <v>19901231</v>
          </cell>
          <cell r="M24">
            <v>0.995</v>
          </cell>
          <cell r="N24">
            <v>19910128</v>
          </cell>
        </row>
        <row r="25">
          <cell r="A25" t="str">
            <v>PCG</v>
          </cell>
          <cell r="B25" t="str">
            <v>PCG</v>
          </cell>
          <cell r="C25" t="str">
            <v>PACIFIC G&amp;E</v>
          </cell>
          <cell r="D25">
            <v>19901220</v>
          </cell>
          <cell r="E25" t="str">
            <v>EPS</v>
          </cell>
          <cell r="F25" t="str">
            <v>ANN</v>
          </cell>
          <cell r="G25">
            <v>1</v>
          </cell>
          <cell r="H25">
            <v>26</v>
          </cell>
          <cell r="I25">
            <v>2.1</v>
          </cell>
          <cell r="J25">
            <v>2.1</v>
          </cell>
          <cell r="K25">
            <v>1</v>
          </cell>
          <cell r="L25">
            <v>19901231</v>
          </cell>
        </row>
        <row r="26">
          <cell r="A26" t="str">
            <v>PEG</v>
          </cell>
          <cell r="B26" t="str">
            <v>PEG</v>
          </cell>
          <cell r="C26" t="str">
            <v>PUB SVC ENTERS</v>
          </cell>
          <cell r="D26">
            <v>19901220</v>
          </cell>
          <cell r="E26" t="str">
            <v>EPS</v>
          </cell>
          <cell r="F26" t="str">
            <v>ANN</v>
          </cell>
          <cell r="G26">
            <v>1</v>
          </cell>
          <cell r="H26">
            <v>24</v>
          </cell>
          <cell r="I26">
            <v>1.27</v>
          </cell>
          <cell r="J26">
            <v>1.29</v>
          </cell>
          <cell r="K26">
            <v>1</v>
          </cell>
          <cell r="L26">
            <v>19901231</v>
          </cell>
          <cell r="M26">
            <v>1.2849999999999999</v>
          </cell>
          <cell r="N26">
            <v>19910115</v>
          </cell>
        </row>
        <row r="27">
          <cell r="A27" t="str">
            <v>PGN</v>
          </cell>
          <cell r="B27" t="str">
            <v>PGN</v>
          </cell>
          <cell r="C27" t="str">
            <v>PORTLAND GEN CP</v>
          </cell>
          <cell r="D27">
            <v>19901220</v>
          </cell>
          <cell r="E27" t="str">
            <v>EPS</v>
          </cell>
          <cell r="F27" t="str">
            <v>ANN</v>
          </cell>
          <cell r="G27">
            <v>1</v>
          </cell>
          <cell r="H27">
            <v>16</v>
          </cell>
          <cell r="I27">
            <v>1.9</v>
          </cell>
          <cell r="J27">
            <v>1.86</v>
          </cell>
          <cell r="K27">
            <v>1</v>
          </cell>
          <cell r="L27">
            <v>19901231</v>
          </cell>
          <cell r="M27">
            <v>2.16</v>
          </cell>
          <cell r="N27">
            <v>19910206</v>
          </cell>
        </row>
        <row r="28">
          <cell r="A28" t="str">
            <v>PNM</v>
          </cell>
          <cell r="B28" t="str">
            <v>PNM</v>
          </cell>
          <cell r="C28" t="str">
            <v>PUB SVC N MEX</v>
          </cell>
          <cell r="D28">
            <v>19901220</v>
          </cell>
          <cell r="E28" t="str">
            <v>EPS</v>
          </cell>
          <cell r="F28" t="str">
            <v>ANN</v>
          </cell>
          <cell r="G28">
            <v>1</v>
          </cell>
          <cell r="H28">
            <v>17</v>
          </cell>
          <cell r="I28">
            <v>0.33</v>
          </cell>
          <cell r="J28">
            <v>0.34</v>
          </cell>
          <cell r="K28">
            <v>1</v>
          </cell>
          <cell r="L28">
            <v>19901231</v>
          </cell>
          <cell r="M28">
            <v>0.15329999999999999</v>
          </cell>
          <cell r="N28">
            <v>19910201</v>
          </cell>
        </row>
        <row r="29">
          <cell r="A29" t="str">
            <v>POM</v>
          </cell>
          <cell r="B29" t="str">
            <v>POM</v>
          </cell>
          <cell r="C29" t="str">
            <v>POTOMAC ELEC</v>
          </cell>
          <cell r="D29">
            <v>19901220</v>
          </cell>
          <cell r="E29" t="str">
            <v>EPS</v>
          </cell>
          <cell r="F29" t="str">
            <v>ANN</v>
          </cell>
          <cell r="G29">
            <v>1</v>
          </cell>
          <cell r="H29">
            <v>24</v>
          </cell>
          <cell r="I29">
            <v>1.9</v>
          </cell>
          <cell r="J29">
            <v>1.9</v>
          </cell>
          <cell r="K29">
            <v>1</v>
          </cell>
          <cell r="L29">
            <v>19901231</v>
          </cell>
        </row>
        <row r="30">
          <cell r="A30" t="str">
            <v>PPL</v>
          </cell>
          <cell r="B30" t="str">
            <v>PPL</v>
          </cell>
          <cell r="C30" t="str">
            <v>PENNA P&amp;L</v>
          </cell>
          <cell r="D30">
            <v>19901220</v>
          </cell>
          <cell r="E30" t="str">
            <v>EPS</v>
          </cell>
          <cell r="F30" t="str">
            <v>ANN</v>
          </cell>
          <cell r="G30">
            <v>1</v>
          </cell>
          <cell r="H30">
            <v>20</v>
          </cell>
          <cell r="I30">
            <v>1.04</v>
          </cell>
          <cell r="J30">
            <v>1.04</v>
          </cell>
          <cell r="K30">
            <v>1</v>
          </cell>
          <cell r="L30">
            <v>19901231</v>
          </cell>
          <cell r="M30">
            <v>0.98750000000000004</v>
          </cell>
          <cell r="N30">
            <v>19910123</v>
          </cell>
        </row>
        <row r="31">
          <cell r="A31" t="str">
            <v>PSD</v>
          </cell>
          <cell r="B31" t="str">
            <v>PSD</v>
          </cell>
          <cell r="C31" t="str">
            <v>PUGET SOUND P&amp;L</v>
          </cell>
          <cell r="D31">
            <v>19901220</v>
          </cell>
          <cell r="E31" t="str">
            <v>EPS</v>
          </cell>
          <cell r="F31" t="str">
            <v>ANN</v>
          </cell>
          <cell r="G31">
            <v>1</v>
          </cell>
          <cell r="H31">
            <v>13</v>
          </cell>
          <cell r="I31">
            <v>2</v>
          </cell>
          <cell r="J31">
            <v>2.04</v>
          </cell>
          <cell r="K31">
            <v>1</v>
          </cell>
          <cell r="L31">
            <v>19901231</v>
          </cell>
          <cell r="M31">
            <v>2.17</v>
          </cell>
          <cell r="N31">
            <v>19910212</v>
          </cell>
        </row>
        <row r="32">
          <cell r="A32" t="str">
            <v>SCG</v>
          </cell>
          <cell r="B32" t="str">
            <v>SCG</v>
          </cell>
          <cell r="C32" t="str">
            <v>SCANA CP</v>
          </cell>
          <cell r="D32">
            <v>19901220</v>
          </cell>
          <cell r="E32" t="str">
            <v>EPS</v>
          </cell>
          <cell r="F32" t="str">
            <v>ANN</v>
          </cell>
          <cell r="G32">
            <v>1</v>
          </cell>
          <cell r="H32">
            <v>17</v>
          </cell>
          <cell r="I32">
            <v>1.62</v>
          </cell>
          <cell r="J32">
            <v>1.63</v>
          </cell>
          <cell r="K32">
            <v>1</v>
          </cell>
          <cell r="L32">
            <v>19901231</v>
          </cell>
          <cell r="M32">
            <v>1.645</v>
          </cell>
          <cell r="N32">
            <v>19910222</v>
          </cell>
        </row>
        <row r="33">
          <cell r="A33" t="str">
            <v>SO</v>
          </cell>
          <cell r="B33" t="str">
            <v>SO</v>
          </cell>
          <cell r="C33" t="str">
            <v>SOUTHN CO</v>
          </cell>
          <cell r="D33">
            <v>19901220</v>
          </cell>
          <cell r="E33" t="str">
            <v>EPS</v>
          </cell>
          <cell r="F33" t="str">
            <v>ANN</v>
          </cell>
          <cell r="G33">
            <v>1</v>
          </cell>
          <cell r="H33">
            <v>28</v>
          </cell>
          <cell r="I33">
            <v>1.3</v>
          </cell>
          <cell r="J33">
            <v>1.32</v>
          </cell>
          <cell r="K33">
            <v>1</v>
          </cell>
          <cell r="L33">
            <v>19901231</v>
          </cell>
          <cell r="M33">
            <v>1.3</v>
          </cell>
          <cell r="N33">
            <v>19910205</v>
          </cell>
        </row>
        <row r="34">
          <cell r="A34" t="str">
            <v>TE</v>
          </cell>
          <cell r="B34" t="str">
            <v>TE</v>
          </cell>
          <cell r="C34" t="str">
            <v>TECO ENERGY INC</v>
          </cell>
          <cell r="D34">
            <v>19901220</v>
          </cell>
          <cell r="E34" t="str">
            <v>EPS</v>
          </cell>
          <cell r="F34" t="str">
            <v>ANN</v>
          </cell>
          <cell r="G34">
            <v>1</v>
          </cell>
          <cell r="H34">
            <v>24</v>
          </cell>
          <cell r="I34">
            <v>1.2</v>
          </cell>
          <cell r="J34">
            <v>1.21</v>
          </cell>
          <cell r="K34">
            <v>1</v>
          </cell>
          <cell r="L34">
            <v>19901231</v>
          </cell>
        </row>
        <row r="35">
          <cell r="A35" t="str">
            <v>UIL</v>
          </cell>
          <cell r="B35" t="str">
            <v>UIL</v>
          </cell>
          <cell r="C35" t="str">
            <v>UTD ILLUM CO</v>
          </cell>
          <cell r="D35">
            <v>19901220</v>
          </cell>
          <cell r="E35" t="str">
            <v>EPS</v>
          </cell>
          <cell r="F35" t="str">
            <v>ANN</v>
          </cell>
          <cell r="G35">
            <v>1</v>
          </cell>
          <cell r="H35">
            <v>6</v>
          </cell>
          <cell r="I35">
            <v>1.88</v>
          </cell>
          <cell r="J35">
            <v>1.9</v>
          </cell>
          <cell r="K35">
            <v>1</v>
          </cell>
          <cell r="L35">
            <v>19901231</v>
          </cell>
          <cell r="M35">
            <v>2.0699999999999998</v>
          </cell>
          <cell r="N35">
            <v>19910128</v>
          </cell>
        </row>
        <row r="36">
          <cell r="A36" t="str">
            <v>WEC</v>
          </cell>
          <cell r="B36" t="str">
            <v>WPC</v>
          </cell>
          <cell r="C36" t="str">
            <v>WISCONSIN ENERGY</v>
          </cell>
          <cell r="D36">
            <v>19901220</v>
          </cell>
          <cell r="E36" t="str">
            <v>EPS</v>
          </cell>
          <cell r="F36" t="str">
            <v>ANN</v>
          </cell>
          <cell r="G36">
            <v>1</v>
          </cell>
          <cell r="H36">
            <v>24</v>
          </cell>
          <cell r="I36">
            <v>0.93</v>
          </cell>
          <cell r="J36">
            <v>0.95</v>
          </cell>
          <cell r="K36">
            <v>1</v>
          </cell>
          <cell r="L36">
            <v>19901231</v>
          </cell>
          <cell r="M36">
            <v>0.92649999999999999</v>
          </cell>
          <cell r="N36">
            <v>19910123</v>
          </cell>
        </row>
        <row r="37">
          <cell r="A37" t="str">
            <v>WPS</v>
          </cell>
          <cell r="B37" t="str">
            <v>WPS</v>
          </cell>
          <cell r="C37" t="str">
            <v>WISC PUB SVC</v>
          </cell>
          <cell r="D37">
            <v>19901220</v>
          </cell>
          <cell r="E37" t="str">
            <v>EPS</v>
          </cell>
          <cell r="F37" t="str">
            <v>ANN</v>
          </cell>
          <cell r="G37">
            <v>1</v>
          </cell>
          <cell r="H37">
            <v>11</v>
          </cell>
          <cell r="I37">
            <v>2</v>
          </cell>
          <cell r="J37">
            <v>2.02</v>
          </cell>
          <cell r="K37">
            <v>1</v>
          </cell>
          <cell r="L37">
            <v>19901231</v>
          </cell>
        </row>
        <row r="38">
          <cell r="A38" t="str">
            <v>AGR</v>
          </cell>
          <cell r="B38" t="str">
            <v>AGR1</v>
          </cell>
          <cell r="C38" t="str">
            <v>AGRA INDS INC</v>
          </cell>
          <cell r="D38">
            <v>19901220</v>
          </cell>
          <cell r="E38" t="str">
            <v>EPS</v>
          </cell>
          <cell r="F38" t="str">
            <v>ANN</v>
          </cell>
          <cell r="G38">
            <v>1</v>
          </cell>
          <cell r="H38">
            <v>1</v>
          </cell>
          <cell r="I38">
            <v>0.76</v>
          </cell>
          <cell r="J38">
            <v>0.76</v>
          </cell>
          <cell r="K38">
            <v>0</v>
          </cell>
          <cell r="L38">
            <v>19910731</v>
          </cell>
          <cell r="M38">
            <v>-7.0000000000000007E-2</v>
          </cell>
          <cell r="N38">
            <v>19911216</v>
          </cell>
        </row>
        <row r="39">
          <cell r="A39" t="str">
            <v>FPL</v>
          </cell>
          <cell r="B39" t="str">
            <v>FPI1</v>
          </cell>
          <cell r="C39" t="str">
            <v>FPI LTD</v>
          </cell>
          <cell r="D39">
            <v>19901220</v>
          </cell>
          <cell r="E39" t="str">
            <v>EPS</v>
          </cell>
          <cell r="F39" t="str">
            <v>ANN</v>
          </cell>
          <cell r="G39">
            <v>1</v>
          </cell>
          <cell r="H39">
            <v>6</v>
          </cell>
          <cell r="I39">
            <v>0.16</v>
          </cell>
          <cell r="J39">
            <v>7.0000000000000007E-2</v>
          </cell>
          <cell r="K39">
            <v>0</v>
          </cell>
          <cell r="L39">
            <v>19901231</v>
          </cell>
          <cell r="M39">
            <v>0.46</v>
          </cell>
          <cell r="N39">
            <v>19910228</v>
          </cell>
        </row>
      </sheetData>
    </sheetDataSet>
  </externalBook>
</externalLink>
</file>

<file path=xl/externalLinks/externalLink1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RDS"/>
    </sheetNames>
    <sheetDataSet>
      <sheetData sheetId="0">
        <row r="1">
          <cell r="A1" t="str">
            <v>OFTIC</v>
          </cell>
          <cell r="B1" t="str">
            <v>IBES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USFIRM=0 if from .INT file and USFIRM=1 if from .US file</v>
          </cell>
          <cell r="M1" t="str">
            <v>Forecast Period End Date (SAS Format)</v>
          </cell>
          <cell r="N1" t="str">
            <v>Actual Value, from the Detail Actuals File</v>
          </cell>
          <cell r="O1" t="str">
            <v>Announce date of the Actual, from the Detail Actuals File</v>
          </cell>
        </row>
        <row r="2">
          <cell r="A2" t="str">
            <v>PNW</v>
          </cell>
          <cell r="B2" t="str">
            <v>AZP</v>
          </cell>
          <cell r="C2" t="str">
            <v>PINNACLE WST CAP</v>
          </cell>
          <cell r="D2">
            <v>19901220</v>
          </cell>
          <cell r="E2" t="str">
            <v>EPS</v>
          </cell>
          <cell r="F2" t="str">
            <v>LTG</v>
          </cell>
          <cell r="G2">
            <v>0</v>
          </cell>
          <cell r="H2">
            <v>4</v>
          </cell>
          <cell r="I2">
            <v>9.5</v>
          </cell>
          <cell r="J2">
            <v>8.75</v>
          </cell>
          <cell r="K2">
            <v>3.4</v>
          </cell>
          <cell r="L2">
            <v>1</v>
          </cell>
        </row>
        <row r="3">
          <cell r="A3" t="str">
            <v>BKH</v>
          </cell>
          <cell r="B3" t="str">
            <v>BHP</v>
          </cell>
          <cell r="C3" t="str">
            <v>BLACK HILLS CORP</v>
          </cell>
          <cell r="D3">
            <v>19901220</v>
          </cell>
          <cell r="E3" t="str">
            <v>EPS</v>
          </cell>
          <cell r="F3" t="str">
            <v>LTG</v>
          </cell>
          <cell r="G3">
            <v>0</v>
          </cell>
          <cell r="H3">
            <v>3</v>
          </cell>
          <cell r="I3">
            <v>5</v>
          </cell>
          <cell r="J3">
            <v>4.93</v>
          </cell>
          <cell r="K3">
            <v>2.1</v>
          </cell>
          <cell r="L3">
            <v>1</v>
          </cell>
        </row>
        <row r="4">
          <cell r="A4" t="str">
            <v>CIN</v>
          </cell>
          <cell r="B4" t="str">
            <v>CIN</v>
          </cell>
          <cell r="C4" t="str">
            <v>CINN GAS &amp; EL</v>
          </cell>
          <cell r="D4">
            <v>19901220</v>
          </cell>
          <cell r="E4" t="str">
            <v>EPS</v>
          </cell>
          <cell r="F4" t="str">
            <v>LTG</v>
          </cell>
          <cell r="G4">
            <v>0</v>
          </cell>
          <cell r="H4">
            <v>9</v>
          </cell>
          <cell r="I4">
            <v>1</v>
          </cell>
          <cell r="J4">
            <v>1</v>
          </cell>
          <cell r="K4">
            <v>2.41</v>
          </cell>
          <cell r="L4">
            <v>1</v>
          </cell>
        </row>
        <row r="5">
          <cell r="A5" t="str">
            <v>CMS</v>
          </cell>
          <cell r="B5" t="str">
            <v>CMS</v>
          </cell>
          <cell r="C5" t="str">
            <v>CMS ENERGY CORP</v>
          </cell>
          <cell r="D5">
            <v>19901220</v>
          </cell>
          <cell r="E5" t="str">
            <v>EPS</v>
          </cell>
          <cell r="F5" t="str">
            <v>LTG</v>
          </cell>
          <cell r="G5">
            <v>0</v>
          </cell>
          <cell r="H5">
            <v>12</v>
          </cell>
          <cell r="I5">
            <v>3.5</v>
          </cell>
          <cell r="J5">
            <v>3.86</v>
          </cell>
          <cell r="K5">
            <v>3.79</v>
          </cell>
          <cell r="L5">
            <v>1</v>
          </cell>
        </row>
        <row r="6">
          <cell r="A6" t="str">
            <v>CNL</v>
          </cell>
          <cell r="B6" t="str">
            <v>CNL</v>
          </cell>
          <cell r="C6" t="str">
            <v>CENT LA ELEC INC</v>
          </cell>
          <cell r="D6">
            <v>19901220</v>
          </cell>
          <cell r="E6" t="str">
            <v>EPS</v>
          </cell>
          <cell r="F6" t="str">
            <v>LTG</v>
          </cell>
          <cell r="G6">
            <v>0</v>
          </cell>
          <cell r="H6">
            <v>4</v>
          </cell>
          <cell r="I6">
            <v>3.25</v>
          </cell>
          <cell r="J6">
            <v>3.22</v>
          </cell>
          <cell r="K6">
            <v>1.79</v>
          </cell>
          <cell r="L6">
            <v>1</v>
          </cell>
        </row>
        <row r="7">
          <cell r="A7" t="str">
            <v>CV</v>
          </cell>
          <cell r="B7" t="str">
            <v>CV</v>
          </cell>
          <cell r="C7" t="str">
            <v>CNTRL VT PUB SVC</v>
          </cell>
          <cell r="D7">
            <v>19901220</v>
          </cell>
          <cell r="E7" t="str">
            <v>EPS</v>
          </cell>
          <cell r="F7" t="str">
            <v>LTG</v>
          </cell>
          <cell r="G7">
            <v>0</v>
          </cell>
          <cell r="H7">
            <v>2</v>
          </cell>
          <cell r="I7">
            <v>2.35</v>
          </cell>
          <cell r="J7">
            <v>2.35</v>
          </cell>
          <cell r="K7">
            <v>1.91</v>
          </cell>
          <cell r="L7">
            <v>1</v>
          </cell>
        </row>
        <row r="8">
          <cell r="A8" t="str">
            <v>D</v>
          </cell>
          <cell r="B8" t="str">
            <v>D</v>
          </cell>
          <cell r="C8" t="str">
            <v>DOMINION RES INC</v>
          </cell>
          <cell r="D8">
            <v>19901220</v>
          </cell>
          <cell r="E8" t="str">
            <v>EPS</v>
          </cell>
          <cell r="F8" t="str">
            <v>LTG</v>
          </cell>
          <cell r="G8">
            <v>0</v>
          </cell>
          <cell r="H8">
            <v>16</v>
          </cell>
          <cell r="I8">
            <v>3.85</v>
          </cell>
          <cell r="J8">
            <v>3.65</v>
          </cell>
          <cell r="K8">
            <v>0.56999999999999995</v>
          </cell>
          <cell r="L8">
            <v>1</v>
          </cell>
        </row>
        <row r="9">
          <cell r="A9" t="str">
            <v>DPL</v>
          </cell>
          <cell r="B9" t="str">
            <v>DPL</v>
          </cell>
          <cell r="C9" t="str">
            <v>DPL INC</v>
          </cell>
          <cell r="D9">
            <v>19901220</v>
          </cell>
          <cell r="E9" t="str">
            <v>EPS</v>
          </cell>
          <cell r="F9" t="str">
            <v>LTG</v>
          </cell>
          <cell r="G9">
            <v>0</v>
          </cell>
          <cell r="H9">
            <v>7</v>
          </cell>
          <cell r="I9">
            <v>3</v>
          </cell>
          <cell r="J9">
            <v>2.71</v>
          </cell>
          <cell r="K9">
            <v>1.1100000000000001</v>
          </cell>
          <cell r="L9">
            <v>1</v>
          </cell>
        </row>
        <row r="10">
          <cell r="A10" t="str">
            <v>DTE</v>
          </cell>
          <cell r="B10" t="str">
            <v>DTE</v>
          </cell>
          <cell r="C10" t="str">
            <v>DETROIT EDISON</v>
          </cell>
          <cell r="D10">
            <v>19901220</v>
          </cell>
          <cell r="E10" t="str">
            <v>EPS</v>
          </cell>
          <cell r="F10" t="str">
            <v>LTG</v>
          </cell>
          <cell r="G10">
            <v>0</v>
          </cell>
          <cell r="H10">
            <v>13</v>
          </cell>
          <cell r="I10">
            <v>4</v>
          </cell>
          <cell r="J10">
            <v>4.28</v>
          </cell>
          <cell r="K10">
            <v>0.84</v>
          </cell>
          <cell r="L10">
            <v>1</v>
          </cell>
        </row>
        <row r="11">
          <cell r="A11" t="str">
            <v>DUK</v>
          </cell>
          <cell r="B11" t="str">
            <v>DUK</v>
          </cell>
          <cell r="C11" t="str">
            <v>DUKE POWER CO</v>
          </cell>
          <cell r="D11">
            <v>19901220</v>
          </cell>
          <cell r="E11" t="str">
            <v>EPS</v>
          </cell>
          <cell r="F11" t="str">
            <v>LTG</v>
          </cell>
          <cell r="G11">
            <v>0</v>
          </cell>
          <cell r="H11">
            <v>16</v>
          </cell>
          <cell r="I11">
            <v>4.1500000000000004</v>
          </cell>
          <cell r="J11">
            <v>4.01</v>
          </cell>
          <cell r="K11">
            <v>1.05</v>
          </cell>
          <cell r="L11">
            <v>1</v>
          </cell>
        </row>
        <row r="12">
          <cell r="A12" t="str">
            <v>ED</v>
          </cell>
          <cell r="B12" t="str">
            <v>ED</v>
          </cell>
          <cell r="C12" t="str">
            <v>CONSOL EDISON</v>
          </cell>
          <cell r="D12">
            <v>19901220</v>
          </cell>
          <cell r="E12" t="str">
            <v>EPS</v>
          </cell>
          <cell r="F12" t="str">
            <v>LTG</v>
          </cell>
          <cell r="G12">
            <v>0</v>
          </cell>
          <cell r="H12">
            <v>13</v>
          </cell>
          <cell r="I12">
            <v>2.5</v>
          </cell>
          <cell r="J12">
            <v>2.42</v>
          </cell>
          <cell r="K12">
            <v>0.75</v>
          </cell>
          <cell r="L12">
            <v>1</v>
          </cell>
        </row>
        <row r="13">
          <cell r="A13" t="str">
            <v>EDE</v>
          </cell>
          <cell r="B13" t="str">
            <v>EDE</v>
          </cell>
          <cell r="C13" t="str">
            <v>EMPIRE DIST ELEC</v>
          </cell>
          <cell r="D13">
            <v>19901220</v>
          </cell>
          <cell r="E13" t="str">
            <v>EPS</v>
          </cell>
          <cell r="F13" t="str">
            <v>LTG</v>
          </cell>
          <cell r="G13">
            <v>0</v>
          </cell>
          <cell r="H13">
            <v>1</v>
          </cell>
          <cell r="I13">
            <v>3</v>
          </cell>
          <cell r="J13">
            <v>3</v>
          </cell>
          <cell r="L13">
            <v>1</v>
          </cell>
        </row>
        <row r="14">
          <cell r="A14" t="str">
            <v>EXC</v>
          </cell>
          <cell r="B14" t="str">
            <v>EXC</v>
          </cell>
          <cell r="C14" t="str">
            <v>EXCEL INDS INC</v>
          </cell>
          <cell r="D14">
            <v>19901220</v>
          </cell>
          <cell r="E14" t="str">
            <v>EPS</v>
          </cell>
          <cell r="F14" t="str">
            <v>LTG</v>
          </cell>
          <cell r="G14">
            <v>0</v>
          </cell>
          <cell r="H14">
            <v>3</v>
          </cell>
          <cell r="I14">
            <v>12</v>
          </cell>
          <cell r="J14">
            <v>9</v>
          </cell>
          <cell r="K14">
            <v>7.94</v>
          </cell>
          <cell r="L14">
            <v>1</v>
          </cell>
        </row>
        <row r="15">
          <cell r="A15" t="str">
            <v>FPL</v>
          </cell>
          <cell r="B15" t="str">
            <v>FPL</v>
          </cell>
          <cell r="C15" t="str">
            <v>FPL GROUP</v>
          </cell>
          <cell r="D15">
            <v>19901220</v>
          </cell>
          <cell r="E15" t="str">
            <v>EPS</v>
          </cell>
          <cell r="F15" t="str">
            <v>LTG</v>
          </cell>
          <cell r="G15">
            <v>0</v>
          </cell>
          <cell r="H15">
            <v>14</v>
          </cell>
          <cell r="I15">
            <v>3.2</v>
          </cell>
          <cell r="J15">
            <v>3.77</v>
          </cell>
          <cell r="K15">
            <v>1.44</v>
          </cell>
          <cell r="L15">
            <v>1</v>
          </cell>
        </row>
        <row r="16">
          <cell r="A16" t="str">
            <v>HE</v>
          </cell>
          <cell r="B16" t="str">
            <v>HE</v>
          </cell>
          <cell r="C16" t="str">
            <v>HAWAIIAN ELEC</v>
          </cell>
          <cell r="D16">
            <v>19901220</v>
          </cell>
          <cell r="E16" t="str">
            <v>EPS</v>
          </cell>
          <cell r="F16" t="str">
            <v>LTG</v>
          </cell>
          <cell r="G16">
            <v>0</v>
          </cell>
          <cell r="H16">
            <v>3</v>
          </cell>
          <cell r="I16">
            <v>3.8</v>
          </cell>
          <cell r="J16">
            <v>3.6</v>
          </cell>
          <cell r="K16">
            <v>0.53</v>
          </cell>
          <cell r="L16">
            <v>1</v>
          </cell>
        </row>
        <row r="17">
          <cell r="A17" t="str">
            <v>IDA</v>
          </cell>
          <cell r="B17" t="str">
            <v>IDA</v>
          </cell>
          <cell r="C17" t="str">
            <v>IDAHO POWER CO</v>
          </cell>
          <cell r="D17">
            <v>19901220</v>
          </cell>
          <cell r="E17" t="str">
            <v>EPS</v>
          </cell>
          <cell r="F17" t="str">
            <v>LTG</v>
          </cell>
          <cell r="G17">
            <v>0</v>
          </cell>
          <cell r="H17">
            <v>8</v>
          </cell>
          <cell r="I17">
            <v>2.5</v>
          </cell>
          <cell r="J17">
            <v>2.75</v>
          </cell>
          <cell r="K17">
            <v>1.77</v>
          </cell>
          <cell r="L17">
            <v>1</v>
          </cell>
        </row>
        <row r="18">
          <cell r="A18" t="str">
            <v>ETR</v>
          </cell>
          <cell r="B18" t="str">
            <v>MSU</v>
          </cell>
          <cell r="C18" t="str">
            <v>ENTERGY CP</v>
          </cell>
          <cell r="D18">
            <v>19901220</v>
          </cell>
          <cell r="E18" t="str">
            <v>EPS</v>
          </cell>
          <cell r="F18" t="str">
            <v>LTG</v>
          </cell>
          <cell r="G18">
            <v>0</v>
          </cell>
          <cell r="H18">
            <v>13</v>
          </cell>
          <cell r="I18">
            <v>6</v>
          </cell>
          <cell r="J18">
            <v>6.23</v>
          </cell>
          <cell r="K18">
            <v>2.1</v>
          </cell>
          <cell r="L18">
            <v>1</v>
          </cell>
        </row>
        <row r="19">
          <cell r="A19" t="str">
            <v>NU</v>
          </cell>
          <cell r="B19" t="str">
            <v>NU</v>
          </cell>
          <cell r="C19" t="str">
            <v>NORTHEAST UTILS</v>
          </cell>
          <cell r="D19">
            <v>19901220</v>
          </cell>
          <cell r="E19" t="str">
            <v>EPS</v>
          </cell>
          <cell r="F19" t="str">
            <v>LTG</v>
          </cell>
          <cell r="G19">
            <v>0</v>
          </cell>
          <cell r="H19">
            <v>10</v>
          </cell>
          <cell r="I19">
            <v>3.5</v>
          </cell>
          <cell r="J19">
            <v>3.65</v>
          </cell>
          <cell r="K19">
            <v>1.65</v>
          </cell>
          <cell r="L19">
            <v>1</v>
          </cell>
        </row>
        <row r="20">
          <cell r="A20" t="str">
            <v>OGE</v>
          </cell>
          <cell r="B20" t="str">
            <v>OGE</v>
          </cell>
          <cell r="C20" t="str">
            <v>OKLAHOMA G&amp;E</v>
          </cell>
          <cell r="D20">
            <v>19901220</v>
          </cell>
          <cell r="E20" t="str">
            <v>EPS</v>
          </cell>
          <cell r="F20" t="str">
            <v>LTG</v>
          </cell>
          <cell r="G20">
            <v>0</v>
          </cell>
          <cell r="H20">
            <v>10</v>
          </cell>
          <cell r="I20">
            <v>3.6</v>
          </cell>
          <cell r="J20">
            <v>3.28</v>
          </cell>
          <cell r="K20">
            <v>0.91</v>
          </cell>
          <cell r="L20">
            <v>1</v>
          </cell>
        </row>
        <row r="21">
          <cell r="A21" t="str">
            <v>OTTR</v>
          </cell>
          <cell r="B21" t="str">
            <v>OTTR</v>
          </cell>
          <cell r="C21" t="str">
            <v>OTTER TAIL PWR</v>
          </cell>
          <cell r="D21">
            <v>19901220</v>
          </cell>
          <cell r="E21" t="str">
            <v>EPS</v>
          </cell>
          <cell r="F21" t="str">
            <v>LTG</v>
          </cell>
          <cell r="G21">
            <v>0</v>
          </cell>
          <cell r="H21">
            <v>2</v>
          </cell>
          <cell r="I21">
            <v>2.5</v>
          </cell>
          <cell r="J21">
            <v>2.5</v>
          </cell>
          <cell r="K21">
            <v>0.71</v>
          </cell>
          <cell r="L21">
            <v>1</v>
          </cell>
        </row>
        <row r="22">
          <cell r="A22" t="str">
            <v>PCG</v>
          </cell>
          <cell r="B22" t="str">
            <v>PCG</v>
          </cell>
          <cell r="C22" t="str">
            <v>PACIFIC G&amp;E</v>
          </cell>
          <cell r="D22">
            <v>19901220</v>
          </cell>
          <cell r="E22" t="str">
            <v>EPS</v>
          </cell>
          <cell r="F22" t="str">
            <v>LTG</v>
          </cell>
          <cell r="G22">
            <v>0</v>
          </cell>
          <cell r="H22">
            <v>16</v>
          </cell>
          <cell r="I22">
            <v>6</v>
          </cell>
          <cell r="J22">
            <v>6.18</v>
          </cell>
          <cell r="K22">
            <v>1.71</v>
          </cell>
          <cell r="L22">
            <v>1</v>
          </cell>
        </row>
        <row r="23">
          <cell r="A23" t="str">
            <v>PEG</v>
          </cell>
          <cell r="B23" t="str">
            <v>PEG</v>
          </cell>
          <cell r="C23" t="str">
            <v>PUB SVC ENTERS</v>
          </cell>
          <cell r="D23">
            <v>19901220</v>
          </cell>
          <cell r="E23" t="str">
            <v>EPS</v>
          </cell>
          <cell r="F23" t="str">
            <v>LTG</v>
          </cell>
          <cell r="G23">
            <v>0</v>
          </cell>
          <cell r="H23">
            <v>12</v>
          </cell>
          <cell r="I23">
            <v>2.7</v>
          </cell>
          <cell r="J23">
            <v>2.67</v>
          </cell>
          <cell r="K23">
            <v>0.6</v>
          </cell>
          <cell r="L23">
            <v>1</v>
          </cell>
        </row>
        <row r="24">
          <cell r="A24" t="str">
            <v>PGN</v>
          </cell>
          <cell r="B24" t="str">
            <v>PGN</v>
          </cell>
          <cell r="C24" t="str">
            <v>PORTLAND GEN CP</v>
          </cell>
          <cell r="D24">
            <v>19901220</v>
          </cell>
          <cell r="E24" t="str">
            <v>EPS</v>
          </cell>
          <cell r="F24" t="str">
            <v>LTG</v>
          </cell>
          <cell r="G24">
            <v>0</v>
          </cell>
          <cell r="H24">
            <v>8</v>
          </cell>
          <cell r="I24">
            <v>4.5</v>
          </cell>
          <cell r="J24">
            <v>5.3</v>
          </cell>
          <cell r="K24">
            <v>2.2999999999999998</v>
          </cell>
          <cell r="L24">
            <v>1</v>
          </cell>
        </row>
        <row r="25">
          <cell r="A25" t="str">
            <v>PNM</v>
          </cell>
          <cell r="B25" t="str">
            <v>PNM</v>
          </cell>
          <cell r="C25" t="str">
            <v>PUB SVC N MEX</v>
          </cell>
          <cell r="D25">
            <v>19901220</v>
          </cell>
          <cell r="E25" t="str">
            <v>EPS</v>
          </cell>
          <cell r="F25" t="str">
            <v>LTG</v>
          </cell>
          <cell r="G25">
            <v>0</v>
          </cell>
          <cell r="H25">
            <v>6</v>
          </cell>
          <cell r="I25">
            <v>5.75</v>
          </cell>
          <cell r="J25">
            <v>5.08</v>
          </cell>
          <cell r="K25">
            <v>7.16</v>
          </cell>
          <cell r="L25">
            <v>1</v>
          </cell>
        </row>
        <row r="26">
          <cell r="A26" t="str">
            <v>POM</v>
          </cell>
          <cell r="B26" t="str">
            <v>POM</v>
          </cell>
          <cell r="C26" t="str">
            <v>POTOMAC ELEC</v>
          </cell>
          <cell r="D26">
            <v>19901220</v>
          </cell>
          <cell r="E26" t="str">
            <v>EPS</v>
          </cell>
          <cell r="F26" t="str">
            <v>LTG</v>
          </cell>
          <cell r="G26">
            <v>0</v>
          </cell>
          <cell r="H26">
            <v>13</v>
          </cell>
          <cell r="I26">
            <v>3</v>
          </cell>
          <cell r="J26">
            <v>3.36</v>
          </cell>
          <cell r="K26">
            <v>1.42</v>
          </cell>
          <cell r="L26">
            <v>1</v>
          </cell>
        </row>
        <row r="27">
          <cell r="A27" t="str">
            <v>PPL</v>
          </cell>
          <cell r="B27" t="str">
            <v>PPL</v>
          </cell>
          <cell r="C27" t="str">
            <v>PENNA P&amp;L</v>
          </cell>
          <cell r="D27">
            <v>19901220</v>
          </cell>
          <cell r="E27" t="str">
            <v>EPS</v>
          </cell>
          <cell r="F27" t="str">
            <v>LTG</v>
          </cell>
          <cell r="G27">
            <v>0</v>
          </cell>
          <cell r="H27">
            <v>11</v>
          </cell>
          <cell r="I27">
            <v>3</v>
          </cell>
          <cell r="J27">
            <v>3.43</v>
          </cell>
          <cell r="K27">
            <v>1.58</v>
          </cell>
          <cell r="L27">
            <v>1</v>
          </cell>
        </row>
        <row r="28">
          <cell r="A28" t="str">
            <v>PSD</v>
          </cell>
          <cell r="B28" t="str">
            <v>PSD</v>
          </cell>
          <cell r="C28" t="str">
            <v>PUGET SOUND P&amp;L</v>
          </cell>
          <cell r="D28">
            <v>19901220</v>
          </cell>
          <cell r="E28" t="str">
            <v>EPS</v>
          </cell>
          <cell r="F28" t="str">
            <v>LTG</v>
          </cell>
          <cell r="G28">
            <v>0</v>
          </cell>
          <cell r="H28">
            <v>4</v>
          </cell>
          <cell r="I28">
            <v>3</v>
          </cell>
          <cell r="J28">
            <v>2.63</v>
          </cell>
          <cell r="K28">
            <v>1.7</v>
          </cell>
          <cell r="L28">
            <v>1</v>
          </cell>
        </row>
        <row r="29">
          <cell r="A29" t="str">
            <v>SCG</v>
          </cell>
          <cell r="B29" t="str">
            <v>SCG</v>
          </cell>
          <cell r="C29" t="str">
            <v>SCANA CP</v>
          </cell>
          <cell r="D29">
            <v>19901220</v>
          </cell>
          <cell r="E29" t="str">
            <v>EPS</v>
          </cell>
          <cell r="F29" t="str">
            <v>LTG</v>
          </cell>
          <cell r="G29">
            <v>0</v>
          </cell>
          <cell r="H29">
            <v>7</v>
          </cell>
          <cell r="I29">
            <v>3</v>
          </cell>
          <cell r="J29">
            <v>2.99</v>
          </cell>
          <cell r="K29">
            <v>1.03</v>
          </cell>
          <cell r="L29">
            <v>1</v>
          </cell>
        </row>
        <row r="30">
          <cell r="A30" t="str">
            <v>SO</v>
          </cell>
          <cell r="B30" t="str">
            <v>SO</v>
          </cell>
          <cell r="C30" t="str">
            <v>SOUTHN CO</v>
          </cell>
          <cell r="D30">
            <v>19901220</v>
          </cell>
          <cell r="E30" t="str">
            <v>EPS</v>
          </cell>
          <cell r="F30" t="str">
            <v>LTG</v>
          </cell>
          <cell r="G30">
            <v>0</v>
          </cell>
          <cell r="H30">
            <v>15</v>
          </cell>
          <cell r="I30">
            <v>2.5</v>
          </cell>
          <cell r="J30">
            <v>2.5299999999999998</v>
          </cell>
          <cell r="K30">
            <v>0.85</v>
          </cell>
          <cell r="L30">
            <v>1</v>
          </cell>
        </row>
        <row r="31">
          <cell r="A31" t="str">
            <v>TE</v>
          </cell>
          <cell r="B31" t="str">
            <v>TE</v>
          </cell>
          <cell r="C31" t="str">
            <v>TECO ENERGY INC</v>
          </cell>
          <cell r="D31">
            <v>19901220</v>
          </cell>
          <cell r="E31" t="str">
            <v>EPS</v>
          </cell>
          <cell r="F31" t="str">
            <v>LTG</v>
          </cell>
          <cell r="G31">
            <v>0</v>
          </cell>
          <cell r="H31">
            <v>14</v>
          </cell>
          <cell r="I31">
            <v>4.95</v>
          </cell>
          <cell r="J31">
            <v>4.46</v>
          </cell>
          <cell r="K31">
            <v>1.1599999999999999</v>
          </cell>
          <cell r="L31">
            <v>1</v>
          </cell>
        </row>
        <row r="32">
          <cell r="A32" t="str">
            <v>UIL</v>
          </cell>
          <cell r="B32" t="str">
            <v>UIL</v>
          </cell>
          <cell r="C32" t="str">
            <v>UTD ILLUM CO</v>
          </cell>
          <cell r="D32">
            <v>19901220</v>
          </cell>
          <cell r="E32" t="str">
            <v>EPS</v>
          </cell>
          <cell r="F32" t="str">
            <v>LTG</v>
          </cell>
          <cell r="G32">
            <v>0</v>
          </cell>
          <cell r="H32">
            <v>1</v>
          </cell>
          <cell r="I32">
            <v>-4</v>
          </cell>
          <cell r="J32">
            <v>-4</v>
          </cell>
          <cell r="L32">
            <v>1</v>
          </cell>
        </row>
        <row r="33">
          <cell r="A33" t="str">
            <v>WEC</v>
          </cell>
          <cell r="B33" t="str">
            <v>WPC</v>
          </cell>
          <cell r="C33" t="str">
            <v>WISCONSIN ENERGY</v>
          </cell>
          <cell r="D33">
            <v>19901220</v>
          </cell>
          <cell r="E33" t="str">
            <v>EPS</v>
          </cell>
          <cell r="F33" t="str">
            <v>LTG</v>
          </cell>
          <cell r="G33">
            <v>0</v>
          </cell>
          <cell r="H33">
            <v>15</v>
          </cell>
          <cell r="I33">
            <v>4</v>
          </cell>
          <cell r="J33">
            <v>3.87</v>
          </cell>
          <cell r="K33">
            <v>1.04</v>
          </cell>
          <cell r="L33">
            <v>1</v>
          </cell>
        </row>
        <row r="34">
          <cell r="A34" t="str">
            <v>WPS</v>
          </cell>
          <cell r="B34" t="str">
            <v>WPS</v>
          </cell>
          <cell r="C34" t="str">
            <v>WISC PUB SVC</v>
          </cell>
          <cell r="D34">
            <v>19901220</v>
          </cell>
          <cell r="E34" t="str">
            <v>EPS</v>
          </cell>
          <cell r="F34" t="str">
            <v>LTG</v>
          </cell>
          <cell r="G34">
            <v>0</v>
          </cell>
          <cell r="H34">
            <v>7</v>
          </cell>
          <cell r="I34">
            <v>3</v>
          </cell>
          <cell r="J34">
            <v>2.69</v>
          </cell>
          <cell r="K34">
            <v>0.52</v>
          </cell>
          <cell r="L34">
            <v>1</v>
          </cell>
        </row>
      </sheetData>
    </sheetDataSet>
  </externalBook>
</externalLink>
</file>

<file path=xl/externalLinks/externalLink1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m4egnfwbimpsqmu"/>
    </sheetNames>
    <sheetDataSet>
      <sheetData sheetId="0">
        <row r="1">
          <cell r="B1" t="str">
            <v>Official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Forecast Period End Date (SAS Format)</v>
          </cell>
          <cell r="M1" t="str">
            <v>Actual Value, from the Detail Actuals File</v>
          </cell>
          <cell r="N1" t="str">
            <v>Announce date of the Actual, from the Detail Actuals File</v>
          </cell>
        </row>
        <row r="2">
          <cell r="B2" t="str">
            <v>ATG</v>
          </cell>
          <cell r="C2" t="str">
            <v>ATLANTA GAS LT</v>
          </cell>
          <cell r="D2">
            <v>33227</v>
          </cell>
          <cell r="E2" t="str">
            <v>EPS</v>
          </cell>
          <cell r="F2" t="str">
            <v>ANN</v>
          </cell>
          <cell r="G2" t="str">
            <v>1</v>
          </cell>
          <cell r="H2">
            <v>13</v>
          </cell>
          <cell r="I2">
            <v>1.2</v>
          </cell>
          <cell r="J2">
            <v>1.2</v>
          </cell>
          <cell r="K2">
            <v>0.04</v>
          </cell>
          <cell r="L2">
            <v>33511</v>
          </cell>
          <cell r="M2">
            <v>1.0549999999999999</v>
          </cell>
          <cell r="N2">
            <v>33543</v>
          </cell>
        </row>
        <row r="3">
          <cell r="B3" t="str">
            <v>CGC</v>
          </cell>
          <cell r="C3" t="str">
            <v>CASCADE NAT GAS</v>
          </cell>
          <cell r="D3">
            <v>33227</v>
          </cell>
          <cell r="E3" t="str">
            <v>EPS</v>
          </cell>
          <cell r="F3" t="str">
            <v>ANN</v>
          </cell>
          <cell r="G3" t="str">
            <v>1</v>
          </cell>
          <cell r="H3">
            <v>1</v>
          </cell>
          <cell r="I3">
            <v>1.1299999999999999</v>
          </cell>
          <cell r="J3">
            <v>1.1299999999999999</v>
          </cell>
          <cell r="L3">
            <v>33238</v>
          </cell>
          <cell r="M3">
            <v>1.3733</v>
          </cell>
          <cell r="N3">
            <v>33275</v>
          </cell>
        </row>
        <row r="4">
          <cell r="B4" t="str">
            <v>ATO</v>
          </cell>
          <cell r="C4" t="str">
            <v>ATMOS ENERGY CP</v>
          </cell>
          <cell r="D4">
            <v>33227</v>
          </cell>
          <cell r="E4" t="str">
            <v>EPS</v>
          </cell>
          <cell r="F4" t="str">
            <v>ANN</v>
          </cell>
          <cell r="G4" t="str">
            <v>1</v>
          </cell>
          <cell r="H4">
            <v>3</v>
          </cell>
          <cell r="I4">
            <v>0.78</v>
          </cell>
          <cell r="J4">
            <v>0.8</v>
          </cell>
          <cell r="K4">
            <v>0.12</v>
          </cell>
          <cell r="L4">
            <v>33511</v>
          </cell>
          <cell r="M4">
            <v>0.55110000000000003</v>
          </cell>
          <cell r="N4">
            <v>33555</v>
          </cell>
        </row>
        <row r="5">
          <cell r="B5" t="str">
            <v>GAS</v>
          </cell>
          <cell r="C5" t="str">
            <v>NICOR INC</v>
          </cell>
          <cell r="D5">
            <v>33227</v>
          </cell>
          <cell r="E5" t="str">
            <v>EPS</v>
          </cell>
          <cell r="F5" t="str">
            <v>ANN</v>
          </cell>
          <cell r="G5" t="str">
            <v>1</v>
          </cell>
          <cell r="H5">
            <v>13</v>
          </cell>
          <cell r="I5">
            <v>1.92</v>
          </cell>
          <cell r="J5">
            <v>1.91</v>
          </cell>
          <cell r="K5">
            <v>0.04</v>
          </cell>
          <cell r="L5">
            <v>33238</v>
          </cell>
          <cell r="M5">
            <v>1.93</v>
          </cell>
          <cell r="N5">
            <v>33266</v>
          </cell>
        </row>
        <row r="6">
          <cell r="B6" t="str">
            <v>NI</v>
          </cell>
          <cell r="C6" t="str">
            <v>NIPSCO IND INC</v>
          </cell>
          <cell r="D6">
            <v>33227</v>
          </cell>
          <cell r="E6" t="str">
            <v>EPS</v>
          </cell>
          <cell r="F6" t="str">
            <v>ANN</v>
          </cell>
          <cell r="G6" t="str">
            <v>1</v>
          </cell>
          <cell r="H6">
            <v>21</v>
          </cell>
          <cell r="I6">
            <v>0.9</v>
          </cell>
          <cell r="J6">
            <v>0.9</v>
          </cell>
          <cell r="K6">
            <v>0.03</v>
          </cell>
          <cell r="L6">
            <v>33238</v>
          </cell>
          <cell r="M6">
            <v>0.9</v>
          </cell>
          <cell r="N6">
            <v>33270</v>
          </cell>
        </row>
        <row r="7">
          <cell r="B7" t="str">
            <v>NJR</v>
          </cell>
          <cell r="C7" t="str">
            <v>NEW JERSEY RES</v>
          </cell>
          <cell r="D7">
            <v>33227</v>
          </cell>
          <cell r="E7" t="str">
            <v>EPS</v>
          </cell>
          <cell r="F7" t="str">
            <v>ANN</v>
          </cell>
          <cell r="G7" t="str">
            <v>1</v>
          </cell>
          <cell r="H7">
            <v>8</v>
          </cell>
          <cell r="I7">
            <v>0.37</v>
          </cell>
          <cell r="J7">
            <v>0.37</v>
          </cell>
          <cell r="K7">
            <v>0.02</v>
          </cell>
          <cell r="L7">
            <v>33511</v>
          </cell>
          <cell r="M7">
            <v>0.1867</v>
          </cell>
          <cell r="N7">
            <v>33543</v>
          </cell>
        </row>
        <row r="8">
          <cell r="B8" t="str">
            <v>PNY</v>
          </cell>
          <cell r="C8" t="str">
            <v>PIEDMONT NAT GAS</v>
          </cell>
          <cell r="D8">
            <v>33227</v>
          </cell>
          <cell r="E8" t="str">
            <v>EPS</v>
          </cell>
          <cell r="F8" t="str">
            <v>ANN</v>
          </cell>
          <cell r="G8" t="str">
            <v>1</v>
          </cell>
          <cell r="H8">
            <v>5</v>
          </cell>
          <cell r="I8">
            <v>0.66</v>
          </cell>
          <cell r="J8">
            <v>0.65</v>
          </cell>
          <cell r="K8">
            <v>0.02</v>
          </cell>
          <cell r="L8">
            <v>33542</v>
          </cell>
          <cell r="M8">
            <v>0.5</v>
          </cell>
          <cell r="N8">
            <v>33578</v>
          </cell>
        </row>
        <row r="9">
          <cell r="B9" t="str">
            <v>SJI</v>
          </cell>
          <cell r="C9" t="str">
            <v>SO JERSEY INDS</v>
          </cell>
          <cell r="D9">
            <v>33227</v>
          </cell>
          <cell r="E9" t="str">
            <v>EPS</v>
          </cell>
          <cell r="F9" t="str">
            <v>ANN</v>
          </cell>
          <cell r="G9" t="str">
            <v>1</v>
          </cell>
          <cell r="H9">
            <v>1</v>
          </cell>
          <cell r="I9">
            <v>0.37</v>
          </cell>
          <cell r="J9">
            <v>0.37</v>
          </cell>
          <cell r="L9">
            <v>33238</v>
          </cell>
          <cell r="M9">
            <v>0.32850000000000001</v>
          </cell>
          <cell r="N9">
            <v>33261</v>
          </cell>
        </row>
        <row r="10">
          <cell r="B10" t="str">
            <v>SWX</v>
          </cell>
          <cell r="C10" t="str">
            <v>SOUTHWEST GAS</v>
          </cell>
          <cell r="D10">
            <v>33227</v>
          </cell>
          <cell r="E10" t="str">
            <v>EPS</v>
          </cell>
          <cell r="F10" t="str">
            <v>ANN</v>
          </cell>
          <cell r="G10" t="str">
            <v>1</v>
          </cell>
          <cell r="H10">
            <v>7</v>
          </cell>
          <cell r="I10">
            <v>1.7</v>
          </cell>
          <cell r="J10">
            <v>1.71</v>
          </cell>
          <cell r="K10">
            <v>0.28999999999999998</v>
          </cell>
          <cell r="L10">
            <v>33238</v>
          </cell>
          <cell r="M10">
            <v>1.81</v>
          </cell>
          <cell r="N10">
            <v>33282</v>
          </cell>
        </row>
        <row r="11">
          <cell r="B11" t="str">
            <v>WGL</v>
          </cell>
          <cell r="C11" t="str">
            <v>WASH GAS LT</v>
          </cell>
          <cell r="D11">
            <v>33227</v>
          </cell>
          <cell r="E11" t="str">
            <v>EPS</v>
          </cell>
          <cell r="F11" t="str">
            <v>ANN</v>
          </cell>
          <cell r="G11" t="str">
            <v>1</v>
          </cell>
          <cell r="H11">
            <v>13</v>
          </cell>
          <cell r="I11">
            <v>1.3</v>
          </cell>
          <cell r="J11">
            <v>1.29</v>
          </cell>
          <cell r="K11">
            <v>0.03</v>
          </cell>
          <cell r="L11">
            <v>33511</v>
          </cell>
          <cell r="M11">
            <v>1.145</v>
          </cell>
          <cell r="N11">
            <v>33534</v>
          </cell>
        </row>
        <row r="12">
          <cell r="B12" t="str">
            <v>LG</v>
          </cell>
          <cell r="C12" t="str">
            <v>LACLEDE GAS</v>
          </cell>
          <cell r="D12">
            <v>33556</v>
          </cell>
          <cell r="E12" t="str">
            <v>EPS</v>
          </cell>
          <cell r="F12" t="str">
            <v>ANN</v>
          </cell>
          <cell r="G12" t="str">
            <v>1</v>
          </cell>
          <cell r="H12">
            <v>1</v>
          </cell>
          <cell r="I12">
            <v>1.5</v>
          </cell>
          <cell r="J12">
            <v>1.5</v>
          </cell>
          <cell r="K12"/>
          <cell r="L12">
            <v>33511</v>
          </cell>
          <cell r="M12">
            <v>1.28</v>
          </cell>
          <cell r="N12">
            <v>33563</v>
          </cell>
        </row>
      </sheetData>
    </sheetDataSet>
  </externalBook>
</externalLink>
</file>

<file path=xl/externalLinks/externalLink1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cm5zsidqgh5z984"/>
    </sheetNames>
    <sheetDataSet>
      <sheetData sheetId="0">
        <row r="1">
          <cell r="B1" t="str">
            <v>Official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Forecast Period End Date (SAS Format)</v>
          </cell>
          <cell r="M1" t="str">
            <v>Actual Value, from the Detail Actuals File</v>
          </cell>
          <cell r="N1" t="str">
            <v>Announce date of the Actual, from the Detail Actuals File</v>
          </cell>
        </row>
        <row r="2">
          <cell r="B2" t="str">
            <v>ATG</v>
          </cell>
          <cell r="C2" t="str">
            <v>ATLANTA GAS LT</v>
          </cell>
          <cell r="D2">
            <v>33227</v>
          </cell>
          <cell r="E2" t="str">
            <v>EPS</v>
          </cell>
          <cell r="F2" t="str">
            <v>LTG</v>
          </cell>
          <cell r="G2" t="str">
            <v>0</v>
          </cell>
          <cell r="H2">
            <v>9</v>
          </cell>
          <cell r="I2">
            <v>7</v>
          </cell>
          <cell r="J2">
            <v>6.72</v>
          </cell>
          <cell r="K2">
            <v>1.68</v>
          </cell>
        </row>
        <row r="3">
          <cell r="B3" t="str">
            <v>CGC</v>
          </cell>
          <cell r="C3" t="str">
            <v>CASCADE NAT GAS</v>
          </cell>
          <cell r="D3">
            <v>33227</v>
          </cell>
          <cell r="E3" t="str">
            <v>EPS</v>
          </cell>
          <cell r="F3" t="str">
            <v>LTG</v>
          </cell>
          <cell r="G3" t="str">
            <v>0</v>
          </cell>
          <cell r="H3">
            <v>1</v>
          </cell>
          <cell r="I3">
            <v>8</v>
          </cell>
          <cell r="J3">
            <v>8</v>
          </cell>
        </row>
        <row r="4">
          <cell r="B4" t="str">
            <v>ATO</v>
          </cell>
          <cell r="C4" t="str">
            <v>ATMOS ENERGY CP</v>
          </cell>
          <cell r="D4">
            <v>33227</v>
          </cell>
          <cell r="E4" t="str">
            <v>EPS</v>
          </cell>
          <cell r="F4" t="str">
            <v>LTG</v>
          </cell>
          <cell r="G4" t="str">
            <v>0</v>
          </cell>
          <cell r="H4">
            <v>2</v>
          </cell>
          <cell r="I4">
            <v>4.5</v>
          </cell>
          <cell r="J4">
            <v>4.5</v>
          </cell>
          <cell r="K4">
            <v>2.12</v>
          </cell>
        </row>
        <row r="5">
          <cell r="B5" t="str">
            <v>GAS</v>
          </cell>
          <cell r="C5" t="str">
            <v>NICOR INC</v>
          </cell>
          <cell r="D5">
            <v>33227</v>
          </cell>
          <cell r="E5" t="str">
            <v>EPS</v>
          </cell>
          <cell r="F5" t="str">
            <v>LTG</v>
          </cell>
          <cell r="G5" t="str">
            <v>0</v>
          </cell>
          <cell r="H5">
            <v>9</v>
          </cell>
          <cell r="I5">
            <v>7</v>
          </cell>
          <cell r="J5">
            <v>6.67</v>
          </cell>
          <cell r="K5">
            <v>2.4500000000000002</v>
          </cell>
        </row>
        <row r="6">
          <cell r="B6" t="str">
            <v>NI</v>
          </cell>
          <cell r="C6" t="str">
            <v>NIPSCO IND INC</v>
          </cell>
          <cell r="D6">
            <v>33227</v>
          </cell>
          <cell r="E6" t="str">
            <v>EPS</v>
          </cell>
          <cell r="F6" t="str">
            <v>LTG</v>
          </cell>
          <cell r="G6" t="str">
            <v>0</v>
          </cell>
          <cell r="H6">
            <v>11</v>
          </cell>
          <cell r="I6">
            <v>5</v>
          </cell>
          <cell r="J6">
            <v>5.48</v>
          </cell>
          <cell r="K6">
            <v>1.97</v>
          </cell>
        </row>
        <row r="7">
          <cell r="B7" t="str">
            <v>NJR</v>
          </cell>
          <cell r="C7" t="str">
            <v>NEW JERSEY RES</v>
          </cell>
          <cell r="D7">
            <v>33227</v>
          </cell>
          <cell r="E7" t="str">
            <v>EPS</v>
          </cell>
          <cell r="F7" t="str">
            <v>LTG</v>
          </cell>
          <cell r="G7" t="str">
            <v>0</v>
          </cell>
          <cell r="H7">
            <v>7</v>
          </cell>
          <cell r="I7">
            <v>10</v>
          </cell>
          <cell r="J7">
            <v>8.81</v>
          </cell>
          <cell r="K7">
            <v>2.68</v>
          </cell>
        </row>
        <row r="8">
          <cell r="B8" t="str">
            <v>PNY</v>
          </cell>
          <cell r="C8" t="str">
            <v>PIEDMONT NAT GAS</v>
          </cell>
          <cell r="D8">
            <v>33227</v>
          </cell>
          <cell r="E8" t="str">
            <v>EPS</v>
          </cell>
          <cell r="F8" t="str">
            <v>LTG</v>
          </cell>
          <cell r="G8" t="str">
            <v>0</v>
          </cell>
          <cell r="H8">
            <v>2</v>
          </cell>
          <cell r="I8">
            <v>11.63</v>
          </cell>
          <cell r="J8">
            <v>11.63</v>
          </cell>
          <cell r="K8">
            <v>1.94</v>
          </cell>
        </row>
        <row r="9">
          <cell r="B9" t="str">
            <v>SJI</v>
          </cell>
          <cell r="C9" t="str">
            <v>SO JERSEY INDS</v>
          </cell>
          <cell r="D9">
            <v>33227</v>
          </cell>
          <cell r="E9" t="str">
            <v>EPS</v>
          </cell>
          <cell r="F9" t="str">
            <v>LTG</v>
          </cell>
          <cell r="G9" t="str">
            <v>0</v>
          </cell>
          <cell r="H9">
            <v>1</v>
          </cell>
          <cell r="I9">
            <v>4</v>
          </cell>
          <cell r="J9">
            <v>4</v>
          </cell>
        </row>
        <row r="10">
          <cell r="B10" t="str">
            <v>SWX</v>
          </cell>
          <cell r="C10" t="str">
            <v>SOUTHWEST GAS</v>
          </cell>
          <cell r="D10">
            <v>33227</v>
          </cell>
          <cell r="E10" t="str">
            <v>EPS</v>
          </cell>
          <cell r="F10" t="str">
            <v>LTG</v>
          </cell>
          <cell r="G10" t="str">
            <v>0</v>
          </cell>
          <cell r="H10">
            <v>6</v>
          </cell>
          <cell r="I10">
            <v>5</v>
          </cell>
          <cell r="J10">
            <v>4.17</v>
          </cell>
          <cell r="K10">
            <v>2.71</v>
          </cell>
        </row>
        <row r="11">
          <cell r="B11" t="str">
            <v>WGL</v>
          </cell>
          <cell r="C11" t="str">
            <v>WASH GAS LT</v>
          </cell>
          <cell r="D11">
            <v>33227</v>
          </cell>
          <cell r="E11" t="str">
            <v>EPS</v>
          </cell>
          <cell r="F11" t="str">
            <v>LTG</v>
          </cell>
          <cell r="G11" t="str">
            <v>0</v>
          </cell>
          <cell r="H11">
            <v>6</v>
          </cell>
          <cell r="I11">
            <v>4.5</v>
          </cell>
          <cell r="J11">
            <v>4.5</v>
          </cell>
          <cell r="K11">
            <v>1.38</v>
          </cell>
        </row>
      </sheetData>
    </sheetDataSet>
  </externalBook>
</externalLink>
</file>

<file path=xl/externalLinks/externalLink1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RDS"/>
    </sheetNames>
    <sheetDataSet>
      <sheetData sheetId="0">
        <row r="1">
          <cell r="A1" t="str">
            <v>OFTIC</v>
          </cell>
          <cell r="B1" t="str">
            <v>IBES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USFIRM=0 if from .INT file and USFIRM=1 if from .US file</v>
          </cell>
          <cell r="L1" t="str">
            <v>Forecast Period End Date (SAS Format)</v>
          </cell>
          <cell r="M1" t="str">
            <v>Actual Value, from the Detail Actuals File</v>
          </cell>
          <cell r="N1" t="str">
            <v>Announce date of the Actual, from the Detail Actuals File</v>
          </cell>
        </row>
        <row r="2">
          <cell r="A2" t="str">
            <v>AVA</v>
          </cell>
          <cell r="B2" t="str">
            <v>AVDO</v>
          </cell>
          <cell r="C2" t="str">
            <v>AUDIO VIDEO AFFI</v>
          </cell>
          <cell r="D2">
            <v>19891214</v>
          </cell>
          <cell r="E2" t="str">
            <v>EPS</v>
          </cell>
          <cell r="F2" t="str">
            <v>ANN</v>
          </cell>
          <cell r="G2">
            <v>1</v>
          </cell>
          <cell r="H2">
            <v>4</v>
          </cell>
          <cell r="I2">
            <v>-0.06</v>
          </cell>
          <cell r="J2">
            <v>-0.04</v>
          </cell>
          <cell r="K2">
            <v>1</v>
          </cell>
          <cell r="L2">
            <v>19900131</v>
          </cell>
          <cell r="M2">
            <v>-0.32440000000000002</v>
          </cell>
          <cell r="N2">
            <v>19900412</v>
          </cell>
        </row>
        <row r="3">
          <cell r="A3" t="str">
            <v>PNW</v>
          </cell>
          <cell r="B3" t="str">
            <v>AZP</v>
          </cell>
          <cell r="C3" t="str">
            <v>PINNACLE WST CAP</v>
          </cell>
          <cell r="D3">
            <v>19891214</v>
          </cell>
          <cell r="E3" t="str">
            <v>EPS</v>
          </cell>
          <cell r="F3" t="str">
            <v>ANN</v>
          </cell>
          <cell r="G3">
            <v>1</v>
          </cell>
          <cell r="H3">
            <v>19</v>
          </cell>
          <cell r="I3">
            <v>0.8</v>
          </cell>
          <cell r="J3">
            <v>0.74</v>
          </cell>
          <cell r="K3">
            <v>1</v>
          </cell>
          <cell r="L3">
            <v>19891231</v>
          </cell>
          <cell r="M3">
            <v>1.41</v>
          </cell>
          <cell r="N3">
            <v>19900223</v>
          </cell>
        </row>
        <row r="4">
          <cell r="A4" t="str">
            <v>BKH</v>
          </cell>
          <cell r="B4" t="str">
            <v>BHP</v>
          </cell>
          <cell r="C4" t="str">
            <v>BLACK HILLS CORP</v>
          </cell>
          <cell r="D4">
            <v>19891214</v>
          </cell>
          <cell r="E4" t="str">
            <v>EPS</v>
          </cell>
          <cell r="F4" t="str">
            <v>ANN</v>
          </cell>
          <cell r="G4">
            <v>1</v>
          </cell>
          <cell r="H4">
            <v>6</v>
          </cell>
          <cell r="I4">
            <v>1.08</v>
          </cell>
          <cell r="J4">
            <v>1.0900000000000001</v>
          </cell>
          <cell r="K4">
            <v>1</v>
          </cell>
          <cell r="L4">
            <v>19891231</v>
          </cell>
          <cell r="M4">
            <v>1.0712999999999999</v>
          </cell>
          <cell r="N4">
            <v>19900214</v>
          </cell>
        </row>
        <row r="5">
          <cell r="A5" t="str">
            <v>CIN</v>
          </cell>
          <cell r="B5" t="str">
            <v>CIN</v>
          </cell>
          <cell r="C5" t="str">
            <v>CINN GAS &amp; EL</v>
          </cell>
          <cell r="D5">
            <v>19891214</v>
          </cell>
          <cell r="E5" t="str">
            <v>EPS</v>
          </cell>
          <cell r="F5" t="str">
            <v>ANN</v>
          </cell>
          <cell r="G5">
            <v>1</v>
          </cell>
          <cell r="H5">
            <v>15</v>
          </cell>
          <cell r="I5">
            <v>2.67</v>
          </cell>
          <cell r="J5">
            <v>2.67</v>
          </cell>
          <cell r="K5">
            <v>1</v>
          </cell>
          <cell r="L5">
            <v>19891231</v>
          </cell>
          <cell r="M5">
            <v>2.92</v>
          </cell>
          <cell r="N5">
            <v>19900122</v>
          </cell>
        </row>
        <row r="6">
          <cell r="A6" t="str">
            <v>CMS</v>
          </cell>
          <cell r="B6" t="str">
            <v>CMS</v>
          </cell>
          <cell r="C6" t="str">
            <v>CMS ENERGY CORP</v>
          </cell>
          <cell r="D6">
            <v>19891214</v>
          </cell>
          <cell r="E6" t="str">
            <v>EPS</v>
          </cell>
          <cell r="F6" t="str">
            <v>ANN</v>
          </cell>
          <cell r="G6">
            <v>1</v>
          </cell>
          <cell r="H6">
            <v>22</v>
          </cell>
          <cell r="I6">
            <v>3.75</v>
          </cell>
          <cell r="J6">
            <v>3.69</v>
          </cell>
          <cell r="K6">
            <v>1</v>
          </cell>
          <cell r="L6">
            <v>19891231</v>
          </cell>
          <cell r="M6">
            <v>3.8</v>
          </cell>
          <cell r="N6">
            <v>19900129</v>
          </cell>
        </row>
        <row r="7">
          <cell r="A7" t="str">
            <v>CNL</v>
          </cell>
          <cell r="B7" t="str">
            <v>CNL</v>
          </cell>
          <cell r="C7" t="str">
            <v>CENT LA ELEC INC</v>
          </cell>
          <cell r="D7">
            <v>19891214</v>
          </cell>
          <cell r="E7" t="str">
            <v>EPS</v>
          </cell>
          <cell r="F7" t="str">
            <v>ANN</v>
          </cell>
          <cell r="G7">
            <v>1</v>
          </cell>
          <cell r="H7">
            <v>7</v>
          </cell>
          <cell r="I7">
            <v>0.89</v>
          </cell>
          <cell r="J7">
            <v>0.88</v>
          </cell>
          <cell r="K7">
            <v>1</v>
          </cell>
          <cell r="L7">
            <v>19891231</v>
          </cell>
          <cell r="M7">
            <v>0.89500000000000002</v>
          </cell>
          <cell r="N7">
            <v>19900131</v>
          </cell>
        </row>
        <row r="8">
          <cell r="A8" t="str">
            <v>CNP</v>
          </cell>
          <cell r="B8" t="str">
            <v>CNP</v>
          </cell>
          <cell r="C8" t="str">
            <v>CROWN CENT PETE</v>
          </cell>
          <cell r="D8">
            <v>19891214</v>
          </cell>
          <cell r="E8" t="str">
            <v>EPS</v>
          </cell>
          <cell r="F8" t="str">
            <v>ANN</v>
          </cell>
          <cell r="G8">
            <v>1</v>
          </cell>
          <cell r="H8">
            <v>3</v>
          </cell>
          <cell r="I8">
            <v>2.8</v>
          </cell>
          <cell r="J8">
            <v>2.75</v>
          </cell>
          <cell r="K8">
            <v>1</v>
          </cell>
          <cell r="L8">
            <v>19891231</v>
          </cell>
          <cell r="M8">
            <v>2.13</v>
          </cell>
          <cell r="N8">
            <v>19900223</v>
          </cell>
        </row>
        <row r="9">
          <cell r="A9" t="str">
            <v>CV</v>
          </cell>
          <cell r="B9" t="str">
            <v>CV</v>
          </cell>
          <cell r="C9" t="str">
            <v>CNTRL VT PUB SVC</v>
          </cell>
          <cell r="D9">
            <v>19891214</v>
          </cell>
          <cell r="E9" t="str">
            <v>EPS</v>
          </cell>
          <cell r="F9" t="str">
            <v>ANN</v>
          </cell>
          <cell r="G9">
            <v>1</v>
          </cell>
          <cell r="H9">
            <v>3</v>
          </cell>
          <cell r="I9">
            <v>1.7</v>
          </cell>
          <cell r="J9">
            <v>1.61</v>
          </cell>
          <cell r="K9">
            <v>1</v>
          </cell>
          <cell r="L9">
            <v>19891231</v>
          </cell>
          <cell r="M9">
            <v>1.7</v>
          </cell>
          <cell r="N9">
            <v>19900216</v>
          </cell>
        </row>
        <row r="10">
          <cell r="A10" t="str">
            <v>D</v>
          </cell>
          <cell r="B10" t="str">
            <v>D</v>
          </cell>
          <cell r="C10" t="str">
            <v>DOMINION RES INC</v>
          </cell>
          <cell r="D10">
            <v>19891214</v>
          </cell>
          <cell r="E10" t="str">
            <v>EPS</v>
          </cell>
          <cell r="F10" t="str">
            <v>ANN</v>
          </cell>
          <cell r="G10">
            <v>1</v>
          </cell>
          <cell r="H10">
            <v>29</v>
          </cell>
          <cell r="I10">
            <v>1.37</v>
          </cell>
          <cell r="J10">
            <v>1.38</v>
          </cell>
          <cell r="K10">
            <v>1</v>
          </cell>
          <cell r="L10">
            <v>19891231</v>
          </cell>
          <cell r="M10">
            <v>1.3765000000000001</v>
          </cell>
          <cell r="N10">
            <v>19900126</v>
          </cell>
        </row>
        <row r="11">
          <cell r="A11" t="str">
            <v>DPL</v>
          </cell>
          <cell r="B11" t="str">
            <v>DPL</v>
          </cell>
          <cell r="C11" t="str">
            <v>DPL INC</v>
          </cell>
          <cell r="D11">
            <v>19891214</v>
          </cell>
          <cell r="E11" t="str">
            <v>EPS</v>
          </cell>
          <cell r="F11" t="str">
            <v>ANN</v>
          </cell>
          <cell r="G11">
            <v>1</v>
          </cell>
          <cell r="H11">
            <v>19</v>
          </cell>
          <cell r="I11">
            <v>0.96</v>
          </cell>
          <cell r="J11">
            <v>0.96</v>
          </cell>
          <cell r="K11">
            <v>1</v>
          </cell>
          <cell r="L11">
            <v>19891231</v>
          </cell>
          <cell r="M11">
            <v>0.97330000000000005</v>
          </cell>
          <cell r="N11">
            <v>19900126</v>
          </cell>
        </row>
        <row r="12">
          <cell r="A12" t="str">
            <v>DTE</v>
          </cell>
          <cell r="B12" t="str">
            <v>DTE</v>
          </cell>
          <cell r="C12" t="str">
            <v>DETROIT EDISON</v>
          </cell>
          <cell r="D12">
            <v>19891214</v>
          </cell>
          <cell r="E12" t="str">
            <v>EPS</v>
          </cell>
          <cell r="F12" t="str">
            <v>ANN</v>
          </cell>
          <cell r="G12">
            <v>1</v>
          </cell>
          <cell r="H12">
            <v>20</v>
          </cell>
          <cell r="I12">
            <v>2.5</v>
          </cell>
          <cell r="J12">
            <v>2.4900000000000002</v>
          </cell>
          <cell r="K12">
            <v>1</v>
          </cell>
          <cell r="L12">
            <v>19891231</v>
          </cell>
          <cell r="M12">
            <v>2.65</v>
          </cell>
          <cell r="N12">
            <v>19900123</v>
          </cell>
        </row>
        <row r="13">
          <cell r="A13" t="str">
            <v>DUK</v>
          </cell>
          <cell r="B13" t="str">
            <v>DUK</v>
          </cell>
          <cell r="C13" t="str">
            <v>DUKE POWER CO</v>
          </cell>
          <cell r="D13">
            <v>19891214</v>
          </cell>
          <cell r="E13" t="str">
            <v>EPS</v>
          </cell>
          <cell r="F13" t="str">
            <v>ANN</v>
          </cell>
          <cell r="G13">
            <v>1</v>
          </cell>
          <cell r="H13">
            <v>23</v>
          </cell>
          <cell r="I13">
            <v>3.52</v>
          </cell>
          <cell r="J13">
            <v>3.52</v>
          </cell>
          <cell r="K13">
            <v>1</v>
          </cell>
          <cell r="L13">
            <v>19891231</v>
          </cell>
          <cell r="M13">
            <v>4.335</v>
          </cell>
          <cell r="N13">
            <v>19900122</v>
          </cell>
        </row>
        <row r="14">
          <cell r="A14" t="str">
            <v>ED</v>
          </cell>
          <cell r="B14" t="str">
            <v>ED</v>
          </cell>
          <cell r="C14" t="str">
            <v>CONSOL EDISON</v>
          </cell>
          <cell r="D14">
            <v>19891214</v>
          </cell>
          <cell r="E14" t="str">
            <v>EPS</v>
          </cell>
          <cell r="F14" t="str">
            <v>ANN</v>
          </cell>
          <cell r="G14">
            <v>1</v>
          </cell>
          <cell r="H14">
            <v>22</v>
          </cell>
          <cell r="I14">
            <v>2.4</v>
          </cell>
          <cell r="J14">
            <v>2.41</v>
          </cell>
          <cell r="K14">
            <v>1</v>
          </cell>
          <cell r="L14">
            <v>19891231</v>
          </cell>
          <cell r="M14">
            <v>2.4950000000000001</v>
          </cell>
          <cell r="N14">
            <v>19900124</v>
          </cell>
        </row>
        <row r="15">
          <cell r="A15" t="str">
            <v>EDE</v>
          </cell>
          <cell r="B15" t="str">
            <v>EDE</v>
          </cell>
          <cell r="C15" t="str">
            <v>EMPIRE DIST ELEC</v>
          </cell>
          <cell r="D15">
            <v>19891214</v>
          </cell>
          <cell r="E15" t="str">
            <v>EPS</v>
          </cell>
          <cell r="F15" t="str">
            <v>ANN</v>
          </cell>
          <cell r="G15">
            <v>1</v>
          </cell>
          <cell r="H15">
            <v>4</v>
          </cell>
          <cell r="I15">
            <v>1.42</v>
          </cell>
          <cell r="J15">
            <v>1.44</v>
          </cell>
          <cell r="K15">
            <v>1</v>
          </cell>
          <cell r="L15">
            <v>19891231</v>
          </cell>
          <cell r="M15">
            <v>1.4650000000000001</v>
          </cell>
          <cell r="N15">
            <v>19900126</v>
          </cell>
        </row>
        <row r="16">
          <cell r="A16" t="str">
            <v>EXC</v>
          </cell>
          <cell r="B16" t="str">
            <v>EXC</v>
          </cell>
          <cell r="C16" t="str">
            <v>EXCEL INDS INC</v>
          </cell>
          <cell r="D16">
            <v>19891214</v>
          </cell>
          <cell r="E16" t="str">
            <v>EPS</v>
          </cell>
          <cell r="F16" t="str">
            <v>ANN</v>
          </cell>
          <cell r="G16">
            <v>1</v>
          </cell>
          <cell r="H16">
            <v>7</v>
          </cell>
          <cell r="I16">
            <v>1.1499999999999999</v>
          </cell>
          <cell r="J16">
            <v>1.1599999999999999</v>
          </cell>
          <cell r="K16">
            <v>1</v>
          </cell>
          <cell r="L16">
            <v>19891231</v>
          </cell>
          <cell r="M16">
            <v>1.18</v>
          </cell>
          <cell r="N16">
            <v>19900217</v>
          </cell>
        </row>
        <row r="17">
          <cell r="A17" t="str">
            <v>FPL</v>
          </cell>
          <cell r="B17" t="str">
            <v>FPL</v>
          </cell>
          <cell r="C17" t="str">
            <v>FPL GROUP</v>
          </cell>
          <cell r="D17">
            <v>19891214</v>
          </cell>
          <cell r="E17" t="str">
            <v>EPS</v>
          </cell>
          <cell r="F17" t="str">
            <v>ANN</v>
          </cell>
          <cell r="G17">
            <v>1</v>
          </cell>
          <cell r="H17">
            <v>25</v>
          </cell>
          <cell r="I17">
            <v>0.4</v>
          </cell>
          <cell r="J17">
            <v>0.4</v>
          </cell>
          <cell r="K17">
            <v>1</v>
          </cell>
          <cell r="L17">
            <v>19891231</v>
          </cell>
          <cell r="M17">
            <v>0.39</v>
          </cell>
          <cell r="N17">
            <v>19900221</v>
          </cell>
        </row>
        <row r="18">
          <cell r="A18" t="str">
            <v>HE</v>
          </cell>
          <cell r="B18" t="str">
            <v>HE</v>
          </cell>
          <cell r="C18" t="str">
            <v>HAWAIIAN ELEC</v>
          </cell>
          <cell r="D18">
            <v>19891214</v>
          </cell>
          <cell r="E18" t="str">
            <v>EPS</v>
          </cell>
          <cell r="F18" t="str">
            <v>ANN</v>
          </cell>
          <cell r="G18">
            <v>1</v>
          </cell>
          <cell r="H18">
            <v>10</v>
          </cell>
          <cell r="I18">
            <v>1.52</v>
          </cell>
          <cell r="J18">
            <v>1.53</v>
          </cell>
          <cell r="K18">
            <v>1</v>
          </cell>
          <cell r="L18">
            <v>19891231</v>
          </cell>
          <cell r="M18">
            <v>1.5249999999999999</v>
          </cell>
          <cell r="N18">
            <v>19900221</v>
          </cell>
        </row>
        <row r="19">
          <cell r="A19" t="str">
            <v>IDA</v>
          </cell>
          <cell r="B19" t="str">
            <v>IDA</v>
          </cell>
          <cell r="C19" t="str">
            <v>IDAHO POWER CO</v>
          </cell>
          <cell r="D19">
            <v>19891214</v>
          </cell>
          <cell r="E19" t="str">
            <v>EPS</v>
          </cell>
          <cell r="F19" t="str">
            <v>ANN</v>
          </cell>
          <cell r="G19">
            <v>1</v>
          </cell>
          <cell r="H19">
            <v>18</v>
          </cell>
          <cell r="I19">
            <v>2.2200000000000002</v>
          </cell>
          <cell r="J19">
            <v>2.23</v>
          </cell>
          <cell r="K19">
            <v>1</v>
          </cell>
          <cell r="L19">
            <v>19891231</v>
          </cell>
          <cell r="M19">
            <v>2.37</v>
          </cell>
          <cell r="N19">
            <v>19900205</v>
          </cell>
        </row>
        <row r="20">
          <cell r="A20" t="str">
            <v>ETR</v>
          </cell>
          <cell r="B20" t="str">
            <v>MSU</v>
          </cell>
          <cell r="C20" t="str">
            <v>ENTERGY CP</v>
          </cell>
          <cell r="D20">
            <v>19891214</v>
          </cell>
          <cell r="E20" t="str">
            <v>EPS</v>
          </cell>
          <cell r="F20" t="str">
            <v>ANN</v>
          </cell>
          <cell r="G20">
            <v>1</v>
          </cell>
          <cell r="H20">
            <v>20</v>
          </cell>
          <cell r="I20">
            <v>2.15</v>
          </cell>
          <cell r="J20">
            <v>2.16</v>
          </cell>
          <cell r="K20">
            <v>1</v>
          </cell>
          <cell r="L20">
            <v>19891231</v>
          </cell>
          <cell r="M20">
            <v>-2.6</v>
          </cell>
          <cell r="N20">
            <v>19900216</v>
          </cell>
        </row>
        <row r="21">
          <cell r="A21" t="str">
            <v>NU</v>
          </cell>
          <cell r="B21" t="str">
            <v>NU</v>
          </cell>
          <cell r="C21" t="str">
            <v>NORTHEAST UTILS</v>
          </cell>
          <cell r="D21">
            <v>19891214</v>
          </cell>
          <cell r="E21" t="str">
            <v>EPS</v>
          </cell>
          <cell r="F21" t="str">
            <v>ANN</v>
          </cell>
          <cell r="G21">
            <v>1</v>
          </cell>
          <cell r="H21">
            <v>20</v>
          </cell>
          <cell r="I21">
            <v>2.09</v>
          </cell>
          <cell r="J21">
            <v>2.08</v>
          </cell>
          <cell r="K21">
            <v>1</v>
          </cell>
          <cell r="L21">
            <v>19891231</v>
          </cell>
          <cell r="M21">
            <v>1.94</v>
          </cell>
          <cell r="N21">
            <v>19900124</v>
          </cell>
        </row>
        <row r="22">
          <cell r="A22" t="str">
            <v>OGE</v>
          </cell>
          <cell r="B22" t="str">
            <v>OGE</v>
          </cell>
          <cell r="C22" t="str">
            <v>OKLAHOMA G&amp;E</v>
          </cell>
          <cell r="D22">
            <v>19891214</v>
          </cell>
          <cell r="E22" t="str">
            <v>EPS</v>
          </cell>
          <cell r="F22" t="str">
            <v>ANN</v>
          </cell>
          <cell r="G22">
            <v>1</v>
          </cell>
          <cell r="H22">
            <v>20</v>
          </cell>
          <cell r="I22">
            <v>0.78</v>
          </cell>
          <cell r="J22">
            <v>0.78</v>
          </cell>
          <cell r="K22">
            <v>1</v>
          </cell>
          <cell r="L22">
            <v>19891231</v>
          </cell>
          <cell r="M22">
            <v>0.76249999999999996</v>
          </cell>
          <cell r="N22">
            <v>19900202</v>
          </cell>
        </row>
        <row r="23">
          <cell r="A23" t="str">
            <v>SRE</v>
          </cell>
          <cell r="B23" t="str">
            <v>OJ</v>
          </cell>
          <cell r="C23" t="str">
            <v>STONERIDGE RES</v>
          </cell>
          <cell r="D23">
            <v>19891214</v>
          </cell>
          <cell r="E23" t="str">
            <v>EPS</v>
          </cell>
          <cell r="F23" t="str">
            <v>ANN</v>
          </cell>
          <cell r="G23">
            <v>1</v>
          </cell>
          <cell r="H23">
            <v>1</v>
          </cell>
          <cell r="I23">
            <v>2</v>
          </cell>
          <cell r="J23">
            <v>2</v>
          </cell>
          <cell r="K23">
            <v>1</v>
          </cell>
          <cell r="L23">
            <v>19900831</v>
          </cell>
          <cell r="M23">
            <v>-3.08</v>
          </cell>
          <cell r="N23">
            <v>19901130</v>
          </cell>
        </row>
        <row r="24">
          <cell r="A24" t="str">
            <v>OTTR</v>
          </cell>
          <cell r="B24" t="str">
            <v>OTTR</v>
          </cell>
          <cell r="C24" t="str">
            <v>OTTER TAIL PWR</v>
          </cell>
          <cell r="D24">
            <v>19891214</v>
          </cell>
          <cell r="E24" t="str">
            <v>EPS</v>
          </cell>
          <cell r="F24" t="str">
            <v>ANN</v>
          </cell>
          <cell r="G24">
            <v>1</v>
          </cell>
          <cell r="H24">
            <v>6</v>
          </cell>
          <cell r="I24">
            <v>0.95</v>
          </cell>
          <cell r="J24">
            <v>0.96</v>
          </cell>
          <cell r="K24">
            <v>1</v>
          </cell>
          <cell r="L24">
            <v>19891231</v>
          </cell>
          <cell r="M24">
            <v>0.96499999999999997</v>
          </cell>
          <cell r="N24">
            <v>19900130</v>
          </cell>
        </row>
        <row r="25">
          <cell r="A25" t="str">
            <v>PCG</v>
          </cell>
          <cell r="B25" t="str">
            <v>PCG</v>
          </cell>
          <cell r="C25" t="str">
            <v>PACIFIC G&amp;E</v>
          </cell>
          <cell r="D25">
            <v>19891214</v>
          </cell>
          <cell r="E25" t="str">
            <v>EPS</v>
          </cell>
          <cell r="F25" t="str">
            <v>ANN</v>
          </cell>
          <cell r="G25">
            <v>1</v>
          </cell>
          <cell r="H25">
            <v>23</v>
          </cell>
          <cell r="I25">
            <v>1.95</v>
          </cell>
          <cell r="J25">
            <v>1.96</v>
          </cell>
          <cell r="K25">
            <v>1</v>
          </cell>
          <cell r="L25">
            <v>19891231</v>
          </cell>
        </row>
        <row r="26">
          <cell r="A26" t="str">
            <v>PEG</v>
          </cell>
          <cell r="B26" t="str">
            <v>PEG</v>
          </cell>
          <cell r="C26" t="str">
            <v>PUB SVC ENTERS</v>
          </cell>
          <cell r="D26">
            <v>19891214</v>
          </cell>
          <cell r="E26" t="str">
            <v>EPS</v>
          </cell>
          <cell r="F26" t="str">
            <v>ANN</v>
          </cell>
          <cell r="G26">
            <v>1</v>
          </cell>
          <cell r="H26">
            <v>22</v>
          </cell>
          <cell r="I26">
            <v>1.3</v>
          </cell>
          <cell r="J26">
            <v>1.29</v>
          </cell>
          <cell r="K26">
            <v>1</v>
          </cell>
          <cell r="L26">
            <v>19891231</v>
          </cell>
          <cell r="M26">
            <v>1.3149999999999999</v>
          </cell>
          <cell r="N26">
            <v>19900119</v>
          </cell>
        </row>
        <row r="27">
          <cell r="A27" t="str">
            <v>PGN</v>
          </cell>
          <cell r="B27" t="str">
            <v>PGN</v>
          </cell>
          <cell r="C27" t="str">
            <v>PORTLAND GEN CP</v>
          </cell>
          <cell r="D27">
            <v>19891214</v>
          </cell>
          <cell r="E27" t="str">
            <v>EPS</v>
          </cell>
          <cell r="F27" t="str">
            <v>ANN</v>
          </cell>
          <cell r="G27">
            <v>1</v>
          </cell>
          <cell r="H27">
            <v>18</v>
          </cell>
          <cell r="I27">
            <v>1.9</v>
          </cell>
          <cell r="J27">
            <v>1.9</v>
          </cell>
          <cell r="K27">
            <v>1</v>
          </cell>
          <cell r="L27">
            <v>19891231</v>
          </cell>
          <cell r="M27">
            <v>1.34</v>
          </cell>
          <cell r="N27">
            <v>19900208</v>
          </cell>
        </row>
        <row r="28">
          <cell r="A28" t="str">
            <v>PNM</v>
          </cell>
          <cell r="B28" t="str">
            <v>PNM</v>
          </cell>
          <cell r="C28" t="str">
            <v>PUB SVC N MEX</v>
          </cell>
          <cell r="D28">
            <v>19891214</v>
          </cell>
          <cell r="E28" t="str">
            <v>EPS</v>
          </cell>
          <cell r="F28" t="str">
            <v>ANN</v>
          </cell>
          <cell r="G28">
            <v>1</v>
          </cell>
          <cell r="H28">
            <v>19</v>
          </cell>
          <cell r="I28">
            <v>1.17</v>
          </cell>
          <cell r="J28">
            <v>1.18</v>
          </cell>
          <cell r="K28">
            <v>1</v>
          </cell>
          <cell r="L28">
            <v>19891231</v>
          </cell>
          <cell r="M28">
            <v>0.9</v>
          </cell>
          <cell r="N28">
            <v>19900327</v>
          </cell>
        </row>
        <row r="29">
          <cell r="A29" t="str">
            <v>POM</v>
          </cell>
          <cell r="B29" t="str">
            <v>POM</v>
          </cell>
          <cell r="C29" t="str">
            <v>POTOMAC ELEC</v>
          </cell>
          <cell r="D29">
            <v>19891214</v>
          </cell>
          <cell r="E29" t="str">
            <v>EPS</v>
          </cell>
          <cell r="F29" t="str">
            <v>ANN</v>
          </cell>
          <cell r="G29">
            <v>1</v>
          </cell>
          <cell r="H29">
            <v>24</v>
          </cell>
          <cell r="I29">
            <v>2.1</v>
          </cell>
          <cell r="J29">
            <v>2.11</v>
          </cell>
          <cell r="K29">
            <v>1</v>
          </cell>
          <cell r="L29">
            <v>19891231</v>
          </cell>
        </row>
        <row r="30">
          <cell r="A30" t="str">
            <v>PPL</v>
          </cell>
          <cell r="B30" t="str">
            <v>PPL</v>
          </cell>
          <cell r="C30" t="str">
            <v>PENNA P&amp;L</v>
          </cell>
          <cell r="D30">
            <v>19891214</v>
          </cell>
          <cell r="E30" t="str">
            <v>EPS</v>
          </cell>
          <cell r="F30" t="str">
            <v>ANN</v>
          </cell>
          <cell r="G30">
            <v>1</v>
          </cell>
          <cell r="H30">
            <v>18</v>
          </cell>
          <cell r="I30">
            <v>0.92</v>
          </cell>
          <cell r="J30">
            <v>0.92</v>
          </cell>
          <cell r="K30">
            <v>1</v>
          </cell>
          <cell r="L30">
            <v>19891231</v>
          </cell>
          <cell r="M30">
            <v>1.0075000000000001</v>
          </cell>
          <cell r="N30">
            <v>19900124</v>
          </cell>
        </row>
        <row r="31">
          <cell r="A31" t="str">
            <v>PSD</v>
          </cell>
          <cell r="B31" t="str">
            <v>PSD</v>
          </cell>
          <cell r="C31" t="str">
            <v>PUGET SOUND P&amp;L</v>
          </cell>
          <cell r="D31">
            <v>19891214</v>
          </cell>
          <cell r="E31" t="str">
            <v>EPS</v>
          </cell>
          <cell r="F31" t="str">
            <v>ANN</v>
          </cell>
          <cell r="G31">
            <v>1</v>
          </cell>
          <cell r="H31">
            <v>13</v>
          </cell>
          <cell r="I31">
            <v>2.15</v>
          </cell>
          <cell r="J31">
            <v>2.13</v>
          </cell>
          <cell r="K31">
            <v>1</v>
          </cell>
          <cell r="L31">
            <v>19891231</v>
          </cell>
          <cell r="M31">
            <v>1.94</v>
          </cell>
          <cell r="N31">
            <v>19900213</v>
          </cell>
        </row>
        <row r="32">
          <cell r="A32" t="str">
            <v>SCG</v>
          </cell>
          <cell r="B32" t="str">
            <v>SCG</v>
          </cell>
          <cell r="C32" t="str">
            <v>SCANA CP</v>
          </cell>
          <cell r="D32">
            <v>19891214</v>
          </cell>
          <cell r="E32" t="str">
            <v>EPS</v>
          </cell>
          <cell r="F32" t="str">
            <v>ANN</v>
          </cell>
          <cell r="G32">
            <v>1</v>
          </cell>
          <cell r="H32">
            <v>17</v>
          </cell>
          <cell r="I32">
            <v>1.55</v>
          </cell>
          <cell r="J32">
            <v>1.55</v>
          </cell>
          <cell r="K32">
            <v>1</v>
          </cell>
          <cell r="L32">
            <v>19891231</v>
          </cell>
          <cell r="M32">
            <v>1.52</v>
          </cell>
          <cell r="N32">
            <v>19900303</v>
          </cell>
        </row>
        <row r="33">
          <cell r="A33" t="str">
            <v>SO</v>
          </cell>
          <cell r="B33" t="str">
            <v>SO</v>
          </cell>
          <cell r="C33" t="str">
            <v>SOUTHN CO</v>
          </cell>
          <cell r="D33">
            <v>19891214</v>
          </cell>
          <cell r="E33" t="str">
            <v>EPS</v>
          </cell>
          <cell r="F33" t="str">
            <v>ANN</v>
          </cell>
          <cell r="G33">
            <v>1</v>
          </cell>
          <cell r="H33">
            <v>25</v>
          </cell>
          <cell r="I33">
            <v>1.35</v>
          </cell>
          <cell r="J33">
            <v>1.37</v>
          </cell>
          <cell r="K33">
            <v>1</v>
          </cell>
          <cell r="L33">
            <v>19891231</v>
          </cell>
          <cell r="M33">
            <v>1.34</v>
          </cell>
          <cell r="N33">
            <v>19900207</v>
          </cell>
        </row>
        <row r="34">
          <cell r="A34" t="str">
            <v>TE</v>
          </cell>
          <cell r="B34" t="str">
            <v>TE</v>
          </cell>
          <cell r="C34" t="str">
            <v>TECO ENERGY INC</v>
          </cell>
          <cell r="D34">
            <v>19891214</v>
          </cell>
          <cell r="E34" t="str">
            <v>EPS</v>
          </cell>
          <cell r="F34" t="str">
            <v>ANN</v>
          </cell>
          <cell r="G34">
            <v>1</v>
          </cell>
          <cell r="H34">
            <v>23</v>
          </cell>
          <cell r="I34">
            <v>1.1499999999999999</v>
          </cell>
          <cell r="J34">
            <v>1.1499999999999999</v>
          </cell>
          <cell r="K34">
            <v>1</v>
          </cell>
          <cell r="L34">
            <v>19891231</v>
          </cell>
          <cell r="M34">
            <v>1.1599999999999999</v>
          </cell>
          <cell r="N34">
            <v>19900131</v>
          </cell>
        </row>
        <row r="35">
          <cell r="A35" t="str">
            <v>UIL</v>
          </cell>
          <cell r="B35" t="str">
            <v>UIL</v>
          </cell>
          <cell r="C35" t="str">
            <v>UTD ILLUM CO</v>
          </cell>
          <cell r="D35">
            <v>19891214</v>
          </cell>
          <cell r="E35" t="str">
            <v>EPS</v>
          </cell>
          <cell r="F35" t="str">
            <v>ANN</v>
          </cell>
          <cell r="G35">
            <v>1</v>
          </cell>
          <cell r="H35">
            <v>5</v>
          </cell>
          <cell r="I35">
            <v>3.45</v>
          </cell>
          <cell r="J35">
            <v>3.39</v>
          </cell>
          <cell r="K35">
            <v>1</v>
          </cell>
          <cell r="L35">
            <v>19891231</v>
          </cell>
          <cell r="M35">
            <v>3.1859999999999999</v>
          </cell>
          <cell r="N35">
            <v>19900131</v>
          </cell>
        </row>
        <row r="36">
          <cell r="A36" t="str">
            <v>WEC</v>
          </cell>
          <cell r="B36" t="str">
            <v>WPC</v>
          </cell>
          <cell r="C36" t="str">
            <v>WISCONSIN ENERGY</v>
          </cell>
          <cell r="D36">
            <v>19891214</v>
          </cell>
          <cell r="E36" t="str">
            <v>EPS</v>
          </cell>
          <cell r="F36" t="str">
            <v>ANN</v>
          </cell>
          <cell r="G36">
            <v>1</v>
          </cell>
          <cell r="H36">
            <v>24</v>
          </cell>
          <cell r="I36">
            <v>0.95</v>
          </cell>
          <cell r="J36">
            <v>0.94</v>
          </cell>
          <cell r="K36">
            <v>1</v>
          </cell>
          <cell r="L36">
            <v>19891231</v>
          </cell>
          <cell r="M36">
            <v>0.95350000000000001</v>
          </cell>
          <cell r="N36">
            <v>19900126</v>
          </cell>
        </row>
        <row r="37">
          <cell r="A37" t="str">
            <v>WPS</v>
          </cell>
          <cell r="B37" t="str">
            <v>WPS</v>
          </cell>
          <cell r="C37" t="str">
            <v>WISC PUB SVC</v>
          </cell>
          <cell r="D37">
            <v>19891214</v>
          </cell>
          <cell r="E37" t="str">
            <v>EPS</v>
          </cell>
          <cell r="F37" t="str">
            <v>ANN</v>
          </cell>
          <cell r="G37">
            <v>1</v>
          </cell>
          <cell r="H37">
            <v>13</v>
          </cell>
          <cell r="I37">
            <v>2.15</v>
          </cell>
          <cell r="J37">
            <v>2.14</v>
          </cell>
          <cell r="K37">
            <v>1</v>
          </cell>
          <cell r="L37">
            <v>19891231</v>
          </cell>
        </row>
        <row r="38">
          <cell r="A38" t="str">
            <v>AGR</v>
          </cell>
          <cell r="B38" t="str">
            <v>AGR1</v>
          </cell>
          <cell r="C38" t="str">
            <v>AGRA INDS INC</v>
          </cell>
          <cell r="D38">
            <v>19891214</v>
          </cell>
          <cell r="E38" t="str">
            <v>EPS</v>
          </cell>
          <cell r="F38" t="str">
            <v>ANN</v>
          </cell>
          <cell r="G38">
            <v>1</v>
          </cell>
          <cell r="H38">
            <v>1</v>
          </cell>
          <cell r="I38">
            <v>0.2</v>
          </cell>
          <cell r="J38">
            <v>0.2</v>
          </cell>
          <cell r="K38">
            <v>0</v>
          </cell>
          <cell r="L38">
            <v>19900731</v>
          </cell>
          <cell r="M38">
            <v>7.0000000000000007E-2</v>
          </cell>
        </row>
        <row r="39">
          <cell r="A39" t="str">
            <v>FPL</v>
          </cell>
          <cell r="B39" t="str">
            <v>FPI1</v>
          </cell>
          <cell r="C39" t="str">
            <v>FPI LTD</v>
          </cell>
          <cell r="D39">
            <v>19891214</v>
          </cell>
          <cell r="E39" t="str">
            <v>EPS</v>
          </cell>
          <cell r="F39" t="str">
            <v>ANN</v>
          </cell>
          <cell r="G39">
            <v>1</v>
          </cell>
          <cell r="H39">
            <v>8</v>
          </cell>
          <cell r="I39">
            <v>-0.63</v>
          </cell>
          <cell r="J39">
            <v>-0.63</v>
          </cell>
          <cell r="K39">
            <v>0</v>
          </cell>
          <cell r="L39">
            <v>19891231</v>
          </cell>
          <cell r="M39">
            <v>-1.38</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RDS"/>
    </sheetNames>
    <sheetDataSet>
      <sheetData sheetId="0">
        <row r="1">
          <cell r="B1" t="str">
            <v>Official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Forecast Period End Date (SAS Format)</v>
          </cell>
          <cell r="M1" t="str">
            <v>Actual Value, from the Detail Actuals File</v>
          </cell>
          <cell r="N1" t="str">
            <v>Announce date of the Actual, from the Detail Actuals File</v>
          </cell>
        </row>
        <row r="2">
          <cell r="B2" t="str">
            <v>CPK</v>
          </cell>
          <cell r="C2" t="str">
            <v>CHESAPEAKE US</v>
          </cell>
          <cell r="D2">
            <v>20191219</v>
          </cell>
          <cell r="E2" t="str">
            <v>EPS</v>
          </cell>
          <cell r="F2" t="str">
            <v>ANN</v>
          </cell>
          <cell r="G2">
            <v>1</v>
          </cell>
          <cell r="H2">
            <v>4</v>
          </cell>
          <cell r="I2">
            <v>3.71</v>
          </cell>
          <cell r="J2">
            <v>3.71</v>
          </cell>
          <cell r="K2">
            <v>0.05</v>
          </cell>
          <cell r="L2">
            <v>20191231</v>
          </cell>
          <cell r="M2">
            <v>3.9</v>
          </cell>
          <cell r="N2">
            <v>20200226</v>
          </cell>
        </row>
        <row r="3">
          <cell r="B3" t="str">
            <v>ATO</v>
          </cell>
          <cell r="C3" t="str">
            <v>ATMOS ENERGY CP</v>
          </cell>
          <cell r="D3">
            <v>20191219</v>
          </cell>
          <cell r="E3" t="str">
            <v>EPS</v>
          </cell>
          <cell r="F3" t="str">
            <v>ANN</v>
          </cell>
          <cell r="G3">
            <v>1</v>
          </cell>
          <cell r="H3">
            <v>10</v>
          </cell>
          <cell r="I3">
            <v>4.67</v>
          </cell>
          <cell r="J3">
            <v>4.6399999999999997</v>
          </cell>
          <cell r="K3">
            <v>0.06</v>
          </cell>
          <cell r="L3">
            <v>20200930</v>
          </cell>
          <cell r="M3">
            <v>4.72</v>
          </cell>
          <cell r="N3">
            <v>20201111</v>
          </cell>
        </row>
        <row r="4">
          <cell r="B4" t="str">
            <v>SR</v>
          </cell>
          <cell r="C4" t="str">
            <v>SPIRE INC</v>
          </cell>
          <cell r="D4">
            <v>20191219</v>
          </cell>
          <cell r="E4" t="str">
            <v>EPS</v>
          </cell>
          <cell r="F4" t="str">
            <v>ANN</v>
          </cell>
          <cell r="G4">
            <v>1</v>
          </cell>
          <cell r="H4">
            <v>6</v>
          </cell>
          <cell r="I4">
            <v>3.81</v>
          </cell>
          <cell r="J4">
            <v>3.78</v>
          </cell>
          <cell r="K4">
            <v>0.16</v>
          </cell>
          <cell r="L4">
            <v>20200930</v>
          </cell>
          <cell r="M4">
            <v>3.76</v>
          </cell>
          <cell r="N4">
            <v>20201118</v>
          </cell>
        </row>
        <row r="5">
          <cell r="B5" t="str">
            <v>NI</v>
          </cell>
          <cell r="C5" t="str">
            <v>NISOURCE</v>
          </cell>
          <cell r="D5">
            <v>20191219</v>
          </cell>
          <cell r="E5" t="str">
            <v>EPS</v>
          </cell>
          <cell r="F5" t="str">
            <v>ANN</v>
          </cell>
          <cell r="G5">
            <v>1</v>
          </cell>
          <cell r="H5">
            <v>13</v>
          </cell>
          <cell r="I5">
            <v>1.3</v>
          </cell>
          <cell r="J5">
            <v>1.3</v>
          </cell>
          <cell r="K5">
            <v>0.01</v>
          </cell>
          <cell r="L5">
            <v>20191231</v>
          </cell>
          <cell r="M5">
            <v>1.32</v>
          </cell>
          <cell r="N5">
            <v>20200226</v>
          </cell>
        </row>
        <row r="6">
          <cell r="B6" t="str">
            <v>NJR</v>
          </cell>
          <cell r="C6" t="str">
            <v>NEW JERSEY RES</v>
          </cell>
          <cell r="D6">
            <v>20191219</v>
          </cell>
          <cell r="E6" t="str">
            <v>EPS</v>
          </cell>
          <cell r="F6" t="str">
            <v>ANN</v>
          </cell>
          <cell r="G6">
            <v>1</v>
          </cell>
          <cell r="H6">
            <v>4</v>
          </cell>
          <cell r="I6">
            <v>2.13</v>
          </cell>
          <cell r="J6">
            <v>2.13</v>
          </cell>
          <cell r="K6">
            <v>0.02</v>
          </cell>
          <cell r="L6">
            <v>20200930</v>
          </cell>
          <cell r="M6">
            <v>2.0699999999999998</v>
          </cell>
          <cell r="N6">
            <v>20191130</v>
          </cell>
        </row>
        <row r="7">
          <cell r="B7" t="str">
            <v>NWN</v>
          </cell>
          <cell r="C7" t="str">
            <v>NORTHWEST NATRL</v>
          </cell>
          <cell r="D7">
            <v>20191219</v>
          </cell>
          <cell r="E7" t="str">
            <v>EPS</v>
          </cell>
          <cell r="F7" t="str">
            <v>ANN</v>
          </cell>
          <cell r="G7">
            <v>1</v>
          </cell>
          <cell r="H7">
            <v>4</v>
          </cell>
          <cell r="I7">
            <v>2.37</v>
          </cell>
          <cell r="J7">
            <v>2.37</v>
          </cell>
          <cell r="K7">
            <v>0.03</v>
          </cell>
          <cell r="L7">
            <v>20191231</v>
          </cell>
          <cell r="M7">
            <v>2.29</v>
          </cell>
          <cell r="N7">
            <v>20200302</v>
          </cell>
        </row>
        <row r="8">
          <cell r="B8" t="str">
            <v>OGS</v>
          </cell>
          <cell r="C8" t="str">
            <v>ONE GAS INC</v>
          </cell>
          <cell r="D8">
            <v>20191219</v>
          </cell>
          <cell r="E8" t="str">
            <v>EPS</v>
          </cell>
          <cell r="F8" t="str">
            <v>ANN</v>
          </cell>
          <cell r="G8">
            <v>1</v>
          </cell>
          <cell r="H8">
            <v>5</v>
          </cell>
          <cell r="I8">
            <v>3.48</v>
          </cell>
          <cell r="J8">
            <v>3.49</v>
          </cell>
          <cell r="K8">
            <v>0.02</v>
          </cell>
          <cell r="L8">
            <v>20191231</v>
          </cell>
          <cell r="M8">
            <v>3.51</v>
          </cell>
          <cell r="N8">
            <v>20200219</v>
          </cell>
        </row>
        <row r="9">
          <cell r="B9" t="str">
            <v>SJI</v>
          </cell>
          <cell r="C9" t="str">
            <v>SO JERSEY INDS</v>
          </cell>
          <cell r="D9">
            <v>20191219</v>
          </cell>
          <cell r="E9" t="str">
            <v>EPS</v>
          </cell>
          <cell r="F9" t="str">
            <v>ANN</v>
          </cell>
          <cell r="G9">
            <v>1</v>
          </cell>
          <cell r="H9">
            <v>6</v>
          </cell>
          <cell r="I9">
            <v>1.1100000000000001</v>
          </cell>
          <cell r="J9">
            <v>1.1100000000000001</v>
          </cell>
          <cell r="K9">
            <v>0.03</v>
          </cell>
          <cell r="L9">
            <v>20191231</v>
          </cell>
          <cell r="M9">
            <v>1.1200000000000001</v>
          </cell>
          <cell r="N9">
            <v>20200227</v>
          </cell>
        </row>
        <row r="10">
          <cell r="B10" t="str">
            <v>SWX</v>
          </cell>
          <cell r="C10" t="str">
            <v>SOUTHWEST HOLDG</v>
          </cell>
          <cell r="D10">
            <v>20191219</v>
          </cell>
          <cell r="E10" t="str">
            <v>EPS</v>
          </cell>
          <cell r="F10" t="str">
            <v>ANN</v>
          </cell>
          <cell r="G10">
            <v>1</v>
          </cell>
          <cell r="H10">
            <v>4</v>
          </cell>
          <cell r="I10">
            <v>3.71</v>
          </cell>
          <cell r="J10">
            <v>3.72</v>
          </cell>
          <cell r="K10">
            <v>0.16</v>
          </cell>
          <cell r="L10">
            <v>20191231</v>
          </cell>
          <cell r="M10">
            <v>3.94</v>
          </cell>
          <cell r="N10">
            <v>20200226</v>
          </cell>
        </row>
      </sheetData>
    </sheetDataSet>
  </externalBook>
</externalLink>
</file>

<file path=xl/externalLinks/externalLink1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RDS"/>
    </sheetNames>
    <sheetDataSet>
      <sheetData sheetId="0">
        <row r="1">
          <cell r="A1" t="str">
            <v>OFTIC</v>
          </cell>
          <cell r="B1" t="str">
            <v>IBES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USFIRM=0 if from .INT file and USFIRM=1 if from .US file</v>
          </cell>
          <cell r="M1" t="str">
            <v>Forecast Period End Date (SAS Format)</v>
          </cell>
          <cell r="N1" t="str">
            <v>Actual Value, from the Detail Actuals File</v>
          </cell>
          <cell r="O1" t="str">
            <v>Announce date of the Actual, from the Detail Actuals File</v>
          </cell>
        </row>
        <row r="2">
          <cell r="A2" t="str">
            <v>AVA</v>
          </cell>
          <cell r="B2" t="str">
            <v>AVDO</v>
          </cell>
          <cell r="C2" t="str">
            <v>AUDIO VIDEO AFFI</v>
          </cell>
          <cell r="D2">
            <v>19891214</v>
          </cell>
          <cell r="E2" t="str">
            <v>EPS</v>
          </cell>
          <cell r="F2" t="str">
            <v>LTG</v>
          </cell>
          <cell r="G2">
            <v>0</v>
          </cell>
          <cell r="H2">
            <v>1</v>
          </cell>
          <cell r="I2">
            <v>18</v>
          </cell>
          <cell r="J2">
            <v>18</v>
          </cell>
          <cell r="L2">
            <v>1</v>
          </cell>
        </row>
        <row r="3">
          <cell r="A3" t="str">
            <v>PNW</v>
          </cell>
          <cell r="B3" t="str">
            <v>AZP</v>
          </cell>
          <cell r="C3" t="str">
            <v>PINNACLE WST CAP</v>
          </cell>
          <cell r="D3">
            <v>19891214</v>
          </cell>
          <cell r="E3" t="str">
            <v>EPS</v>
          </cell>
          <cell r="F3" t="str">
            <v>LTG</v>
          </cell>
          <cell r="G3">
            <v>0</v>
          </cell>
          <cell r="H3">
            <v>6</v>
          </cell>
          <cell r="I3">
            <v>1.45</v>
          </cell>
          <cell r="J3">
            <v>1.65</v>
          </cell>
          <cell r="K3">
            <v>1.85</v>
          </cell>
          <cell r="L3">
            <v>1</v>
          </cell>
        </row>
        <row r="4">
          <cell r="A4" t="str">
            <v>BKH</v>
          </cell>
          <cell r="B4" t="str">
            <v>BHP</v>
          </cell>
          <cell r="C4" t="str">
            <v>BLACK HILLS CORP</v>
          </cell>
          <cell r="D4">
            <v>19891214</v>
          </cell>
          <cell r="E4" t="str">
            <v>EPS</v>
          </cell>
          <cell r="F4" t="str">
            <v>LTG</v>
          </cell>
          <cell r="G4">
            <v>0</v>
          </cell>
          <cell r="H4">
            <v>2</v>
          </cell>
          <cell r="I4">
            <v>3.55</v>
          </cell>
          <cell r="J4">
            <v>3.55</v>
          </cell>
          <cell r="K4">
            <v>2.0499999999999998</v>
          </cell>
          <cell r="L4">
            <v>1</v>
          </cell>
        </row>
        <row r="5">
          <cell r="A5" t="str">
            <v>CIN</v>
          </cell>
          <cell r="B5" t="str">
            <v>CIN</v>
          </cell>
          <cell r="C5" t="str">
            <v>CINN GAS &amp; EL</v>
          </cell>
          <cell r="D5">
            <v>19891214</v>
          </cell>
          <cell r="E5" t="str">
            <v>EPS</v>
          </cell>
          <cell r="F5" t="str">
            <v>LTG</v>
          </cell>
          <cell r="G5">
            <v>0</v>
          </cell>
          <cell r="H5">
            <v>10</v>
          </cell>
          <cell r="I5">
            <v>2.75</v>
          </cell>
          <cell r="J5">
            <v>1.85</v>
          </cell>
          <cell r="K5">
            <v>2.5099999999999998</v>
          </cell>
          <cell r="L5">
            <v>1</v>
          </cell>
        </row>
        <row r="6">
          <cell r="A6" t="str">
            <v>CMS</v>
          </cell>
          <cell r="B6" t="str">
            <v>CMS</v>
          </cell>
          <cell r="C6" t="str">
            <v>CMS ENERGY CORP</v>
          </cell>
          <cell r="D6">
            <v>19891214</v>
          </cell>
          <cell r="E6" t="str">
            <v>EPS</v>
          </cell>
          <cell r="F6" t="str">
            <v>LTG</v>
          </cell>
          <cell r="G6">
            <v>0</v>
          </cell>
          <cell r="H6">
            <v>11</v>
          </cell>
          <cell r="I6">
            <v>5</v>
          </cell>
          <cell r="J6">
            <v>4.34</v>
          </cell>
          <cell r="K6">
            <v>3.93</v>
          </cell>
          <cell r="L6">
            <v>1</v>
          </cell>
        </row>
        <row r="7">
          <cell r="A7" t="str">
            <v>CNL</v>
          </cell>
          <cell r="B7" t="str">
            <v>CNL</v>
          </cell>
          <cell r="C7" t="str">
            <v>CENT LA ELEC INC</v>
          </cell>
          <cell r="D7">
            <v>19891214</v>
          </cell>
          <cell r="E7" t="str">
            <v>EPS</v>
          </cell>
          <cell r="F7" t="str">
            <v>LTG</v>
          </cell>
          <cell r="G7">
            <v>0</v>
          </cell>
          <cell r="H7">
            <v>2</v>
          </cell>
          <cell r="I7">
            <v>3.75</v>
          </cell>
          <cell r="J7">
            <v>3.75</v>
          </cell>
          <cell r="K7">
            <v>1.06</v>
          </cell>
          <cell r="L7">
            <v>1</v>
          </cell>
        </row>
        <row r="8">
          <cell r="A8" t="str">
            <v>CNP</v>
          </cell>
          <cell r="B8" t="str">
            <v>CNP</v>
          </cell>
          <cell r="C8" t="str">
            <v>CROWN CENT PETE</v>
          </cell>
          <cell r="D8">
            <v>19891214</v>
          </cell>
          <cell r="E8" t="str">
            <v>EPS</v>
          </cell>
          <cell r="F8" t="str">
            <v>LTG</v>
          </cell>
          <cell r="G8">
            <v>0</v>
          </cell>
          <cell r="H8">
            <v>1</v>
          </cell>
          <cell r="I8">
            <v>5</v>
          </cell>
          <cell r="J8">
            <v>5</v>
          </cell>
          <cell r="L8">
            <v>1</v>
          </cell>
        </row>
        <row r="9">
          <cell r="A9" t="str">
            <v>CV</v>
          </cell>
          <cell r="B9" t="str">
            <v>CV</v>
          </cell>
          <cell r="C9" t="str">
            <v>CNTRL VT PUB SVC</v>
          </cell>
          <cell r="D9">
            <v>19891214</v>
          </cell>
          <cell r="E9" t="str">
            <v>EPS</v>
          </cell>
          <cell r="F9" t="str">
            <v>LTG</v>
          </cell>
          <cell r="G9">
            <v>0</v>
          </cell>
          <cell r="H9">
            <v>2</v>
          </cell>
          <cell r="I9">
            <v>3.7</v>
          </cell>
          <cell r="J9">
            <v>3.7</v>
          </cell>
          <cell r="K9">
            <v>2.4</v>
          </cell>
          <cell r="L9">
            <v>1</v>
          </cell>
        </row>
        <row r="10">
          <cell r="A10" t="str">
            <v>D</v>
          </cell>
          <cell r="B10" t="str">
            <v>D</v>
          </cell>
          <cell r="C10" t="str">
            <v>DOMINION RES INC</v>
          </cell>
          <cell r="D10">
            <v>19891214</v>
          </cell>
          <cell r="E10" t="str">
            <v>EPS</v>
          </cell>
          <cell r="F10" t="str">
            <v>LTG</v>
          </cell>
          <cell r="G10">
            <v>0</v>
          </cell>
          <cell r="H10">
            <v>14</v>
          </cell>
          <cell r="I10">
            <v>4</v>
          </cell>
          <cell r="J10">
            <v>3.75</v>
          </cell>
          <cell r="K10">
            <v>1.07</v>
          </cell>
          <cell r="L10">
            <v>1</v>
          </cell>
        </row>
        <row r="11">
          <cell r="A11" t="str">
            <v>DPL</v>
          </cell>
          <cell r="B11" t="str">
            <v>DPL</v>
          </cell>
          <cell r="C11" t="str">
            <v>DPL INC</v>
          </cell>
          <cell r="D11">
            <v>19891214</v>
          </cell>
          <cell r="E11" t="str">
            <v>EPS</v>
          </cell>
          <cell r="F11" t="str">
            <v>LTG</v>
          </cell>
          <cell r="G11">
            <v>0</v>
          </cell>
          <cell r="H11">
            <v>8</v>
          </cell>
          <cell r="I11">
            <v>3</v>
          </cell>
          <cell r="J11">
            <v>2.56</v>
          </cell>
          <cell r="K11">
            <v>1.24</v>
          </cell>
          <cell r="L11">
            <v>1</v>
          </cell>
        </row>
        <row r="12">
          <cell r="A12" t="str">
            <v>DTE</v>
          </cell>
          <cell r="B12" t="str">
            <v>DTE</v>
          </cell>
          <cell r="C12" t="str">
            <v>DETROIT EDISON</v>
          </cell>
          <cell r="D12">
            <v>19891214</v>
          </cell>
          <cell r="E12" t="str">
            <v>EPS</v>
          </cell>
          <cell r="F12" t="str">
            <v>LTG</v>
          </cell>
          <cell r="G12">
            <v>0</v>
          </cell>
          <cell r="H12">
            <v>12</v>
          </cell>
          <cell r="I12">
            <v>3.25</v>
          </cell>
          <cell r="J12">
            <v>3.08</v>
          </cell>
          <cell r="K12">
            <v>0.97</v>
          </cell>
          <cell r="L12">
            <v>1</v>
          </cell>
        </row>
        <row r="13">
          <cell r="A13" t="str">
            <v>DUK</v>
          </cell>
          <cell r="B13" t="str">
            <v>DUK</v>
          </cell>
          <cell r="C13" t="str">
            <v>DUKE POWER CO</v>
          </cell>
          <cell r="D13">
            <v>19891214</v>
          </cell>
          <cell r="E13" t="str">
            <v>EPS</v>
          </cell>
          <cell r="F13" t="str">
            <v>LTG</v>
          </cell>
          <cell r="G13">
            <v>0</v>
          </cell>
          <cell r="H13">
            <v>14</v>
          </cell>
          <cell r="I13">
            <v>5</v>
          </cell>
          <cell r="J13">
            <v>4.9000000000000004</v>
          </cell>
          <cell r="K13">
            <v>1.01</v>
          </cell>
          <cell r="L13">
            <v>1</v>
          </cell>
        </row>
        <row r="14">
          <cell r="A14" t="str">
            <v>ED</v>
          </cell>
          <cell r="B14" t="str">
            <v>ED</v>
          </cell>
          <cell r="C14" t="str">
            <v>CONSOL EDISON</v>
          </cell>
          <cell r="D14">
            <v>19891214</v>
          </cell>
          <cell r="E14" t="str">
            <v>EPS</v>
          </cell>
          <cell r="F14" t="str">
            <v>LTG</v>
          </cell>
          <cell r="G14">
            <v>0</v>
          </cell>
          <cell r="H14">
            <v>12</v>
          </cell>
          <cell r="I14">
            <v>4</v>
          </cell>
          <cell r="J14">
            <v>3.61</v>
          </cell>
          <cell r="K14">
            <v>1.58</v>
          </cell>
          <cell r="L14">
            <v>1</v>
          </cell>
        </row>
        <row r="15">
          <cell r="A15" t="str">
            <v>EDE</v>
          </cell>
          <cell r="B15" t="str">
            <v>EDE</v>
          </cell>
          <cell r="C15" t="str">
            <v>EMPIRE DIST ELEC</v>
          </cell>
          <cell r="D15">
            <v>19891214</v>
          </cell>
          <cell r="E15" t="str">
            <v>EPS</v>
          </cell>
          <cell r="F15" t="str">
            <v>LTG</v>
          </cell>
          <cell r="G15">
            <v>0</v>
          </cell>
          <cell r="H15">
            <v>1</v>
          </cell>
          <cell r="I15">
            <v>1</v>
          </cell>
          <cell r="J15">
            <v>1</v>
          </cell>
          <cell r="L15">
            <v>1</v>
          </cell>
        </row>
        <row r="16">
          <cell r="A16" t="str">
            <v>EXC</v>
          </cell>
          <cell r="B16" t="str">
            <v>EXC</v>
          </cell>
          <cell r="C16" t="str">
            <v>EXCEL INDS INC</v>
          </cell>
          <cell r="D16">
            <v>19891214</v>
          </cell>
          <cell r="E16" t="str">
            <v>EPS</v>
          </cell>
          <cell r="F16" t="str">
            <v>LTG</v>
          </cell>
          <cell r="G16">
            <v>0</v>
          </cell>
          <cell r="H16">
            <v>2</v>
          </cell>
          <cell r="I16">
            <v>13.5</v>
          </cell>
          <cell r="J16">
            <v>13.5</v>
          </cell>
          <cell r="K16">
            <v>2.12</v>
          </cell>
          <cell r="L16">
            <v>1</v>
          </cell>
        </row>
        <row r="17">
          <cell r="A17" t="str">
            <v>FPL</v>
          </cell>
          <cell r="B17" t="str">
            <v>FPL</v>
          </cell>
          <cell r="C17" t="str">
            <v>FPL GROUP</v>
          </cell>
          <cell r="D17">
            <v>19891214</v>
          </cell>
          <cell r="E17" t="str">
            <v>EPS</v>
          </cell>
          <cell r="F17" t="str">
            <v>LTG</v>
          </cell>
          <cell r="G17">
            <v>0</v>
          </cell>
          <cell r="H17">
            <v>14</v>
          </cell>
          <cell r="I17">
            <v>4.2</v>
          </cell>
          <cell r="J17">
            <v>4.49</v>
          </cell>
          <cell r="K17">
            <v>1.03</v>
          </cell>
          <cell r="L17">
            <v>1</v>
          </cell>
        </row>
        <row r="18">
          <cell r="A18" t="str">
            <v>HE</v>
          </cell>
          <cell r="B18" t="str">
            <v>HE</v>
          </cell>
          <cell r="C18" t="str">
            <v>HAWAIIAN ELEC</v>
          </cell>
          <cell r="D18">
            <v>19891214</v>
          </cell>
          <cell r="E18" t="str">
            <v>EPS</v>
          </cell>
          <cell r="F18" t="str">
            <v>LTG</v>
          </cell>
          <cell r="G18">
            <v>0</v>
          </cell>
          <cell r="H18">
            <v>4</v>
          </cell>
          <cell r="I18">
            <v>4.1500000000000004</v>
          </cell>
          <cell r="J18">
            <v>4.28</v>
          </cell>
          <cell r="K18">
            <v>0.38</v>
          </cell>
          <cell r="L18">
            <v>1</v>
          </cell>
        </row>
        <row r="19">
          <cell r="A19" t="str">
            <v>IDA</v>
          </cell>
          <cell r="B19" t="str">
            <v>IDA</v>
          </cell>
          <cell r="C19" t="str">
            <v>IDAHO POWER CO</v>
          </cell>
          <cell r="D19">
            <v>19891214</v>
          </cell>
          <cell r="E19" t="str">
            <v>EPS</v>
          </cell>
          <cell r="F19" t="str">
            <v>LTG</v>
          </cell>
          <cell r="G19">
            <v>0</v>
          </cell>
          <cell r="H19">
            <v>8</v>
          </cell>
          <cell r="I19">
            <v>3.65</v>
          </cell>
          <cell r="J19">
            <v>5.76</v>
          </cell>
          <cell r="K19">
            <v>4.84</v>
          </cell>
          <cell r="L19">
            <v>1</v>
          </cell>
        </row>
        <row r="20">
          <cell r="A20" t="str">
            <v>ETR</v>
          </cell>
          <cell r="B20" t="str">
            <v>MSU</v>
          </cell>
          <cell r="C20" t="str">
            <v>ENTERGY CP</v>
          </cell>
          <cell r="D20">
            <v>19891214</v>
          </cell>
          <cell r="E20" t="str">
            <v>EPS</v>
          </cell>
          <cell r="F20" t="str">
            <v>LTG</v>
          </cell>
          <cell r="G20">
            <v>0</v>
          </cell>
          <cell r="H20">
            <v>11</v>
          </cell>
          <cell r="I20">
            <v>5</v>
          </cell>
          <cell r="J20">
            <v>4.91</v>
          </cell>
          <cell r="K20">
            <v>2.42</v>
          </cell>
          <cell r="L20">
            <v>1</v>
          </cell>
        </row>
        <row r="21">
          <cell r="A21" t="str">
            <v>NU</v>
          </cell>
          <cell r="B21" t="str">
            <v>NU</v>
          </cell>
          <cell r="C21" t="str">
            <v>NORTHEAST UTILS</v>
          </cell>
          <cell r="D21">
            <v>19891214</v>
          </cell>
          <cell r="E21" t="str">
            <v>EPS</v>
          </cell>
          <cell r="F21" t="str">
            <v>LTG</v>
          </cell>
          <cell r="G21">
            <v>0</v>
          </cell>
          <cell r="H21">
            <v>11</v>
          </cell>
          <cell r="I21">
            <v>3</v>
          </cell>
          <cell r="J21">
            <v>2.82</v>
          </cell>
          <cell r="K21">
            <v>0.83</v>
          </cell>
          <cell r="L21">
            <v>1</v>
          </cell>
        </row>
        <row r="22">
          <cell r="A22" t="str">
            <v>OGE</v>
          </cell>
          <cell r="B22" t="str">
            <v>OGE</v>
          </cell>
          <cell r="C22" t="str">
            <v>OKLAHOMA G&amp;E</v>
          </cell>
          <cell r="D22">
            <v>19891214</v>
          </cell>
          <cell r="E22" t="str">
            <v>EPS</v>
          </cell>
          <cell r="F22" t="str">
            <v>LTG</v>
          </cell>
          <cell r="G22">
            <v>0</v>
          </cell>
          <cell r="H22">
            <v>10</v>
          </cell>
          <cell r="I22">
            <v>3.25</v>
          </cell>
          <cell r="J22">
            <v>3.4</v>
          </cell>
          <cell r="K22">
            <v>1.61</v>
          </cell>
          <cell r="L22">
            <v>1</v>
          </cell>
        </row>
        <row r="23">
          <cell r="A23" t="str">
            <v>OTTR</v>
          </cell>
          <cell r="B23" t="str">
            <v>OTTR</v>
          </cell>
          <cell r="C23" t="str">
            <v>OTTER TAIL PWR</v>
          </cell>
          <cell r="D23">
            <v>19891214</v>
          </cell>
          <cell r="E23" t="str">
            <v>EPS</v>
          </cell>
          <cell r="F23" t="str">
            <v>LTG</v>
          </cell>
          <cell r="G23">
            <v>0</v>
          </cell>
          <cell r="H23">
            <v>2</v>
          </cell>
          <cell r="I23">
            <v>2</v>
          </cell>
          <cell r="J23">
            <v>2</v>
          </cell>
          <cell r="K23">
            <v>1.41</v>
          </cell>
          <cell r="L23">
            <v>1</v>
          </cell>
        </row>
        <row r="24">
          <cell r="A24" t="str">
            <v>PCG</v>
          </cell>
          <cell r="B24" t="str">
            <v>PCG</v>
          </cell>
          <cell r="C24" t="str">
            <v>PACIFIC G&amp;E</v>
          </cell>
          <cell r="D24">
            <v>19891214</v>
          </cell>
          <cell r="E24" t="str">
            <v>EPS</v>
          </cell>
          <cell r="F24" t="str">
            <v>LTG</v>
          </cell>
          <cell r="G24">
            <v>0</v>
          </cell>
          <cell r="H24">
            <v>13</v>
          </cell>
          <cell r="I24">
            <v>5</v>
          </cell>
          <cell r="J24">
            <v>8.09</v>
          </cell>
          <cell r="K24">
            <v>5.96</v>
          </cell>
          <cell r="L24">
            <v>1</v>
          </cell>
        </row>
        <row r="25">
          <cell r="A25" t="str">
            <v>PEG</v>
          </cell>
          <cell r="B25" t="str">
            <v>PEG</v>
          </cell>
          <cell r="C25" t="str">
            <v>PUB SVC ENTERS</v>
          </cell>
          <cell r="D25">
            <v>19891214</v>
          </cell>
          <cell r="E25" t="str">
            <v>EPS</v>
          </cell>
          <cell r="F25" t="str">
            <v>LTG</v>
          </cell>
          <cell r="G25">
            <v>0</v>
          </cell>
          <cell r="H25">
            <v>12</v>
          </cell>
          <cell r="I25">
            <v>3</v>
          </cell>
          <cell r="J25">
            <v>2.88</v>
          </cell>
          <cell r="K25">
            <v>0.87</v>
          </cell>
          <cell r="L25">
            <v>1</v>
          </cell>
        </row>
        <row r="26">
          <cell r="A26" t="str">
            <v>PGN</v>
          </cell>
          <cell r="B26" t="str">
            <v>PGN</v>
          </cell>
          <cell r="C26" t="str">
            <v>PORTLAND GEN CP</v>
          </cell>
          <cell r="D26">
            <v>19891214</v>
          </cell>
          <cell r="E26" t="str">
            <v>EPS</v>
          </cell>
          <cell r="F26" t="str">
            <v>LTG</v>
          </cell>
          <cell r="G26">
            <v>0</v>
          </cell>
          <cell r="H26">
            <v>10</v>
          </cell>
          <cell r="I26">
            <v>4</v>
          </cell>
          <cell r="J26">
            <v>3.84</v>
          </cell>
          <cell r="K26">
            <v>1.52</v>
          </cell>
          <cell r="L26">
            <v>1</v>
          </cell>
        </row>
        <row r="27">
          <cell r="A27" t="str">
            <v>PNM</v>
          </cell>
          <cell r="B27" t="str">
            <v>PNM</v>
          </cell>
          <cell r="C27" t="str">
            <v>PUB SVC N MEX</v>
          </cell>
          <cell r="D27">
            <v>19891214</v>
          </cell>
          <cell r="E27" t="str">
            <v>EPS</v>
          </cell>
          <cell r="F27" t="str">
            <v>LTG</v>
          </cell>
          <cell r="G27">
            <v>0</v>
          </cell>
          <cell r="H27">
            <v>6</v>
          </cell>
          <cell r="I27">
            <v>2.6</v>
          </cell>
          <cell r="J27">
            <v>2.95</v>
          </cell>
          <cell r="K27">
            <v>2.42</v>
          </cell>
          <cell r="L27">
            <v>1</v>
          </cell>
        </row>
        <row r="28">
          <cell r="A28" t="str">
            <v>POM</v>
          </cell>
          <cell r="B28" t="str">
            <v>POM</v>
          </cell>
          <cell r="C28" t="str">
            <v>POTOMAC ELEC</v>
          </cell>
          <cell r="D28">
            <v>19891214</v>
          </cell>
          <cell r="E28" t="str">
            <v>EPS</v>
          </cell>
          <cell r="F28" t="str">
            <v>LTG</v>
          </cell>
          <cell r="G28">
            <v>0</v>
          </cell>
          <cell r="H28">
            <v>12</v>
          </cell>
          <cell r="I28">
            <v>4</v>
          </cell>
          <cell r="J28">
            <v>4.59</v>
          </cell>
          <cell r="K28">
            <v>0.97</v>
          </cell>
          <cell r="L28">
            <v>1</v>
          </cell>
        </row>
        <row r="29">
          <cell r="A29" t="str">
            <v>PPL</v>
          </cell>
          <cell r="B29" t="str">
            <v>PPL</v>
          </cell>
          <cell r="C29" t="str">
            <v>PENNA P&amp;L</v>
          </cell>
          <cell r="D29">
            <v>19891214</v>
          </cell>
          <cell r="E29" t="str">
            <v>EPS</v>
          </cell>
          <cell r="F29" t="str">
            <v>LTG</v>
          </cell>
          <cell r="G29">
            <v>0</v>
          </cell>
          <cell r="H29">
            <v>11</v>
          </cell>
          <cell r="I29">
            <v>4</v>
          </cell>
          <cell r="J29">
            <v>3.56</v>
          </cell>
          <cell r="K29">
            <v>1.03</v>
          </cell>
          <cell r="L29">
            <v>1</v>
          </cell>
        </row>
        <row r="30">
          <cell r="A30" t="str">
            <v>PSD</v>
          </cell>
          <cell r="B30" t="str">
            <v>PSD</v>
          </cell>
          <cell r="C30" t="str">
            <v>PUGET SOUND P&amp;L</v>
          </cell>
          <cell r="D30">
            <v>19891214</v>
          </cell>
          <cell r="E30" t="str">
            <v>EPS</v>
          </cell>
          <cell r="F30" t="str">
            <v>LTG</v>
          </cell>
          <cell r="G30">
            <v>0</v>
          </cell>
          <cell r="H30">
            <v>5</v>
          </cell>
          <cell r="I30">
            <v>2</v>
          </cell>
          <cell r="J30">
            <v>2.16</v>
          </cell>
          <cell r="K30">
            <v>0.85</v>
          </cell>
          <cell r="L30">
            <v>1</v>
          </cell>
        </row>
        <row r="31">
          <cell r="A31" t="str">
            <v>SCG</v>
          </cell>
          <cell r="B31" t="str">
            <v>SCG</v>
          </cell>
          <cell r="C31" t="str">
            <v>SCANA CP</v>
          </cell>
          <cell r="D31">
            <v>19891214</v>
          </cell>
          <cell r="E31" t="str">
            <v>EPS</v>
          </cell>
          <cell r="F31" t="str">
            <v>LTG</v>
          </cell>
          <cell r="G31">
            <v>0</v>
          </cell>
          <cell r="H31">
            <v>9</v>
          </cell>
          <cell r="I31">
            <v>3.5</v>
          </cell>
          <cell r="J31">
            <v>3.72</v>
          </cell>
          <cell r="K31">
            <v>0.97</v>
          </cell>
          <cell r="L31">
            <v>1</v>
          </cell>
        </row>
        <row r="32">
          <cell r="A32" t="str">
            <v>SO</v>
          </cell>
          <cell r="B32" t="str">
            <v>SO</v>
          </cell>
          <cell r="C32" t="str">
            <v>SOUTHN CO</v>
          </cell>
          <cell r="D32">
            <v>19891214</v>
          </cell>
          <cell r="E32" t="str">
            <v>EPS</v>
          </cell>
          <cell r="F32" t="str">
            <v>LTG</v>
          </cell>
          <cell r="G32">
            <v>0</v>
          </cell>
          <cell r="H32">
            <v>13</v>
          </cell>
          <cell r="I32">
            <v>3</v>
          </cell>
          <cell r="J32">
            <v>3.03</v>
          </cell>
          <cell r="K32">
            <v>0.63</v>
          </cell>
          <cell r="L32">
            <v>1</v>
          </cell>
        </row>
        <row r="33">
          <cell r="A33" t="str">
            <v>TE</v>
          </cell>
          <cell r="B33" t="str">
            <v>TE</v>
          </cell>
          <cell r="C33" t="str">
            <v>TECO ENERGY INC</v>
          </cell>
          <cell r="D33">
            <v>19891214</v>
          </cell>
          <cell r="E33" t="str">
            <v>EPS</v>
          </cell>
          <cell r="F33" t="str">
            <v>LTG</v>
          </cell>
          <cell r="G33">
            <v>0</v>
          </cell>
          <cell r="H33">
            <v>13</v>
          </cell>
          <cell r="I33">
            <v>5.9</v>
          </cell>
          <cell r="J33">
            <v>5.58</v>
          </cell>
          <cell r="K33">
            <v>1.03</v>
          </cell>
          <cell r="L33">
            <v>1</v>
          </cell>
        </row>
        <row r="34">
          <cell r="A34" t="str">
            <v>UIL</v>
          </cell>
          <cell r="B34" t="str">
            <v>UIL</v>
          </cell>
          <cell r="C34" t="str">
            <v>UTD ILLUM CO</v>
          </cell>
          <cell r="D34">
            <v>19891214</v>
          </cell>
          <cell r="E34" t="str">
            <v>EPS</v>
          </cell>
          <cell r="F34" t="str">
            <v>LTG</v>
          </cell>
          <cell r="G34">
            <v>0</v>
          </cell>
          <cell r="H34">
            <v>1</v>
          </cell>
          <cell r="I34">
            <v>-11</v>
          </cell>
          <cell r="J34">
            <v>-11</v>
          </cell>
          <cell r="L34">
            <v>1</v>
          </cell>
        </row>
        <row r="35">
          <cell r="A35" t="str">
            <v>WEC</v>
          </cell>
          <cell r="B35" t="str">
            <v>WPC</v>
          </cell>
          <cell r="C35" t="str">
            <v>WISCONSIN ENERGY</v>
          </cell>
          <cell r="D35">
            <v>19891214</v>
          </cell>
          <cell r="E35" t="str">
            <v>EPS</v>
          </cell>
          <cell r="F35" t="str">
            <v>LTG</v>
          </cell>
          <cell r="G35">
            <v>0</v>
          </cell>
          <cell r="H35">
            <v>12</v>
          </cell>
          <cell r="I35">
            <v>5</v>
          </cell>
          <cell r="J35">
            <v>4.83</v>
          </cell>
          <cell r="K35">
            <v>1.28</v>
          </cell>
          <cell r="L35">
            <v>1</v>
          </cell>
        </row>
        <row r="36">
          <cell r="A36" t="str">
            <v>WPS</v>
          </cell>
          <cell r="B36" t="str">
            <v>WPS</v>
          </cell>
          <cell r="C36" t="str">
            <v>WISC PUB SVC</v>
          </cell>
          <cell r="D36">
            <v>19891214</v>
          </cell>
          <cell r="E36" t="str">
            <v>EPS</v>
          </cell>
          <cell r="F36" t="str">
            <v>LTG</v>
          </cell>
          <cell r="G36">
            <v>0</v>
          </cell>
          <cell r="H36">
            <v>7</v>
          </cell>
          <cell r="I36">
            <v>4</v>
          </cell>
          <cell r="J36">
            <v>3.74</v>
          </cell>
          <cell r="K36">
            <v>1.69</v>
          </cell>
          <cell r="L36">
            <v>1</v>
          </cell>
        </row>
        <row r="37">
          <cell r="A37" t="str">
            <v>FPL</v>
          </cell>
          <cell r="B37" t="str">
            <v>FPI1</v>
          </cell>
          <cell r="C37" t="str">
            <v>FPI LTD</v>
          </cell>
          <cell r="D37">
            <v>19891214</v>
          </cell>
          <cell r="E37" t="str">
            <v>EPS</v>
          </cell>
          <cell r="F37" t="str">
            <v>LTG</v>
          </cell>
          <cell r="G37">
            <v>0</v>
          </cell>
          <cell r="H37">
            <v>1</v>
          </cell>
          <cell r="I37">
            <v>12</v>
          </cell>
          <cell r="J37">
            <v>12</v>
          </cell>
          <cell r="L37">
            <v>0</v>
          </cell>
        </row>
      </sheetData>
    </sheetDataSet>
  </externalBook>
</externalLink>
</file>

<file path=xl/externalLinks/externalLink1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kxgsmq8az7ijsb6"/>
    </sheetNames>
    <sheetDataSet>
      <sheetData sheetId="0">
        <row r="1">
          <cell r="B1" t="str">
            <v>Official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Forecast Period End Date (SAS Format)</v>
          </cell>
          <cell r="M1" t="str">
            <v>Actual Value, from the Detail Actuals File</v>
          </cell>
          <cell r="N1" t="str">
            <v>Announce date of the Actual, from the Detail Actuals File</v>
          </cell>
        </row>
        <row r="2">
          <cell r="B2" t="str">
            <v>ATG</v>
          </cell>
          <cell r="C2" t="str">
            <v>ATLANTA GAS LT</v>
          </cell>
          <cell r="D2">
            <v>32856</v>
          </cell>
          <cell r="E2" t="str">
            <v>EPS</v>
          </cell>
          <cell r="F2" t="str">
            <v>ANN</v>
          </cell>
          <cell r="G2" t="str">
            <v>1</v>
          </cell>
          <cell r="H2">
            <v>12</v>
          </cell>
          <cell r="I2">
            <v>1.17</v>
          </cell>
          <cell r="J2">
            <v>1.18</v>
          </cell>
          <cell r="K2">
            <v>0.06</v>
          </cell>
          <cell r="L2">
            <v>33146</v>
          </cell>
          <cell r="M2">
            <v>1.02</v>
          </cell>
          <cell r="N2">
            <v>33181</v>
          </cell>
        </row>
        <row r="3">
          <cell r="B3" t="str">
            <v>CGC</v>
          </cell>
          <cell r="C3" t="str">
            <v>CASCADE NAT GAS</v>
          </cell>
          <cell r="D3">
            <v>32856</v>
          </cell>
          <cell r="E3" t="str">
            <v>EPS</v>
          </cell>
          <cell r="F3" t="str">
            <v>ANN</v>
          </cell>
          <cell r="G3" t="str">
            <v>1</v>
          </cell>
          <cell r="H3">
            <v>1</v>
          </cell>
          <cell r="I3">
            <v>1.24</v>
          </cell>
          <cell r="J3">
            <v>1.24</v>
          </cell>
          <cell r="L3">
            <v>32873</v>
          </cell>
          <cell r="M3">
            <v>1.2932999999999999</v>
          </cell>
          <cell r="N3">
            <v>32909</v>
          </cell>
        </row>
        <row r="4">
          <cell r="B4" t="str">
            <v>ATO</v>
          </cell>
          <cell r="C4" t="str">
            <v>ATMOS ENERGY CP</v>
          </cell>
          <cell r="D4">
            <v>32856</v>
          </cell>
          <cell r="E4" t="str">
            <v>EPS</v>
          </cell>
          <cell r="F4" t="str">
            <v>ANN</v>
          </cell>
          <cell r="G4" t="str">
            <v>1</v>
          </cell>
          <cell r="H4">
            <v>3</v>
          </cell>
          <cell r="I4">
            <v>0.73</v>
          </cell>
          <cell r="J4">
            <v>0.73</v>
          </cell>
          <cell r="K4">
            <v>0.06</v>
          </cell>
          <cell r="L4">
            <v>33146</v>
          </cell>
          <cell r="M4">
            <v>0.65780000000000005</v>
          </cell>
          <cell r="N4">
            <v>33192</v>
          </cell>
        </row>
        <row r="5">
          <cell r="B5" t="str">
            <v>GAS</v>
          </cell>
          <cell r="C5" t="str">
            <v>NICOR INC</v>
          </cell>
          <cell r="D5">
            <v>32856</v>
          </cell>
          <cell r="E5" t="str">
            <v>EPS</v>
          </cell>
          <cell r="F5" t="str">
            <v>ANN</v>
          </cell>
          <cell r="G5" t="str">
            <v>1</v>
          </cell>
          <cell r="H5">
            <v>10</v>
          </cell>
          <cell r="I5">
            <v>1.85</v>
          </cell>
          <cell r="J5">
            <v>1.85</v>
          </cell>
          <cell r="K5">
            <v>0.02</v>
          </cell>
          <cell r="L5">
            <v>32873</v>
          </cell>
          <cell r="M5">
            <v>1.99</v>
          </cell>
          <cell r="N5">
            <v>32903</v>
          </cell>
        </row>
        <row r="6">
          <cell r="B6" t="str">
            <v>LG</v>
          </cell>
          <cell r="C6" t="str">
            <v>LACLEDE GAS</v>
          </cell>
          <cell r="D6">
            <v>32856</v>
          </cell>
          <cell r="E6" t="str">
            <v>EPS</v>
          </cell>
          <cell r="F6" t="str">
            <v>ANN</v>
          </cell>
          <cell r="G6" t="str">
            <v>1</v>
          </cell>
          <cell r="H6">
            <v>1</v>
          </cell>
          <cell r="I6">
            <v>1.63</v>
          </cell>
          <cell r="J6">
            <v>1.63</v>
          </cell>
          <cell r="L6">
            <v>33146</v>
          </cell>
          <cell r="M6">
            <v>1.0049999999999999</v>
          </cell>
          <cell r="N6">
            <v>33195</v>
          </cell>
        </row>
        <row r="7">
          <cell r="B7" t="str">
            <v>NI</v>
          </cell>
          <cell r="C7" t="str">
            <v>NIPSCO IND INC</v>
          </cell>
          <cell r="D7">
            <v>32856</v>
          </cell>
          <cell r="E7" t="str">
            <v>EPS</v>
          </cell>
          <cell r="F7" t="str">
            <v>ANN</v>
          </cell>
          <cell r="G7" t="str">
            <v>1</v>
          </cell>
          <cell r="H7">
            <v>20</v>
          </cell>
          <cell r="I7">
            <v>0.82</v>
          </cell>
          <cell r="J7">
            <v>0.82</v>
          </cell>
          <cell r="K7">
            <v>0.03</v>
          </cell>
          <cell r="L7">
            <v>32873</v>
          </cell>
          <cell r="M7">
            <v>0.84499999999999997</v>
          </cell>
          <cell r="N7">
            <v>32907</v>
          </cell>
        </row>
        <row r="8">
          <cell r="B8" t="str">
            <v>NJR</v>
          </cell>
          <cell r="C8" t="str">
            <v>NEW JERSEY RES</v>
          </cell>
          <cell r="D8">
            <v>32856</v>
          </cell>
          <cell r="E8" t="str">
            <v>EPS</v>
          </cell>
          <cell r="F8" t="str">
            <v>ANN</v>
          </cell>
          <cell r="G8" t="str">
            <v>1</v>
          </cell>
          <cell r="H8">
            <v>6</v>
          </cell>
          <cell r="I8">
            <v>0.38</v>
          </cell>
          <cell r="J8">
            <v>0.38</v>
          </cell>
          <cell r="K8">
            <v>0.02</v>
          </cell>
          <cell r="L8">
            <v>33146</v>
          </cell>
          <cell r="M8">
            <v>0.22</v>
          </cell>
          <cell r="N8">
            <v>33176</v>
          </cell>
        </row>
        <row r="9">
          <cell r="B9" t="str">
            <v>PNY</v>
          </cell>
          <cell r="C9" t="str">
            <v>PIEDMONT NAT GAS</v>
          </cell>
          <cell r="D9">
            <v>32856</v>
          </cell>
          <cell r="E9" t="str">
            <v>EPS</v>
          </cell>
          <cell r="F9" t="str">
            <v>ANN</v>
          </cell>
          <cell r="G9" t="str">
            <v>1</v>
          </cell>
          <cell r="H9">
            <v>4</v>
          </cell>
          <cell r="I9">
            <v>0.66</v>
          </cell>
          <cell r="J9">
            <v>0.65</v>
          </cell>
          <cell r="K9">
            <v>0.03</v>
          </cell>
          <cell r="L9">
            <v>33177</v>
          </cell>
          <cell r="M9">
            <v>0.61499999999999999</v>
          </cell>
          <cell r="N9">
            <v>33217</v>
          </cell>
        </row>
        <row r="10">
          <cell r="B10" t="str">
            <v>SJI</v>
          </cell>
          <cell r="C10" t="str">
            <v>SO JERSEY INDS</v>
          </cell>
          <cell r="D10">
            <v>32856</v>
          </cell>
          <cell r="E10" t="str">
            <v>EPS</v>
          </cell>
          <cell r="F10" t="str">
            <v>ANN</v>
          </cell>
          <cell r="G10" t="str">
            <v>1</v>
          </cell>
          <cell r="H10">
            <v>1</v>
          </cell>
          <cell r="I10">
            <v>0.4</v>
          </cell>
          <cell r="J10">
            <v>0.4</v>
          </cell>
          <cell r="L10">
            <v>32873</v>
          </cell>
          <cell r="M10">
            <v>0.41670000000000001</v>
          </cell>
          <cell r="N10">
            <v>32896</v>
          </cell>
        </row>
        <row r="11">
          <cell r="B11" t="str">
            <v>SWX</v>
          </cell>
          <cell r="C11" t="str">
            <v>SOUTHWEST GAS</v>
          </cell>
          <cell r="D11">
            <v>32856</v>
          </cell>
          <cell r="E11" t="str">
            <v>EPS</v>
          </cell>
          <cell r="F11" t="str">
            <v>ANN</v>
          </cell>
          <cell r="G11" t="str">
            <v>1</v>
          </cell>
          <cell r="H11">
            <v>5</v>
          </cell>
          <cell r="I11">
            <v>1.9</v>
          </cell>
          <cell r="J11">
            <v>1.96</v>
          </cell>
          <cell r="K11">
            <v>0.13</v>
          </cell>
          <cell r="L11">
            <v>32873</v>
          </cell>
          <cell r="M11">
            <v>2.14</v>
          </cell>
          <cell r="N11">
            <v>32921</v>
          </cell>
        </row>
        <row r="12">
          <cell r="B12" t="str">
            <v>WGL</v>
          </cell>
          <cell r="C12" t="str">
            <v>WASH GAS LT</v>
          </cell>
          <cell r="D12">
            <v>32856</v>
          </cell>
          <cell r="E12" t="str">
            <v>EPS</v>
          </cell>
          <cell r="F12" t="str">
            <v>ANN</v>
          </cell>
          <cell r="G12" t="str">
            <v>1</v>
          </cell>
          <cell r="H12">
            <v>14</v>
          </cell>
          <cell r="I12">
            <v>1.21</v>
          </cell>
          <cell r="J12">
            <v>1.19</v>
          </cell>
          <cell r="K12">
            <v>0.03</v>
          </cell>
          <cell r="L12">
            <v>32873</v>
          </cell>
          <cell r="M12">
            <v>1.48</v>
          </cell>
          <cell r="N12">
            <v>32904</v>
          </cell>
        </row>
      </sheetData>
    </sheetDataSet>
  </externalBook>
</externalLink>
</file>

<file path=xl/externalLinks/externalLink1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uqz56ykwmmsath4"/>
    </sheetNames>
    <sheetDataSet>
      <sheetData sheetId="0">
        <row r="1">
          <cell r="B1" t="str">
            <v>Official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Forecast Period End Date (SAS Format)</v>
          </cell>
          <cell r="M1" t="str">
            <v>Actual Value, from the Detail Actuals File</v>
          </cell>
          <cell r="N1" t="str">
            <v>Announce date of the Actual, from the Detail Actuals File</v>
          </cell>
        </row>
        <row r="2">
          <cell r="B2" t="str">
            <v>ATG</v>
          </cell>
          <cell r="C2" t="str">
            <v>ATLANTA GAS LT</v>
          </cell>
          <cell r="D2">
            <v>32856</v>
          </cell>
          <cell r="E2" t="str">
            <v>EPS</v>
          </cell>
          <cell r="F2" t="str">
            <v>LTG</v>
          </cell>
          <cell r="G2" t="str">
            <v>0</v>
          </cell>
          <cell r="H2">
            <v>7</v>
          </cell>
          <cell r="I2">
            <v>7</v>
          </cell>
          <cell r="J2">
            <v>7.54</v>
          </cell>
          <cell r="K2">
            <v>2.86</v>
          </cell>
        </row>
        <row r="3">
          <cell r="B3" t="str">
            <v>ATO</v>
          </cell>
          <cell r="C3" t="str">
            <v>ATMOS ENERGY CP</v>
          </cell>
          <cell r="D3">
            <v>32856</v>
          </cell>
          <cell r="E3" t="str">
            <v>EPS</v>
          </cell>
          <cell r="F3" t="str">
            <v>LTG</v>
          </cell>
          <cell r="G3" t="str">
            <v>0</v>
          </cell>
          <cell r="H3">
            <v>1</v>
          </cell>
          <cell r="I3">
            <v>5</v>
          </cell>
          <cell r="J3">
            <v>5</v>
          </cell>
        </row>
        <row r="4">
          <cell r="B4" t="str">
            <v>GAS</v>
          </cell>
          <cell r="C4" t="str">
            <v>NICOR INC</v>
          </cell>
          <cell r="D4">
            <v>32856</v>
          </cell>
          <cell r="E4" t="str">
            <v>EPS</v>
          </cell>
          <cell r="F4" t="str">
            <v>LTG</v>
          </cell>
          <cell r="G4" t="str">
            <v>0</v>
          </cell>
          <cell r="H4">
            <v>6</v>
          </cell>
          <cell r="I4">
            <v>6</v>
          </cell>
          <cell r="J4">
            <v>5.83</v>
          </cell>
          <cell r="K4">
            <v>1.6</v>
          </cell>
        </row>
        <row r="5">
          <cell r="B5" t="str">
            <v>LG</v>
          </cell>
          <cell r="C5" t="str">
            <v>LACLEDE GAS</v>
          </cell>
          <cell r="D5">
            <v>32856</v>
          </cell>
          <cell r="E5" t="str">
            <v>EPS</v>
          </cell>
          <cell r="F5" t="str">
            <v>LTG</v>
          </cell>
          <cell r="G5" t="str">
            <v>0</v>
          </cell>
          <cell r="H5">
            <v>1</v>
          </cell>
          <cell r="I5">
            <v>4</v>
          </cell>
          <cell r="J5">
            <v>4</v>
          </cell>
        </row>
        <row r="6">
          <cell r="B6" t="str">
            <v>NI</v>
          </cell>
          <cell r="C6" t="str">
            <v>NIPSCO IND INC</v>
          </cell>
          <cell r="D6">
            <v>32856</v>
          </cell>
          <cell r="E6" t="str">
            <v>EPS</v>
          </cell>
          <cell r="F6" t="str">
            <v>LTG</v>
          </cell>
          <cell r="G6" t="str">
            <v>0</v>
          </cell>
          <cell r="H6">
            <v>10</v>
          </cell>
          <cell r="I6">
            <v>4.75</v>
          </cell>
          <cell r="J6">
            <v>5.29</v>
          </cell>
          <cell r="K6">
            <v>3.03</v>
          </cell>
        </row>
        <row r="7">
          <cell r="B7" t="str">
            <v>NJR</v>
          </cell>
          <cell r="C7" t="str">
            <v>NEW JERSEY RES</v>
          </cell>
          <cell r="D7">
            <v>32856</v>
          </cell>
          <cell r="E7" t="str">
            <v>EPS</v>
          </cell>
          <cell r="F7" t="str">
            <v>LTG</v>
          </cell>
          <cell r="G7" t="str">
            <v>0</v>
          </cell>
          <cell r="H7">
            <v>4</v>
          </cell>
          <cell r="I7">
            <v>7.5</v>
          </cell>
          <cell r="J7">
            <v>7</v>
          </cell>
          <cell r="K7">
            <v>1.41</v>
          </cell>
        </row>
        <row r="8">
          <cell r="B8" t="str">
            <v>PNY</v>
          </cell>
          <cell r="C8" t="str">
            <v>PIEDMONT NAT GAS</v>
          </cell>
          <cell r="D8">
            <v>32856</v>
          </cell>
          <cell r="E8" t="str">
            <v>EPS</v>
          </cell>
          <cell r="F8" t="str">
            <v>LTG</v>
          </cell>
          <cell r="G8" t="str">
            <v>0</v>
          </cell>
          <cell r="H8">
            <v>1</v>
          </cell>
          <cell r="I8">
            <v>18.600000000000001</v>
          </cell>
          <cell r="J8">
            <v>18.600000000000001</v>
          </cell>
        </row>
        <row r="9">
          <cell r="B9" t="str">
            <v>SJI</v>
          </cell>
          <cell r="C9" t="str">
            <v>SO JERSEY INDS</v>
          </cell>
          <cell r="D9">
            <v>32856</v>
          </cell>
          <cell r="E9" t="str">
            <v>EPS</v>
          </cell>
          <cell r="F9" t="str">
            <v>LTG</v>
          </cell>
          <cell r="G9" t="str">
            <v>0</v>
          </cell>
          <cell r="H9">
            <v>1</v>
          </cell>
          <cell r="I9">
            <v>4</v>
          </cell>
          <cell r="J9">
            <v>4</v>
          </cell>
        </row>
        <row r="10">
          <cell r="B10" t="str">
            <v>SWX</v>
          </cell>
          <cell r="C10" t="str">
            <v>SOUTHWEST GAS</v>
          </cell>
          <cell r="D10">
            <v>32856</v>
          </cell>
          <cell r="E10" t="str">
            <v>EPS</v>
          </cell>
          <cell r="F10" t="str">
            <v>LTG</v>
          </cell>
          <cell r="G10" t="str">
            <v>0</v>
          </cell>
          <cell r="H10">
            <v>3</v>
          </cell>
          <cell r="I10">
            <v>6</v>
          </cell>
          <cell r="J10">
            <v>7</v>
          </cell>
          <cell r="K10">
            <v>3.61</v>
          </cell>
        </row>
        <row r="11">
          <cell r="B11" t="str">
            <v>WGL</v>
          </cell>
          <cell r="C11" t="str">
            <v>WASH GAS LT</v>
          </cell>
          <cell r="D11">
            <v>32856</v>
          </cell>
          <cell r="E11" t="str">
            <v>EPS</v>
          </cell>
          <cell r="F11" t="str">
            <v>LTG</v>
          </cell>
          <cell r="G11" t="str">
            <v>0</v>
          </cell>
          <cell r="H11">
            <v>5</v>
          </cell>
          <cell r="I11">
            <v>6</v>
          </cell>
          <cell r="J11">
            <v>5.4</v>
          </cell>
          <cell r="K11">
            <v>0.89</v>
          </cell>
        </row>
      </sheetData>
    </sheetDataSet>
  </externalBook>
</externalLink>
</file>

<file path=xl/externalLinks/externalLink1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RDS"/>
    </sheetNames>
    <sheetDataSet>
      <sheetData sheetId="0">
        <row r="1">
          <cell r="A1" t="str">
            <v>OFTIC</v>
          </cell>
          <cell r="B1" t="str">
            <v>IBES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USFIRM=0 if from .INT file and USFIRM=1 if from .US file</v>
          </cell>
          <cell r="L1" t="str">
            <v>Forecast Period End Date (SAS Format)</v>
          </cell>
          <cell r="M1" t="str">
            <v>Actual Value, from the Detail Actuals File</v>
          </cell>
          <cell r="N1" t="str">
            <v>Announce date of the Actual, from the Detail Actuals File</v>
          </cell>
        </row>
        <row r="2">
          <cell r="A2" t="str">
            <v>AVA</v>
          </cell>
          <cell r="B2" t="str">
            <v>AVDO</v>
          </cell>
          <cell r="C2" t="str">
            <v>AUDIO VIDEO AFFI</v>
          </cell>
          <cell r="D2">
            <v>19881215</v>
          </cell>
          <cell r="E2" t="str">
            <v>EPS</v>
          </cell>
          <cell r="F2" t="str">
            <v>ANN</v>
          </cell>
          <cell r="G2">
            <v>1</v>
          </cell>
          <cell r="H2">
            <v>5</v>
          </cell>
          <cell r="I2">
            <v>0.13</v>
          </cell>
          <cell r="J2">
            <v>0.12</v>
          </cell>
          <cell r="K2">
            <v>1</v>
          </cell>
          <cell r="L2">
            <v>19890131</v>
          </cell>
          <cell r="M2">
            <v>0.12</v>
          </cell>
          <cell r="N2">
            <v>19890413</v>
          </cell>
        </row>
        <row r="3">
          <cell r="A3" t="str">
            <v>PNW</v>
          </cell>
          <cell r="B3" t="str">
            <v>AZP</v>
          </cell>
          <cell r="C3" t="str">
            <v>PINNACLE WST CAP</v>
          </cell>
          <cell r="D3">
            <v>19881215</v>
          </cell>
          <cell r="E3" t="str">
            <v>EPS</v>
          </cell>
          <cell r="F3" t="str">
            <v>ANN</v>
          </cell>
          <cell r="G3">
            <v>1</v>
          </cell>
          <cell r="H3">
            <v>19</v>
          </cell>
          <cell r="I3">
            <v>2.4</v>
          </cell>
          <cell r="J3">
            <v>2.44</v>
          </cell>
          <cell r="K3">
            <v>1</v>
          </cell>
          <cell r="L3">
            <v>19881231</v>
          </cell>
          <cell r="M3">
            <v>2.15</v>
          </cell>
          <cell r="N3">
            <v>19890302</v>
          </cell>
        </row>
        <row r="4">
          <cell r="A4" t="str">
            <v>BKH</v>
          </cell>
          <cell r="B4" t="str">
            <v>BHP</v>
          </cell>
          <cell r="C4" t="str">
            <v>BLACK HILLS CORP</v>
          </cell>
          <cell r="D4">
            <v>19881215</v>
          </cell>
          <cell r="E4" t="str">
            <v>EPS</v>
          </cell>
          <cell r="F4" t="str">
            <v>ANN</v>
          </cell>
          <cell r="G4">
            <v>1</v>
          </cell>
          <cell r="H4">
            <v>7</v>
          </cell>
          <cell r="I4">
            <v>1.06</v>
          </cell>
          <cell r="J4">
            <v>1.05</v>
          </cell>
          <cell r="K4">
            <v>1</v>
          </cell>
          <cell r="L4">
            <v>19881231</v>
          </cell>
          <cell r="M4">
            <v>1.022</v>
          </cell>
          <cell r="N4">
            <v>19890216</v>
          </cell>
        </row>
        <row r="5">
          <cell r="A5" t="str">
            <v>CIN</v>
          </cell>
          <cell r="B5" t="str">
            <v>CIN</v>
          </cell>
          <cell r="C5" t="str">
            <v>CINN GAS &amp; EL</v>
          </cell>
          <cell r="D5">
            <v>19881215</v>
          </cell>
          <cell r="E5" t="str">
            <v>EPS</v>
          </cell>
          <cell r="F5" t="str">
            <v>ANN</v>
          </cell>
          <cell r="G5">
            <v>1</v>
          </cell>
          <cell r="H5">
            <v>20</v>
          </cell>
          <cell r="I5">
            <v>2.82</v>
          </cell>
          <cell r="J5">
            <v>2.75</v>
          </cell>
          <cell r="K5">
            <v>1</v>
          </cell>
          <cell r="L5">
            <v>19881231</v>
          </cell>
          <cell r="M5">
            <v>3.1</v>
          </cell>
          <cell r="N5">
            <v>19890123</v>
          </cell>
        </row>
        <row r="6">
          <cell r="A6" t="str">
            <v>CMS</v>
          </cell>
          <cell r="B6" t="str">
            <v>CMS</v>
          </cell>
          <cell r="C6" t="str">
            <v>CMS ENERGY CORP</v>
          </cell>
          <cell r="D6">
            <v>19881215</v>
          </cell>
          <cell r="E6" t="str">
            <v>EPS</v>
          </cell>
          <cell r="F6" t="str">
            <v>ANN</v>
          </cell>
          <cell r="G6">
            <v>1</v>
          </cell>
          <cell r="H6">
            <v>26</v>
          </cell>
          <cell r="I6">
            <v>3.27</v>
          </cell>
          <cell r="J6">
            <v>3.23</v>
          </cell>
          <cell r="K6">
            <v>1</v>
          </cell>
          <cell r="L6">
            <v>19881231</v>
          </cell>
          <cell r="M6">
            <v>3.3</v>
          </cell>
          <cell r="N6">
            <v>19890202</v>
          </cell>
        </row>
        <row r="7">
          <cell r="A7" t="str">
            <v>CNL</v>
          </cell>
          <cell r="B7" t="str">
            <v>CNL</v>
          </cell>
          <cell r="C7" t="str">
            <v>CENT LA ELEC INC</v>
          </cell>
          <cell r="D7">
            <v>19881215</v>
          </cell>
          <cell r="E7" t="str">
            <v>EPS</v>
          </cell>
          <cell r="F7" t="str">
            <v>ANN</v>
          </cell>
          <cell r="G7">
            <v>1</v>
          </cell>
          <cell r="H7">
            <v>5</v>
          </cell>
          <cell r="I7">
            <v>0.9</v>
          </cell>
          <cell r="J7">
            <v>0.9</v>
          </cell>
          <cell r="K7">
            <v>1</v>
          </cell>
          <cell r="L7">
            <v>19881231</v>
          </cell>
          <cell r="M7">
            <v>0.92</v>
          </cell>
          <cell r="N7">
            <v>19890131</v>
          </cell>
        </row>
        <row r="8">
          <cell r="A8" t="str">
            <v>CNP</v>
          </cell>
          <cell r="B8" t="str">
            <v>CNP</v>
          </cell>
          <cell r="C8" t="str">
            <v>CROWN CENT PETE</v>
          </cell>
          <cell r="D8">
            <v>19881215</v>
          </cell>
          <cell r="E8" t="str">
            <v>EPS</v>
          </cell>
          <cell r="F8" t="str">
            <v>ANN</v>
          </cell>
          <cell r="G8">
            <v>1</v>
          </cell>
          <cell r="H8">
            <v>2</v>
          </cell>
          <cell r="I8">
            <v>2.58</v>
          </cell>
          <cell r="J8">
            <v>2.58</v>
          </cell>
          <cell r="K8">
            <v>1</v>
          </cell>
          <cell r="L8">
            <v>19881231</v>
          </cell>
          <cell r="M8">
            <v>4.7</v>
          </cell>
        </row>
        <row r="9">
          <cell r="A9" t="str">
            <v>CV</v>
          </cell>
          <cell r="B9" t="str">
            <v>CV</v>
          </cell>
          <cell r="C9" t="str">
            <v>CNTRL VT PUB SVC</v>
          </cell>
          <cell r="D9">
            <v>19881215</v>
          </cell>
          <cell r="E9" t="str">
            <v>EPS</v>
          </cell>
          <cell r="F9" t="str">
            <v>ANN</v>
          </cell>
          <cell r="G9">
            <v>1</v>
          </cell>
          <cell r="H9">
            <v>4</v>
          </cell>
          <cell r="I9">
            <v>1.78</v>
          </cell>
          <cell r="J9">
            <v>1.78</v>
          </cell>
          <cell r="K9">
            <v>1</v>
          </cell>
          <cell r="L9">
            <v>19881231</v>
          </cell>
          <cell r="M9">
            <v>1.72</v>
          </cell>
          <cell r="N9">
            <v>19890215</v>
          </cell>
        </row>
        <row r="10">
          <cell r="A10" t="str">
            <v>D</v>
          </cell>
          <cell r="B10" t="str">
            <v>D</v>
          </cell>
          <cell r="C10" t="str">
            <v>DOMINION RES INC</v>
          </cell>
          <cell r="D10">
            <v>19881215</v>
          </cell>
          <cell r="E10" t="str">
            <v>EPS</v>
          </cell>
          <cell r="F10" t="str">
            <v>ANN</v>
          </cell>
          <cell r="G10">
            <v>1</v>
          </cell>
          <cell r="H10">
            <v>31</v>
          </cell>
          <cell r="I10">
            <v>1.5</v>
          </cell>
          <cell r="J10">
            <v>1.5</v>
          </cell>
          <cell r="K10">
            <v>1</v>
          </cell>
          <cell r="L10">
            <v>19881231</v>
          </cell>
          <cell r="M10">
            <v>1.5065</v>
          </cell>
          <cell r="N10">
            <v>19890130</v>
          </cell>
        </row>
        <row r="11">
          <cell r="A11" t="str">
            <v>DPL</v>
          </cell>
          <cell r="B11" t="str">
            <v>DPL</v>
          </cell>
          <cell r="C11" t="str">
            <v>DPL INC</v>
          </cell>
          <cell r="D11">
            <v>19881215</v>
          </cell>
          <cell r="E11" t="str">
            <v>EPS</v>
          </cell>
          <cell r="F11" t="str">
            <v>ANN</v>
          </cell>
          <cell r="G11">
            <v>1</v>
          </cell>
          <cell r="H11">
            <v>18</v>
          </cell>
          <cell r="I11">
            <v>1.05</v>
          </cell>
          <cell r="J11">
            <v>1.05</v>
          </cell>
          <cell r="K11">
            <v>1</v>
          </cell>
          <cell r="L11">
            <v>19881231</v>
          </cell>
          <cell r="M11">
            <v>0.89200000000000002</v>
          </cell>
          <cell r="N11">
            <v>19890124</v>
          </cell>
        </row>
        <row r="12">
          <cell r="A12" t="str">
            <v>DTE</v>
          </cell>
          <cell r="B12" t="str">
            <v>DTE</v>
          </cell>
          <cell r="C12" t="str">
            <v>DETROIT EDISON</v>
          </cell>
          <cell r="D12">
            <v>19881215</v>
          </cell>
          <cell r="E12" t="str">
            <v>EPS</v>
          </cell>
          <cell r="F12" t="str">
            <v>ANN</v>
          </cell>
          <cell r="G12">
            <v>1</v>
          </cell>
          <cell r="H12">
            <v>22</v>
          </cell>
          <cell r="I12">
            <v>2</v>
          </cell>
          <cell r="J12">
            <v>2</v>
          </cell>
          <cell r="K12">
            <v>1</v>
          </cell>
          <cell r="L12">
            <v>19881231</v>
          </cell>
          <cell r="M12">
            <v>2.31</v>
          </cell>
          <cell r="N12">
            <v>19890125</v>
          </cell>
        </row>
        <row r="13">
          <cell r="A13" t="str">
            <v>DUK</v>
          </cell>
          <cell r="B13" t="str">
            <v>DUK</v>
          </cell>
          <cell r="C13" t="str">
            <v>DUKE POWER CO</v>
          </cell>
          <cell r="D13">
            <v>19881215</v>
          </cell>
          <cell r="E13" t="str">
            <v>EPS</v>
          </cell>
          <cell r="F13" t="str">
            <v>ANN</v>
          </cell>
          <cell r="G13">
            <v>1</v>
          </cell>
          <cell r="H13">
            <v>26</v>
          </cell>
          <cell r="I13">
            <v>3.41</v>
          </cell>
          <cell r="J13">
            <v>3.41</v>
          </cell>
          <cell r="K13">
            <v>1</v>
          </cell>
          <cell r="L13">
            <v>19881231</v>
          </cell>
          <cell r="M13">
            <v>3.7124999999999999</v>
          </cell>
          <cell r="N13">
            <v>19890124</v>
          </cell>
        </row>
        <row r="14">
          <cell r="A14" t="str">
            <v>ED</v>
          </cell>
          <cell r="B14" t="str">
            <v>ED</v>
          </cell>
          <cell r="C14" t="str">
            <v>CONSOL EDISON</v>
          </cell>
          <cell r="D14">
            <v>19881215</v>
          </cell>
          <cell r="E14" t="str">
            <v>EPS</v>
          </cell>
          <cell r="F14" t="str">
            <v>ANN</v>
          </cell>
          <cell r="G14">
            <v>1</v>
          </cell>
          <cell r="H14">
            <v>26</v>
          </cell>
          <cell r="I14">
            <v>2.29</v>
          </cell>
          <cell r="J14">
            <v>2.2999999999999998</v>
          </cell>
          <cell r="K14">
            <v>1</v>
          </cell>
          <cell r="L14">
            <v>19881231</v>
          </cell>
          <cell r="M14">
            <v>2.46</v>
          </cell>
          <cell r="N14">
            <v>19890125</v>
          </cell>
        </row>
        <row r="15">
          <cell r="A15" t="str">
            <v>EDE</v>
          </cell>
          <cell r="B15" t="str">
            <v>EDE</v>
          </cell>
          <cell r="C15" t="str">
            <v>EMPIRE DIST ELEC</v>
          </cell>
          <cell r="D15">
            <v>19881215</v>
          </cell>
          <cell r="E15" t="str">
            <v>EPS</v>
          </cell>
          <cell r="F15" t="str">
            <v>ANN</v>
          </cell>
          <cell r="G15">
            <v>1</v>
          </cell>
          <cell r="H15">
            <v>3</v>
          </cell>
          <cell r="I15">
            <v>1.42</v>
          </cell>
          <cell r="J15">
            <v>1.43</v>
          </cell>
          <cell r="K15">
            <v>1</v>
          </cell>
          <cell r="L15">
            <v>19881231</v>
          </cell>
          <cell r="M15">
            <v>1.53</v>
          </cell>
          <cell r="N15">
            <v>19890127</v>
          </cell>
        </row>
        <row r="16">
          <cell r="A16" t="str">
            <v>EXC</v>
          </cell>
          <cell r="B16" t="str">
            <v>EXC</v>
          </cell>
          <cell r="C16" t="str">
            <v>EXCEL INDS INC</v>
          </cell>
          <cell r="D16">
            <v>19881215</v>
          </cell>
          <cell r="E16" t="str">
            <v>EPS</v>
          </cell>
          <cell r="F16" t="str">
            <v>ANN</v>
          </cell>
          <cell r="G16">
            <v>1</v>
          </cell>
          <cell r="H16">
            <v>6</v>
          </cell>
          <cell r="I16">
            <v>1.08</v>
          </cell>
          <cell r="J16">
            <v>1.0900000000000001</v>
          </cell>
          <cell r="K16">
            <v>1</v>
          </cell>
          <cell r="L16">
            <v>19881231</v>
          </cell>
          <cell r="M16">
            <v>1.4870000000000001</v>
          </cell>
          <cell r="N16">
            <v>19890217</v>
          </cell>
        </row>
        <row r="17">
          <cell r="A17" t="str">
            <v>FPL</v>
          </cell>
          <cell r="B17" t="str">
            <v>FPL</v>
          </cell>
          <cell r="C17" t="str">
            <v>FPL GROUP</v>
          </cell>
          <cell r="D17">
            <v>19881215</v>
          </cell>
          <cell r="E17" t="str">
            <v>EPS</v>
          </cell>
          <cell r="F17" t="str">
            <v>ANN</v>
          </cell>
          <cell r="G17">
            <v>1</v>
          </cell>
          <cell r="H17">
            <v>25</v>
          </cell>
          <cell r="I17">
            <v>0.41</v>
          </cell>
          <cell r="J17">
            <v>0.4</v>
          </cell>
          <cell r="K17">
            <v>1</v>
          </cell>
          <cell r="L17">
            <v>19881231</v>
          </cell>
          <cell r="M17">
            <v>0.42249999999999999</v>
          </cell>
          <cell r="N17">
            <v>19890206</v>
          </cell>
        </row>
        <row r="18">
          <cell r="A18" t="str">
            <v>HE</v>
          </cell>
          <cell r="B18" t="str">
            <v>HE</v>
          </cell>
          <cell r="C18" t="str">
            <v>HAWAIIAN ELEC</v>
          </cell>
          <cell r="D18">
            <v>19881215</v>
          </cell>
          <cell r="E18" t="str">
            <v>EPS</v>
          </cell>
          <cell r="F18" t="str">
            <v>ANN</v>
          </cell>
          <cell r="G18">
            <v>1</v>
          </cell>
          <cell r="H18">
            <v>11</v>
          </cell>
          <cell r="I18">
            <v>1.42</v>
          </cell>
          <cell r="J18">
            <v>1.42</v>
          </cell>
          <cell r="K18">
            <v>1</v>
          </cell>
          <cell r="L18">
            <v>19881231</v>
          </cell>
          <cell r="M18">
            <v>1.45</v>
          </cell>
          <cell r="N18">
            <v>19890221</v>
          </cell>
        </row>
        <row r="19">
          <cell r="A19" t="str">
            <v>IDA</v>
          </cell>
          <cell r="B19" t="str">
            <v>IDA</v>
          </cell>
          <cell r="C19" t="str">
            <v>IDAHO POWER CO</v>
          </cell>
          <cell r="D19">
            <v>19881215</v>
          </cell>
          <cell r="E19" t="str">
            <v>EPS</v>
          </cell>
          <cell r="F19" t="str">
            <v>ANN</v>
          </cell>
          <cell r="G19">
            <v>1</v>
          </cell>
          <cell r="H19">
            <v>18</v>
          </cell>
          <cell r="I19">
            <v>1.2</v>
          </cell>
          <cell r="J19">
            <v>1.2</v>
          </cell>
          <cell r="K19">
            <v>1</v>
          </cell>
          <cell r="L19">
            <v>19881231</v>
          </cell>
          <cell r="M19">
            <v>1.32</v>
          </cell>
          <cell r="N19">
            <v>19890130</v>
          </cell>
        </row>
        <row r="20">
          <cell r="A20" t="str">
            <v>NU</v>
          </cell>
          <cell r="B20" t="str">
            <v>NU</v>
          </cell>
          <cell r="C20" t="str">
            <v>NORTHEAST UTILS</v>
          </cell>
          <cell r="D20">
            <v>19881215</v>
          </cell>
          <cell r="E20" t="str">
            <v>EPS</v>
          </cell>
          <cell r="F20" t="str">
            <v>ANN</v>
          </cell>
          <cell r="G20">
            <v>1</v>
          </cell>
          <cell r="H20">
            <v>22</v>
          </cell>
          <cell r="I20">
            <v>2</v>
          </cell>
          <cell r="J20">
            <v>2.0499999999999998</v>
          </cell>
          <cell r="K20">
            <v>1</v>
          </cell>
          <cell r="L20">
            <v>19881231</v>
          </cell>
          <cell r="M20">
            <v>2.15</v>
          </cell>
          <cell r="N20">
            <v>19890125</v>
          </cell>
        </row>
        <row r="21">
          <cell r="A21" t="str">
            <v>NWE</v>
          </cell>
          <cell r="B21" t="str">
            <v>NWP</v>
          </cell>
          <cell r="C21" t="str">
            <v>NEW WORLD ENTRTN</v>
          </cell>
          <cell r="D21">
            <v>19881215</v>
          </cell>
          <cell r="E21" t="str">
            <v>EPS</v>
          </cell>
          <cell r="F21" t="str">
            <v>ANN</v>
          </cell>
          <cell r="G21">
            <v>1</v>
          </cell>
          <cell r="H21">
            <v>4</v>
          </cell>
          <cell r="I21">
            <v>-2.75</v>
          </cell>
          <cell r="J21">
            <v>-3.38</v>
          </cell>
          <cell r="K21">
            <v>1</v>
          </cell>
          <cell r="L21">
            <v>19881231</v>
          </cell>
          <cell r="M21">
            <v>-8.64</v>
          </cell>
        </row>
        <row r="22">
          <cell r="A22" t="str">
            <v>OGE</v>
          </cell>
          <cell r="B22" t="str">
            <v>OGE</v>
          </cell>
          <cell r="C22" t="str">
            <v>OKLAHOMA G&amp;E</v>
          </cell>
          <cell r="D22">
            <v>19881215</v>
          </cell>
          <cell r="E22" t="str">
            <v>EPS</v>
          </cell>
          <cell r="F22" t="str">
            <v>ANN</v>
          </cell>
          <cell r="G22">
            <v>1</v>
          </cell>
          <cell r="H22">
            <v>25</v>
          </cell>
          <cell r="I22">
            <v>0.79</v>
          </cell>
          <cell r="J22">
            <v>0.78</v>
          </cell>
          <cell r="K22">
            <v>1</v>
          </cell>
          <cell r="L22">
            <v>19881231</v>
          </cell>
          <cell r="M22">
            <v>0.8</v>
          </cell>
          <cell r="N22">
            <v>19890131</v>
          </cell>
        </row>
        <row r="23">
          <cell r="A23" t="str">
            <v>OTTR</v>
          </cell>
          <cell r="B23" t="str">
            <v>OTTR</v>
          </cell>
          <cell r="C23" t="str">
            <v>OTTER TAIL PWR</v>
          </cell>
          <cell r="D23">
            <v>19881215</v>
          </cell>
          <cell r="E23" t="str">
            <v>EPS</v>
          </cell>
          <cell r="F23" t="str">
            <v>ANN</v>
          </cell>
          <cell r="G23">
            <v>1</v>
          </cell>
          <cell r="H23">
            <v>6</v>
          </cell>
          <cell r="I23">
            <v>0.94</v>
          </cell>
          <cell r="J23">
            <v>0.94</v>
          </cell>
          <cell r="K23">
            <v>1</v>
          </cell>
          <cell r="L23">
            <v>19881231</v>
          </cell>
          <cell r="M23">
            <v>0.96499999999999997</v>
          </cell>
          <cell r="N23">
            <v>19890130</v>
          </cell>
        </row>
        <row r="24">
          <cell r="A24" t="str">
            <v>PCG</v>
          </cell>
          <cell r="B24" t="str">
            <v>PCG</v>
          </cell>
          <cell r="C24" t="str">
            <v>PACIFIC G&amp;E</v>
          </cell>
          <cell r="D24">
            <v>19881215</v>
          </cell>
          <cell r="E24" t="str">
            <v>EPS</v>
          </cell>
          <cell r="F24" t="str">
            <v>ANN</v>
          </cell>
          <cell r="G24">
            <v>1</v>
          </cell>
          <cell r="H24">
            <v>26</v>
          </cell>
          <cell r="I24">
            <v>1.4</v>
          </cell>
          <cell r="J24">
            <v>1.4</v>
          </cell>
          <cell r="K24">
            <v>1</v>
          </cell>
          <cell r="L24">
            <v>19881231</v>
          </cell>
          <cell r="M24">
            <v>1.33</v>
          </cell>
          <cell r="N24">
            <v>19890119</v>
          </cell>
        </row>
        <row r="25">
          <cell r="A25" t="str">
            <v>PEG</v>
          </cell>
          <cell r="B25" t="str">
            <v>PEG</v>
          </cell>
          <cell r="C25" t="str">
            <v>PUB SVC ENTERS</v>
          </cell>
          <cell r="D25">
            <v>19881215</v>
          </cell>
          <cell r="E25" t="str">
            <v>EPS</v>
          </cell>
          <cell r="F25" t="str">
            <v>ANN</v>
          </cell>
          <cell r="G25">
            <v>1</v>
          </cell>
          <cell r="H25">
            <v>28</v>
          </cell>
          <cell r="I25">
            <v>1.25</v>
          </cell>
          <cell r="J25">
            <v>1.26</v>
          </cell>
          <cell r="K25">
            <v>1</v>
          </cell>
          <cell r="L25">
            <v>19881231</v>
          </cell>
          <cell r="M25">
            <v>1.2849999999999999</v>
          </cell>
          <cell r="N25">
            <v>19890119</v>
          </cell>
        </row>
        <row r="26">
          <cell r="A26" t="str">
            <v>PGN</v>
          </cell>
          <cell r="B26" t="str">
            <v>PGN</v>
          </cell>
          <cell r="C26" t="str">
            <v>PORTLAND GEN CP</v>
          </cell>
          <cell r="D26">
            <v>19881215</v>
          </cell>
          <cell r="E26" t="str">
            <v>EPS</v>
          </cell>
          <cell r="F26" t="str">
            <v>ANN</v>
          </cell>
          <cell r="G26">
            <v>1</v>
          </cell>
          <cell r="H26">
            <v>18</v>
          </cell>
          <cell r="I26">
            <v>1.85</v>
          </cell>
          <cell r="J26">
            <v>1.88</v>
          </cell>
          <cell r="K26">
            <v>1</v>
          </cell>
          <cell r="L26">
            <v>19881231</v>
          </cell>
          <cell r="M26">
            <v>2.11</v>
          </cell>
          <cell r="N26">
            <v>19890224</v>
          </cell>
        </row>
        <row r="27">
          <cell r="A27" t="str">
            <v>PNM</v>
          </cell>
          <cell r="B27" t="str">
            <v>PNM</v>
          </cell>
          <cell r="C27" t="str">
            <v>PUB SVC N MEX</v>
          </cell>
          <cell r="D27">
            <v>19881215</v>
          </cell>
          <cell r="E27" t="str">
            <v>EPS</v>
          </cell>
          <cell r="F27" t="str">
            <v>ANN</v>
          </cell>
          <cell r="G27">
            <v>1</v>
          </cell>
          <cell r="H27">
            <v>18</v>
          </cell>
          <cell r="I27">
            <v>1.1000000000000001</v>
          </cell>
          <cell r="J27">
            <v>1.1599999999999999</v>
          </cell>
          <cell r="K27">
            <v>1</v>
          </cell>
          <cell r="L27">
            <v>19881231</v>
          </cell>
          <cell r="M27">
            <v>1.0732999999999999</v>
          </cell>
          <cell r="N27">
            <v>19890418</v>
          </cell>
        </row>
        <row r="28">
          <cell r="A28" t="str">
            <v>POM</v>
          </cell>
          <cell r="B28" t="str">
            <v>POM</v>
          </cell>
          <cell r="C28" t="str">
            <v>POTOMAC ELEC</v>
          </cell>
          <cell r="D28">
            <v>19881215</v>
          </cell>
          <cell r="E28" t="str">
            <v>EPS</v>
          </cell>
          <cell r="F28" t="str">
            <v>ANN</v>
          </cell>
          <cell r="G28">
            <v>1</v>
          </cell>
          <cell r="H28">
            <v>25</v>
          </cell>
          <cell r="I28">
            <v>2.1</v>
          </cell>
          <cell r="J28">
            <v>2.12</v>
          </cell>
          <cell r="K28">
            <v>1</v>
          </cell>
          <cell r="L28">
            <v>19881231</v>
          </cell>
          <cell r="M28">
            <v>2.14</v>
          </cell>
          <cell r="N28">
            <v>19890126</v>
          </cell>
        </row>
        <row r="29">
          <cell r="A29" t="str">
            <v>PPL</v>
          </cell>
          <cell r="B29" t="str">
            <v>PPL</v>
          </cell>
          <cell r="C29" t="str">
            <v>PENNA P&amp;L</v>
          </cell>
          <cell r="D29">
            <v>19881215</v>
          </cell>
          <cell r="E29" t="str">
            <v>EPS</v>
          </cell>
          <cell r="F29" t="str">
            <v>ANN</v>
          </cell>
          <cell r="G29">
            <v>1</v>
          </cell>
          <cell r="H29">
            <v>21</v>
          </cell>
          <cell r="I29">
            <v>0.92</v>
          </cell>
          <cell r="J29">
            <v>0.9</v>
          </cell>
          <cell r="K29">
            <v>1</v>
          </cell>
          <cell r="L29">
            <v>19881231</v>
          </cell>
          <cell r="M29">
            <v>0.93500000000000005</v>
          </cell>
          <cell r="N29">
            <v>19890126</v>
          </cell>
        </row>
        <row r="30">
          <cell r="A30" t="str">
            <v>PSD</v>
          </cell>
          <cell r="B30" t="str">
            <v>PSD</v>
          </cell>
          <cell r="C30" t="str">
            <v>PUGET SOUND P&amp;L</v>
          </cell>
          <cell r="D30">
            <v>19881215</v>
          </cell>
          <cell r="E30" t="str">
            <v>EPS</v>
          </cell>
          <cell r="F30" t="str">
            <v>ANN</v>
          </cell>
          <cell r="G30">
            <v>1</v>
          </cell>
          <cell r="H30">
            <v>15</v>
          </cell>
          <cell r="I30">
            <v>2.1</v>
          </cell>
          <cell r="J30">
            <v>2.09</v>
          </cell>
          <cell r="K30">
            <v>1</v>
          </cell>
          <cell r="L30">
            <v>19881231</v>
          </cell>
          <cell r="M30">
            <v>2.14</v>
          </cell>
          <cell r="N30">
            <v>19890213</v>
          </cell>
        </row>
        <row r="31">
          <cell r="A31" t="str">
            <v>SCG</v>
          </cell>
          <cell r="B31" t="str">
            <v>SCG</v>
          </cell>
          <cell r="C31" t="str">
            <v>SCANA CP</v>
          </cell>
          <cell r="D31">
            <v>19881215</v>
          </cell>
          <cell r="E31" t="str">
            <v>EPS</v>
          </cell>
          <cell r="F31" t="str">
            <v>ANN</v>
          </cell>
          <cell r="G31">
            <v>1</v>
          </cell>
          <cell r="H31">
            <v>19</v>
          </cell>
          <cell r="I31">
            <v>1.5</v>
          </cell>
          <cell r="J31">
            <v>1.5</v>
          </cell>
          <cell r="K31">
            <v>1</v>
          </cell>
          <cell r="L31">
            <v>19881231</v>
          </cell>
          <cell r="M31">
            <v>1.5</v>
          </cell>
          <cell r="N31">
            <v>19890223</v>
          </cell>
        </row>
        <row r="32">
          <cell r="A32" t="str">
            <v>SO</v>
          </cell>
          <cell r="B32" t="str">
            <v>SO</v>
          </cell>
          <cell r="C32" t="str">
            <v>SOUTHN CO</v>
          </cell>
          <cell r="D32">
            <v>19881215</v>
          </cell>
          <cell r="E32" t="str">
            <v>EPS</v>
          </cell>
          <cell r="F32" t="str">
            <v>ANN</v>
          </cell>
          <cell r="G32">
            <v>1</v>
          </cell>
          <cell r="H32">
            <v>28</v>
          </cell>
          <cell r="I32">
            <v>1.3</v>
          </cell>
          <cell r="J32">
            <v>1.31</v>
          </cell>
          <cell r="K32">
            <v>1</v>
          </cell>
          <cell r="L32">
            <v>19881231</v>
          </cell>
          <cell r="M32">
            <v>1.36</v>
          </cell>
          <cell r="N32">
            <v>19890227</v>
          </cell>
        </row>
        <row r="33">
          <cell r="A33" t="str">
            <v>TE</v>
          </cell>
          <cell r="B33" t="str">
            <v>TE</v>
          </cell>
          <cell r="C33" t="str">
            <v>TECO ENERGY INC</v>
          </cell>
          <cell r="D33">
            <v>19881215</v>
          </cell>
          <cell r="E33" t="str">
            <v>EPS</v>
          </cell>
          <cell r="F33" t="str">
            <v>ANN</v>
          </cell>
          <cell r="G33">
            <v>1</v>
          </cell>
          <cell r="H33">
            <v>25</v>
          </cell>
          <cell r="I33">
            <v>1.08</v>
          </cell>
          <cell r="J33">
            <v>1.07</v>
          </cell>
          <cell r="K33">
            <v>1</v>
          </cell>
          <cell r="L33">
            <v>19881231</v>
          </cell>
          <cell r="M33">
            <v>1.115</v>
          </cell>
          <cell r="N33">
            <v>19890119</v>
          </cell>
        </row>
        <row r="34">
          <cell r="A34" t="str">
            <v>UIL</v>
          </cell>
          <cell r="B34" t="str">
            <v>UIL</v>
          </cell>
          <cell r="C34" t="str">
            <v>UTD ILLUM CO</v>
          </cell>
          <cell r="D34">
            <v>19881215</v>
          </cell>
          <cell r="E34" t="str">
            <v>EPS</v>
          </cell>
          <cell r="F34" t="str">
            <v>ANN</v>
          </cell>
          <cell r="G34">
            <v>1</v>
          </cell>
          <cell r="H34">
            <v>4</v>
          </cell>
          <cell r="I34">
            <v>3.99</v>
          </cell>
          <cell r="J34">
            <v>4</v>
          </cell>
          <cell r="K34">
            <v>1</v>
          </cell>
          <cell r="L34">
            <v>19881231</v>
          </cell>
          <cell r="M34">
            <v>4.524</v>
          </cell>
        </row>
        <row r="35">
          <cell r="A35" t="str">
            <v>WEC</v>
          </cell>
          <cell r="B35" t="str">
            <v>WPC</v>
          </cell>
          <cell r="C35" t="str">
            <v>WISCONSIN ENERGY</v>
          </cell>
          <cell r="D35">
            <v>19881215</v>
          </cell>
          <cell r="E35" t="str">
            <v>EPS</v>
          </cell>
          <cell r="F35" t="str">
            <v>ANN</v>
          </cell>
          <cell r="G35">
            <v>1</v>
          </cell>
          <cell r="H35">
            <v>27</v>
          </cell>
          <cell r="I35">
            <v>0.98</v>
          </cell>
          <cell r="J35">
            <v>0.97</v>
          </cell>
          <cell r="K35">
            <v>1</v>
          </cell>
          <cell r="L35">
            <v>19881231</v>
          </cell>
          <cell r="M35">
            <v>0.91</v>
          </cell>
          <cell r="N35">
            <v>19890126</v>
          </cell>
        </row>
        <row r="36">
          <cell r="A36" t="str">
            <v>WPS</v>
          </cell>
          <cell r="B36" t="str">
            <v>WPS</v>
          </cell>
          <cell r="C36" t="str">
            <v>WISC PUB SVC</v>
          </cell>
          <cell r="D36">
            <v>19881215</v>
          </cell>
          <cell r="E36" t="str">
            <v>EPS</v>
          </cell>
          <cell r="F36" t="str">
            <v>ANN</v>
          </cell>
          <cell r="G36">
            <v>1</v>
          </cell>
          <cell r="H36">
            <v>16</v>
          </cell>
          <cell r="I36">
            <v>2.2000000000000002</v>
          </cell>
          <cell r="J36">
            <v>2.21</v>
          </cell>
          <cell r="K36">
            <v>1</v>
          </cell>
          <cell r="L36">
            <v>19881231</v>
          </cell>
        </row>
        <row r="37">
          <cell r="A37" t="str">
            <v>AGR</v>
          </cell>
          <cell r="B37" t="str">
            <v>AGR1</v>
          </cell>
          <cell r="C37" t="str">
            <v>AGRA INDS INC</v>
          </cell>
          <cell r="D37">
            <v>19881215</v>
          </cell>
          <cell r="E37" t="str">
            <v>EPS</v>
          </cell>
          <cell r="F37" t="str">
            <v>ANN</v>
          </cell>
          <cell r="G37">
            <v>1</v>
          </cell>
          <cell r="H37">
            <v>1</v>
          </cell>
          <cell r="I37">
            <v>0.6</v>
          </cell>
          <cell r="J37">
            <v>0.6</v>
          </cell>
          <cell r="K37">
            <v>0</v>
          </cell>
          <cell r="L37">
            <v>19890731</v>
          </cell>
          <cell r="M37">
            <v>3.9</v>
          </cell>
        </row>
        <row r="38">
          <cell r="A38" t="str">
            <v>D</v>
          </cell>
          <cell r="B38" t="str">
            <v>D1</v>
          </cell>
          <cell r="C38" t="str">
            <v>DYNAMIC CAPITAL</v>
          </cell>
          <cell r="D38">
            <v>19881215</v>
          </cell>
          <cell r="E38" t="str">
            <v>EPS</v>
          </cell>
          <cell r="F38" t="str">
            <v>ANN</v>
          </cell>
          <cell r="G38">
            <v>1</v>
          </cell>
          <cell r="H38">
            <v>1</v>
          </cell>
          <cell r="I38">
            <v>1.2</v>
          </cell>
          <cell r="J38">
            <v>1.2</v>
          </cell>
          <cell r="K38">
            <v>0</v>
          </cell>
          <cell r="L38">
            <v>19881231</v>
          </cell>
          <cell r="M38">
            <v>1.02</v>
          </cell>
          <cell r="N38">
            <v>19890405</v>
          </cell>
        </row>
        <row r="39">
          <cell r="A39" t="str">
            <v>FPL</v>
          </cell>
          <cell r="B39" t="str">
            <v>FPI1</v>
          </cell>
          <cell r="C39" t="str">
            <v>FPI LTD</v>
          </cell>
          <cell r="D39">
            <v>19881215</v>
          </cell>
          <cell r="E39" t="str">
            <v>EPS</v>
          </cell>
          <cell r="F39" t="str">
            <v>ANN</v>
          </cell>
          <cell r="G39">
            <v>1</v>
          </cell>
          <cell r="H39">
            <v>9</v>
          </cell>
          <cell r="I39">
            <v>0.6</v>
          </cell>
          <cell r="J39">
            <v>0.53</v>
          </cell>
          <cell r="K39">
            <v>0</v>
          </cell>
          <cell r="L39">
            <v>19881231</v>
          </cell>
          <cell r="M39">
            <v>1.05</v>
          </cell>
        </row>
      </sheetData>
    </sheetDataSet>
  </externalBook>
</externalLink>
</file>

<file path=xl/externalLinks/externalLink1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RDS"/>
    </sheetNames>
    <sheetDataSet>
      <sheetData sheetId="0">
        <row r="1">
          <cell r="A1" t="str">
            <v>OFTIC</v>
          </cell>
          <cell r="B1" t="str">
            <v>IBES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USFIRM=0 if from .INT file and USFIRM=1 if from .US file</v>
          </cell>
          <cell r="M1" t="str">
            <v>Forecast Period End Date (SAS Format)</v>
          </cell>
          <cell r="N1" t="str">
            <v>Actual Value, from the Detail Actuals File</v>
          </cell>
          <cell r="O1" t="str">
            <v>Announce date of the Actual, from the Detail Actuals File</v>
          </cell>
        </row>
        <row r="2">
          <cell r="A2" t="str">
            <v>AVA</v>
          </cell>
          <cell r="B2" t="str">
            <v>AVDO</v>
          </cell>
          <cell r="C2" t="str">
            <v>AUDIO VIDEO AFFI</v>
          </cell>
          <cell r="D2">
            <v>19881215</v>
          </cell>
          <cell r="E2" t="str">
            <v>EPS</v>
          </cell>
          <cell r="F2" t="str">
            <v>LTG</v>
          </cell>
          <cell r="G2">
            <v>0</v>
          </cell>
          <cell r="H2">
            <v>2</v>
          </cell>
          <cell r="I2">
            <v>15</v>
          </cell>
          <cell r="J2">
            <v>15</v>
          </cell>
          <cell r="K2">
            <v>4.24</v>
          </cell>
          <cell r="L2">
            <v>1</v>
          </cell>
        </row>
        <row r="3">
          <cell r="A3" t="str">
            <v>PNW</v>
          </cell>
          <cell r="B3" t="str">
            <v>AZP</v>
          </cell>
          <cell r="C3" t="str">
            <v>PINNACLE WST CAP</v>
          </cell>
          <cell r="D3">
            <v>19881215</v>
          </cell>
          <cell r="E3" t="str">
            <v>EPS</v>
          </cell>
          <cell r="F3" t="str">
            <v>LTG</v>
          </cell>
          <cell r="G3">
            <v>0</v>
          </cell>
          <cell r="H3">
            <v>8</v>
          </cell>
          <cell r="I3">
            <v>2.95</v>
          </cell>
          <cell r="J3">
            <v>2.2400000000000002</v>
          </cell>
          <cell r="K3">
            <v>3.28</v>
          </cell>
          <cell r="L3">
            <v>1</v>
          </cell>
        </row>
        <row r="4">
          <cell r="A4" t="str">
            <v>BKH</v>
          </cell>
          <cell r="B4" t="str">
            <v>BHP</v>
          </cell>
          <cell r="C4" t="str">
            <v>BLACK HILLS CORP</v>
          </cell>
          <cell r="D4">
            <v>19881215</v>
          </cell>
          <cell r="E4" t="str">
            <v>EPS</v>
          </cell>
          <cell r="F4" t="str">
            <v>LTG</v>
          </cell>
          <cell r="G4">
            <v>0</v>
          </cell>
          <cell r="H4">
            <v>2</v>
          </cell>
          <cell r="I4">
            <v>5.7</v>
          </cell>
          <cell r="J4">
            <v>5.7</v>
          </cell>
          <cell r="K4">
            <v>1.84</v>
          </cell>
          <cell r="L4">
            <v>1</v>
          </cell>
        </row>
        <row r="5">
          <cell r="A5" t="str">
            <v>CIN</v>
          </cell>
          <cell r="B5" t="str">
            <v>CIN</v>
          </cell>
          <cell r="C5" t="str">
            <v>CINN GAS &amp; EL</v>
          </cell>
          <cell r="D5">
            <v>19881215</v>
          </cell>
          <cell r="E5" t="str">
            <v>EPS</v>
          </cell>
          <cell r="F5" t="str">
            <v>LTG</v>
          </cell>
          <cell r="G5">
            <v>0</v>
          </cell>
          <cell r="H5">
            <v>10</v>
          </cell>
          <cell r="I5">
            <v>3</v>
          </cell>
          <cell r="J5">
            <v>1.95</v>
          </cell>
          <cell r="K5">
            <v>3.38</v>
          </cell>
          <cell r="L5">
            <v>1</v>
          </cell>
        </row>
        <row r="6">
          <cell r="A6" t="str">
            <v>CMS</v>
          </cell>
          <cell r="B6" t="str">
            <v>CMS</v>
          </cell>
          <cell r="C6" t="str">
            <v>CMS ENERGY CORP</v>
          </cell>
          <cell r="D6">
            <v>19881215</v>
          </cell>
          <cell r="E6" t="str">
            <v>EPS</v>
          </cell>
          <cell r="F6" t="str">
            <v>LTG</v>
          </cell>
          <cell r="G6">
            <v>0</v>
          </cell>
          <cell r="H6">
            <v>12</v>
          </cell>
          <cell r="I6">
            <v>6.25</v>
          </cell>
          <cell r="J6">
            <v>6.49</v>
          </cell>
          <cell r="K6">
            <v>2.92</v>
          </cell>
          <cell r="L6">
            <v>1</v>
          </cell>
        </row>
        <row r="7">
          <cell r="A7" t="str">
            <v>CNL</v>
          </cell>
          <cell r="B7" t="str">
            <v>CNL</v>
          </cell>
          <cell r="C7" t="str">
            <v>CENT LA ELEC INC</v>
          </cell>
          <cell r="D7">
            <v>19881215</v>
          </cell>
          <cell r="E7" t="str">
            <v>EPS</v>
          </cell>
          <cell r="F7" t="str">
            <v>LTG</v>
          </cell>
          <cell r="G7">
            <v>0</v>
          </cell>
          <cell r="H7">
            <v>2</v>
          </cell>
          <cell r="I7">
            <v>3.25</v>
          </cell>
          <cell r="J7">
            <v>3.25</v>
          </cell>
          <cell r="K7">
            <v>1.77</v>
          </cell>
          <cell r="L7">
            <v>1</v>
          </cell>
        </row>
        <row r="8">
          <cell r="A8" t="str">
            <v>CNP</v>
          </cell>
          <cell r="B8" t="str">
            <v>CNP</v>
          </cell>
          <cell r="C8" t="str">
            <v>CROWN CENT PETE</v>
          </cell>
          <cell r="D8">
            <v>19881215</v>
          </cell>
          <cell r="E8" t="str">
            <v>EPS</v>
          </cell>
          <cell r="F8" t="str">
            <v>LTG</v>
          </cell>
          <cell r="G8">
            <v>0</v>
          </cell>
          <cell r="H8">
            <v>1</v>
          </cell>
          <cell r="I8">
            <v>5</v>
          </cell>
          <cell r="J8">
            <v>5</v>
          </cell>
          <cell r="L8">
            <v>1</v>
          </cell>
        </row>
        <row r="9">
          <cell r="A9" t="str">
            <v>CV</v>
          </cell>
          <cell r="B9" t="str">
            <v>CV</v>
          </cell>
          <cell r="C9" t="str">
            <v>CNTRL VT PUB SVC</v>
          </cell>
          <cell r="D9">
            <v>19881215</v>
          </cell>
          <cell r="E9" t="str">
            <v>EPS</v>
          </cell>
          <cell r="F9" t="str">
            <v>LTG</v>
          </cell>
          <cell r="G9">
            <v>0</v>
          </cell>
          <cell r="H9">
            <v>2</v>
          </cell>
          <cell r="I9">
            <v>3.35</v>
          </cell>
          <cell r="J9">
            <v>3.35</v>
          </cell>
          <cell r="K9">
            <v>1.91</v>
          </cell>
          <cell r="L9">
            <v>1</v>
          </cell>
        </row>
        <row r="10">
          <cell r="A10" t="str">
            <v>D</v>
          </cell>
          <cell r="B10" t="str">
            <v>D</v>
          </cell>
          <cell r="C10" t="str">
            <v>DOMINION RES INC</v>
          </cell>
          <cell r="D10">
            <v>19881215</v>
          </cell>
          <cell r="E10" t="str">
            <v>EPS</v>
          </cell>
          <cell r="F10" t="str">
            <v>LTG</v>
          </cell>
          <cell r="G10">
            <v>0</v>
          </cell>
          <cell r="H10">
            <v>14</v>
          </cell>
          <cell r="I10">
            <v>4.3</v>
          </cell>
          <cell r="J10">
            <v>4.29</v>
          </cell>
          <cell r="K10">
            <v>1.43</v>
          </cell>
          <cell r="L10">
            <v>1</v>
          </cell>
        </row>
        <row r="11">
          <cell r="A11" t="str">
            <v>DPL</v>
          </cell>
          <cell r="B11" t="str">
            <v>DPL</v>
          </cell>
          <cell r="C11" t="str">
            <v>DPL INC</v>
          </cell>
          <cell r="D11">
            <v>19881215</v>
          </cell>
          <cell r="E11" t="str">
            <v>EPS</v>
          </cell>
          <cell r="F11" t="str">
            <v>LTG</v>
          </cell>
          <cell r="G11">
            <v>0</v>
          </cell>
          <cell r="H11">
            <v>8</v>
          </cell>
          <cell r="I11">
            <v>4</v>
          </cell>
          <cell r="J11">
            <v>3.31</v>
          </cell>
          <cell r="K11">
            <v>1.87</v>
          </cell>
          <cell r="L11">
            <v>1</v>
          </cell>
        </row>
        <row r="12">
          <cell r="A12" t="str">
            <v>DTE</v>
          </cell>
          <cell r="B12" t="str">
            <v>DTE</v>
          </cell>
          <cell r="C12" t="str">
            <v>DETROIT EDISON</v>
          </cell>
          <cell r="D12">
            <v>19881215</v>
          </cell>
          <cell r="E12" t="str">
            <v>EPS</v>
          </cell>
          <cell r="F12" t="str">
            <v>LTG</v>
          </cell>
          <cell r="G12">
            <v>0</v>
          </cell>
          <cell r="H12">
            <v>8</v>
          </cell>
          <cell r="I12">
            <v>-0.5</v>
          </cell>
          <cell r="J12">
            <v>-1.44</v>
          </cell>
          <cell r="K12">
            <v>4.82</v>
          </cell>
          <cell r="L12">
            <v>1</v>
          </cell>
        </row>
        <row r="13">
          <cell r="A13" t="str">
            <v>DUK</v>
          </cell>
          <cell r="B13" t="str">
            <v>DUK</v>
          </cell>
          <cell r="C13" t="str">
            <v>DUKE POWER CO</v>
          </cell>
          <cell r="D13">
            <v>19881215</v>
          </cell>
          <cell r="E13" t="str">
            <v>EPS</v>
          </cell>
          <cell r="F13" t="str">
            <v>LTG</v>
          </cell>
          <cell r="G13">
            <v>0</v>
          </cell>
          <cell r="H13">
            <v>13</v>
          </cell>
          <cell r="I13">
            <v>5</v>
          </cell>
          <cell r="J13">
            <v>4.3899999999999997</v>
          </cell>
          <cell r="K13">
            <v>1.37</v>
          </cell>
          <cell r="L13">
            <v>1</v>
          </cell>
        </row>
        <row r="14">
          <cell r="A14" t="str">
            <v>ED</v>
          </cell>
          <cell r="B14" t="str">
            <v>ED</v>
          </cell>
          <cell r="C14" t="str">
            <v>CONSOL EDISON</v>
          </cell>
          <cell r="D14">
            <v>19881215</v>
          </cell>
          <cell r="E14" t="str">
            <v>EPS</v>
          </cell>
          <cell r="F14" t="str">
            <v>LTG</v>
          </cell>
          <cell r="G14">
            <v>0</v>
          </cell>
          <cell r="H14">
            <v>11</v>
          </cell>
          <cell r="I14">
            <v>4.2</v>
          </cell>
          <cell r="J14">
            <v>4.41</v>
          </cell>
          <cell r="K14">
            <v>1.08</v>
          </cell>
          <cell r="L14">
            <v>1</v>
          </cell>
        </row>
        <row r="15">
          <cell r="A15" t="str">
            <v>EDE</v>
          </cell>
          <cell r="B15" t="str">
            <v>EDE</v>
          </cell>
          <cell r="C15" t="str">
            <v>EMPIRE DIST ELEC</v>
          </cell>
          <cell r="D15">
            <v>19881215</v>
          </cell>
          <cell r="E15" t="str">
            <v>EPS</v>
          </cell>
          <cell r="F15" t="str">
            <v>LTG</v>
          </cell>
          <cell r="G15">
            <v>0</v>
          </cell>
          <cell r="H15">
            <v>1</v>
          </cell>
          <cell r="I15">
            <v>0</v>
          </cell>
          <cell r="J15">
            <v>0</v>
          </cell>
          <cell r="L15">
            <v>1</v>
          </cell>
        </row>
        <row r="16">
          <cell r="A16" t="str">
            <v>EXC</v>
          </cell>
          <cell r="B16" t="str">
            <v>EXC</v>
          </cell>
          <cell r="C16" t="str">
            <v>EXCEL INDS INC</v>
          </cell>
          <cell r="D16">
            <v>19881215</v>
          </cell>
          <cell r="E16" t="str">
            <v>EPS</v>
          </cell>
          <cell r="F16" t="str">
            <v>LTG</v>
          </cell>
          <cell r="G16">
            <v>0</v>
          </cell>
          <cell r="H16">
            <v>1</v>
          </cell>
          <cell r="I16">
            <v>6</v>
          </cell>
          <cell r="J16">
            <v>6</v>
          </cell>
          <cell r="L16">
            <v>1</v>
          </cell>
        </row>
        <row r="17">
          <cell r="A17" t="str">
            <v>FPL</v>
          </cell>
          <cell r="B17" t="str">
            <v>FPL</v>
          </cell>
          <cell r="C17" t="str">
            <v>FPL GROUP</v>
          </cell>
          <cell r="D17">
            <v>19881215</v>
          </cell>
          <cell r="E17" t="str">
            <v>EPS</v>
          </cell>
          <cell r="F17" t="str">
            <v>LTG</v>
          </cell>
          <cell r="G17">
            <v>0</v>
          </cell>
          <cell r="H17">
            <v>14</v>
          </cell>
          <cell r="I17">
            <v>4.9000000000000004</v>
          </cell>
          <cell r="J17">
            <v>5.01</v>
          </cell>
          <cell r="K17">
            <v>1.1599999999999999</v>
          </cell>
          <cell r="L17">
            <v>1</v>
          </cell>
        </row>
        <row r="18">
          <cell r="A18" t="str">
            <v>HE</v>
          </cell>
          <cell r="B18" t="str">
            <v>HE</v>
          </cell>
          <cell r="C18" t="str">
            <v>HAWAIIAN ELEC</v>
          </cell>
          <cell r="D18">
            <v>19881215</v>
          </cell>
          <cell r="E18" t="str">
            <v>EPS</v>
          </cell>
          <cell r="F18" t="str">
            <v>LTG</v>
          </cell>
          <cell r="G18">
            <v>0</v>
          </cell>
          <cell r="H18">
            <v>5</v>
          </cell>
          <cell r="I18">
            <v>4.3</v>
          </cell>
          <cell r="J18">
            <v>4.16</v>
          </cell>
          <cell r="K18">
            <v>0.74</v>
          </cell>
          <cell r="L18">
            <v>1</v>
          </cell>
        </row>
        <row r="19">
          <cell r="A19" t="str">
            <v>IDA</v>
          </cell>
          <cell r="B19" t="str">
            <v>IDA</v>
          </cell>
          <cell r="C19" t="str">
            <v>IDAHO POWER CO</v>
          </cell>
          <cell r="D19">
            <v>19881215</v>
          </cell>
          <cell r="E19" t="str">
            <v>EPS</v>
          </cell>
          <cell r="F19" t="str">
            <v>LTG</v>
          </cell>
          <cell r="G19">
            <v>0</v>
          </cell>
          <cell r="H19">
            <v>7</v>
          </cell>
          <cell r="I19">
            <v>4.5</v>
          </cell>
          <cell r="J19">
            <v>5.61</v>
          </cell>
          <cell r="K19">
            <v>3.47</v>
          </cell>
          <cell r="L19">
            <v>1</v>
          </cell>
        </row>
        <row r="20">
          <cell r="A20" t="str">
            <v>NU</v>
          </cell>
          <cell r="B20" t="str">
            <v>NU</v>
          </cell>
          <cell r="C20" t="str">
            <v>NORTHEAST UTILS</v>
          </cell>
          <cell r="D20">
            <v>19881215</v>
          </cell>
          <cell r="E20" t="str">
            <v>EPS</v>
          </cell>
          <cell r="F20" t="str">
            <v>LTG</v>
          </cell>
          <cell r="G20">
            <v>0</v>
          </cell>
          <cell r="H20">
            <v>10</v>
          </cell>
          <cell r="I20">
            <v>2.25</v>
          </cell>
          <cell r="J20">
            <v>3.11</v>
          </cell>
          <cell r="K20">
            <v>1.67</v>
          </cell>
          <cell r="L20">
            <v>1</v>
          </cell>
        </row>
        <row r="21">
          <cell r="A21" t="str">
            <v>NWE</v>
          </cell>
          <cell r="B21" t="str">
            <v>NWP</v>
          </cell>
          <cell r="C21" t="str">
            <v>NEW WORLD ENTRTN</v>
          </cell>
          <cell r="D21">
            <v>19881215</v>
          </cell>
          <cell r="E21" t="str">
            <v>EPS</v>
          </cell>
          <cell r="F21" t="str">
            <v>LTG</v>
          </cell>
          <cell r="G21">
            <v>0</v>
          </cell>
          <cell r="H21">
            <v>1</v>
          </cell>
          <cell r="I21">
            <v>12</v>
          </cell>
          <cell r="J21">
            <v>12</v>
          </cell>
          <cell r="L21">
            <v>1</v>
          </cell>
        </row>
        <row r="22">
          <cell r="A22" t="str">
            <v>OGE</v>
          </cell>
          <cell r="B22" t="str">
            <v>OGE</v>
          </cell>
          <cell r="C22" t="str">
            <v>OKLAHOMA G&amp;E</v>
          </cell>
          <cell r="D22">
            <v>19881215</v>
          </cell>
          <cell r="E22" t="str">
            <v>EPS</v>
          </cell>
          <cell r="F22" t="str">
            <v>LTG</v>
          </cell>
          <cell r="G22">
            <v>0</v>
          </cell>
          <cell r="H22">
            <v>13</v>
          </cell>
          <cell r="I22">
            <v>4</v>
          </cell>
          <cell r="J22">
            <v>4.08</v>
          </cell>
          <cell r="K22">
            <v>1.1100000000000001</v>
          </cell>
          <cell r="L22">
            <v>1</v>
          </cell>
        </row>
        <row r="23">
          <cell r="A23" t="str">
            <v>OTTR</v>
          </cell>
          <cell r="B23" t="str">
            <v>OTTR</v>
          </cell>
          <cell r="C23" t="str">
            <v>OTTER TAIL PWR</v>
          </cell>
          <cell r="D23">
            <v>19881215</v>
          </cell>
          <cell r="E23" t="str">
            <v>EPS</v>
          </cell>
          <cell r="F23" t="str">
            <v>LTG</v>
          </cell>
          <cell r="G23">
            <v>0</v>
          </cell>
          <cell r="H23">
            <v>2</v>
          </cell>
          <cell r="I23">
            <v>3</v>
          </cell>
          <cell r="J23">
            <v>3</v>
          </cell>
          <cell r="K23">
            <v>0</v>
          </cell>
          <cell r="L23">
            <v>1</v>
          </cell>
        </row>
        <row r="24">
          <cell r="A24" t="str">
            <v>PCG</v>
          </cell>
          <cell r="B24" t="str">
            <v>PCG</v>
          </cell>
          <cell r="C24" t="str">
            <v>PACIFIC G&amp;E</v>
          </cell>
          <cell r="D24">
            <v>19881215</v>
          </cell>
          <cell r="E24" t="str">
            <v>EPS</v>
          </cell>
          <cell r="F24" t="str">
            <v>LTG</v>
          </cell>
          <cell r="G24">
            <v>0</v>
          </cell>
          <cell r="H24">
            <v>12</v>
          </cell>
          <cell r="I24">
            <v>5</v>
          </cell>
          <cell r="J24">
            <v>7.08</v>
          </cell>
          <cell r="K24">
            <v>5.15</v>
          </cell>
          <cell r="L24">
            <v>1</v>
          </cell>
        </row>
        <row r="25">
          <cell r="A25" t="str">
            <v>PEG</v>
          </cell>
          <cell r="B25" t="str">
            <v>PEG</v>
          </cell>
          <cell r="C25" t="str">
            <v>PUB SVC ENTERS</v>
          </cell>
          <cell r="D25">
            <v>19881215</v>
          </cell>
          <cell r="E25" t="str">
            <v>EPS</v>
          </cell>
          <cell r="F25" t="str">
            <v>LTG</v>
          </cell>
          <cell r="G25">
            <v>0</v>
          </cell>
          <cell r="H25">
            <v>13</v>
          </cell>
          <cell r="I25">
            <v>3</v>
          </cell>
          <cell r="J25">
            <v>3.65</v>
          </cell>
          <cell r="K25">
            <v>1.21</v>
          </cell>
          <cell r="L25">
            <v>1</v>
          </cell>
        </row>
        <row r="26">
          <cell r="A26" t="str">
            <v>PGN</v>
          </cell>
          <cell r="B26" t="str">
            <v>PGN</v>
          </cell>
          <cell r="C26" t="str">
            <v>PORTLAND GEN CP</v>
          </cell>
          <cell r="D26">
            <v>19881215</v>
          </cell>
          <cell r="E26" t="str">
            <v>EPS</v>
          </cell>
          <cell r="F26" t="str">
            <v>LTG</v>
          </cell>
          <cell r="G26">
            <v>0</v>
          </cell>
          <cell r="H26">
            <v>10</v>
          </cell>
          <cell r="I26">
            <v>3.75</v>
          </cell>
          <cell r="J26">
            <v>4.4400000000000004</v>
          </cell>
          <cell r="K26">
            <v>2.6</v>
          </cell>
          <cell r="L26">
            <v>1</v>
          </cell>
        </row>
        <row r="27">
          <cell r="A27" t="str">
            <v>PNM</v>
          </cell>
          <cell r="B27" t="str">
            <v>PNM</v>
          </cell>
          <cell r="C27" t="str">
            <v>PUB SVC N MEX</v>
          </cell>
          <cell r="D27">
            <v>19881215</v>
          </cell>
          <cell r="E27" t="str">
            <v>EPS</v>
          </cell>
          <cell r="F27" t="str">
            <v>LTG</v>
          </cell>
          <cell r="G27">
            <v>0</v>
          </cell>
          <cell r="H27">
            <v>7</v>
          </cell>
          <cell r="I27">
            <v>2</v>
          </cell>
          <cell r="J27">
            <v>-0.61</v>
          </cell>
          <cell r="K27">
            <v>8.82</v>
          </cell>
          <cell r="L27">
            <v>1</v>
          </cell>
        </row>
        <row r="28">
          <cell r="A28" t="str">
            <v>POM</v>
          </cell>
          <cell r="B28" t="str">
            <v>POM</v>
          </cell>
          <cell r="C28" t="str">
            <v>POTOMAC ELEC</v>
          </cell>
          <cell r="D28">
            <v>19881215</v>
          </cell>
          <cell r="E28" t="str">
            <v>EPS</v>
          </cell>
          <cell r="F28" t="str">
            <v>LTG</v>
          </cell>
          <cell r="G28">
            <v>0</v>
          </cell>
          <cell r="H28">
            <v>12</v>
          </cell>
          <cell r="I28">
            <v>4.8</v>
          </cell>
          <cell r="J28">
            <v>4.8499999999999996</v>
          </cell>
          <cell r="K28">
            <v>1.58</v>
          </cell>
          <cell r="L28">
            <v>1</v>
          </cell>
        </row>
        <row r="29">
          <cell r="A29" t="str">
            <v>PPL</v>
          </cell>
          <cell r="B29" t="str">
            <v>PPL</v>
          </cell>
          <cell r="C29" t="str">
            <v>PENNA P&amp;L</v>
          </cell>
          <cell r="D29">
            <v>19881215</v>
          </cell>
          <cell r="E29" t="str">
            <v>EPS</v>
          </cell>
          <cell r="F29" t="str">
            <v>LTG</v>
          </cell>
          <cell r="G29">
            <v>0</v>
          </cell>
          <cell r="H29">
            <v>12</v>
          </cell>
          <cell r="I29">
            <v>4.1500000000000004</v>
          </cell>
          <cell r="J29">
            <v>4.0999999999999996</v>
          </cell>
          <cell r="K29">
            <v>1.06</v>
          </cell>
          <cell r="L29">
            <v>1</v>
          </cell>
        </row>
        <row r="30">
          <cell r="A30" t="str">
            <v>PSD</v>
          </cell>
          <cell r="B30" t="str">
            <v>PSD</v>
          </cell>
          <cell r="C30" t="str">
            <v>PUGET SOUND P&amp;L</v>
          </cell>
          <cell r="D30">
            <v>19881215</v>
          </cell>
          <cell r="E30" t="str">
            <v>EPS</v>
          </cell>
          <cell r="F30" t="str">
            <v>LTG</v>
          </cell>
          <cell r="G30">
            <v>0</v>
          </cell>
          <cell r="H30">
            <v>6</v>
          </cell>
          <cell r="I30">
            <v>3</v>
          </cell>
          <cell r="J30">
            <v>2.83</v>
          </cell>
          <cell r="K30">
            <v>2.56</v>
          </cell>
          <cell r="L30">
            <v>1</v>
          </cell>
        </row>
        <row r="31">
          <cell r="A31" t="str">
            <v>SCG</v>
          </cell>
          <cell r="B31" t="str">
            <v>SCG</v>
          </cell>
          <cell r="C31" t="str">
            <v>SCANA CP</v>
          </cell>
          <cell r="D31">
            <v>19881215</v>
          </cell>
          <cell r="E31" t="str">
            <v>EPS</v>
          </cell>
          <cell r="F31" t="str">
            <v>LTG</v>
          </cell>
          <cell r="G31">
            <v>0</v>
          </cell>
          <cell r="H31">
            <v>9</v>
          </cell>
          <cell r="I31">
            <v>4</v>
          </cell>
          <cell r="J31">
            <v>3.83</v>
          </cell>
          <cell r="K31">
            <v>1.97</v>
          </cell>
          <cell r="L31">
            <v>1</v>
          </cell>
        </row>
        <row r="32">
          <cell r="A32" t="str">
            <v>SO</v>
          </cell>
          <cell r="B32" t="str">
            <v>SO</v>
          </cell>
          <cell r="C32" t="str">
            <v>SOUTHN CO</v>
          </cell>
          <cell r="D32">
            <v>19881215</v>
          </cell>
          <cell r="E32" t="str">
            <v>EPS</v>
          </cell>
          <cell r="F32" t="str">
            <v>LTG</v>
          </cell>
          <cell r="G32">
            <v>0</v>
          </cell>
          <cell r="H32">
            <v>13</v>
          </cell>
          <cell r="I32">
            <v>3</v>
          </cell>
          <cell r="J32">
            <v>3.15</v>
          </cell>
          <cell r="K32">
            <v>1.1399999999999999</v>
          </cell>
          <cell r="L32">
            <v>1</v>
          </cell>
        </row>
        <row r="33">
          <cell r="A33" t="str">
            <v>TE</v>
          </cell>
          <cell r="B33" t="str">
            <v>TE</v>
          </cell>
          <cell r="C33" t="str">
            <v>TECO ENERGY INC</v>
          </cell>
          <cell r="D33">
            <v>19881215</v>
          </cell>
          <cell r="E33" t="str">
            <v>EPS</v>
          </cell>
          <cell r="F33" t="str">
            <v>LTG</v>
          </cell>
          <cell r="G33">
            <v>0</v>
          </cell>
          <cell r="H33">
            <v>13</v>
          </cell>
          <cell r="I33">
            <v>5</v>
          </cell>
          <cell r="J33">
            <v>5.25</v>
          </cell>
          <cell r="K33">
            <v>1.63</v>
          </cell>
          <cell r="L33">
            <v>1</v>
          </cell>
        </row>
        <row r="34">
          <cell r="A34" t="str">
            <v>UIL</v>
          </cell>
          <cell r="B34" t="str">
            <v>UIL</v>
          </cell>
          <cell r="C34" t="str">
            <v>UTD ILLUM CO</v>
          </cell>
          <cell r="D34">
            <v>19881215</v>
          </cell>
          <cell r="E34" t="str">
            <v>EPS</v>
          </cell>
          <cell r="F34" t="str">
            <v>LTG</v>
          </cell>
          <cell r="G34">
            <v>0</v>
          </cell>
          <cell r="H34">
            <v>1</v>
          </cell>
          <cell r="I34">
            <v>-14</v>
          </cell>
          <cell r="J34">
            <v>-14</v>
          </cell>
          <cell r="L34">
            <v>1</v>
          </cell>
        </row>
        <row r="35">
          <cell r="A35" t="str">
            <v>WEC</v>
          </cell>
          <cell r="B35" t="str">
            <v>WPC</v>
          </cell>
          <cell r="C35" t="str">
            <v>WISCONSIN ENERGY</v>
          </cell>
          <cell r="D35">
            <v>19881215</v>
          </cell>
          <cell r="E35" t="str">
            <v>EPS</v>
          </cell>
          <cell r="F35" t="str">
            <v>LTG</v>
          </cell>
          <cell r="G35">
            <v>0</v>
          </cell>
          <cell r="H35">
            <v>13</v>
          </cell>
          <cell r="I35">
            <v>5.5</v>
          </cell>
          <cell r="J35">
            <v>5.05</v>
          </cell>
          <cell r="K35">
            <v>1.41</v>
          </cell>
          <cell r="L35">
            <v>1</v>
          </cell>
        </row>
        <row r="36">
          <cell r="A36" t="str">
            <v>WPS</v>
          </cell>
          <cell r="B36" t="str">
            <v>WPS</v>
          </cell>
          <cell r="C36" t="str">
            <v>WISC PUB SVC</v>
          </cell>
          <cell r="D36">
            <v>19881215</v>
          </cell>
          <cell r="E36" t="str">
            <v>EPS</v>
          </cell>
          <cell r="F36" t="str">
            <v>LTG</v>
          </cell>
          <cell r="G36">
            <v>0</v>
          </cell>
          <cell r="H36">
            <v>7</v>
          </cell>
          <cell r="I36">
            <v>4</v>
          </cell>
          <cell r="J36">
            <v>4.1100000000000003</v>
          </cell>
          <cell r="K36">
            <v>1.32</v>
          </cell>
          <cell r="L36">
            <v>1</v>
          </cell>
        </row>
      </sheetData>
    </sheetDataSet>
  </externalBook>
</externalLink>
</file>

<file path=xl/externalLinks/externalLink1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5tseemude7qecs4"/>
    </sheetNames>
    <sheetDataSet>
      <sheetData sheetId="0">
        <row r="1">
          <cell r="B1" t="str">
            <v>Official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Forecast Period End Date (SAS Format)</v>
          </cell>
          <cell r="M1" t="str">
            <v>Actual Value, from the Detail Actuals File</v>
          </cell>
          <cell r="N1" t="str">
            <v>Announce date of the Actual, from the Detail Actuals File</v>
          </cell>
        </row>
        <row r="2">
          <cell r="B2" t="str">
            <v>ATG</v>
          </cell>
          <cell r="C2" t="str">
            <v>ATLANTA GAS LT</v>
          </cell>
          <cell r="D2">
            <v>32492</v>
          </cell>
          <cell r="E2" t="str">
            <v>EPS</v>
          </cell>
          <cell r="F2" t="str">
            <v>ANN</v>
          </cell>
          <cell r="G2" t="str">
            <v>1</v>
          </cell>
          <cell r="H2">
            <v>12</v>
          </cell>
          <cell r="I2">
            <v>1.24</v>
          </cell>
          <cell r="J2">
            <v>1.25</v>
          </cell>
          <cell r="K2">
            <v>0.05</v>
          </cell>
          <cell r="L2">
            <v>32781</v>
          </cell>
          <cell r="M2">
            <v>0.95499999999999996</v>
          </cell>
          <cell r="N2">
            <v>32818</v>
          </cell>
        </row>
        <row r="3">
          <cell r="B3" t="str">
            <v>ATO</v>
          </cell>
          <cell r="C3" t="str">
            <v>ATMOS ENERGY CP</v>
          </cell>
          <cell r="D3">
            <v>32492</v>
          </cell>
          <cell r="E3" t="str">
            <v>EPS</v>
          </cell>
          <cell r="F3" t="str">
            <v>ANN</v>
          </cell>
          <cell r="G3" t="str">
            <v>1</v>
          </cell>
          <cell r="H3">
            <v>2</v>
          </cell>
          <cell r="I3">
            <v>1.08</v>
          </cell>
          <cell r="J3">
            <v>1.08</v>
          </cell>
          <cell r="K3">
            <v>0.11</v>
          </cell>
          <cell r="L3">
            <v>32781</v>
          </cell>
          <cell r="M3">
            <v>0.57779999999999998</v>
          </cell>
          <cell r="N3">
            <v>32821</v>
          </cell>
        </row>
        <row r="4">
          <cell r="B4" t="str">
            <v>GAS</v>
          </cell>
          <cell r="C4" t="str">
            <v>NICOR INC</v>
          </cell>
          <cell r="D4">
            <v>32492</v>
          </cell>
          <cell r="E4" t="str">
            <v>EPS</v>
          </cell>
          <cell r="F4" t="str">
            <v>ANN</v>
          </cell>
          <cell r="G4" t="str">
            <v>1</v>
          </cell>
          <cell r="H4">
            <v>12</v>
          </cell>
          <cell r="I4">
            <v>1.72</v>
          </cell>
          <cell r="J4">
            <v>1.7</v>
          </cell>
          <cell r="K4">
            <v>7.0000000000000007E-2</v>
          </cell>
          <cell r="L4">
            <v>32508</v>
          </cell>
          <cell r="M4">
            <v>1.7450000000000001</v>
          </cell>
          <cell r="N4">
            <v>32539</v>
          </cell>
        </row>
        <row r="5">
          <cell r="B5" t="str">
            <v>LG</v>
          </cell>
          <cell r="C5" t="str">
            <v>LACLEDE GAS</v>
          </cell>
          <cell r="D5">
            <v>32492</v>
          </cell>
          <cell r="E5" t="str">
            <v>EPS</v>
          </cell>
          <cell r="F5" t="str">
            <v>ANN</v>
          </cell>
          <cell r="G5" t="str">
            <v>1</v>
          </cell>
          <cell r="H5">
            <v>1</v>
          </cell>
          <cell r="I5">
            <v>1.65</v>
          </cell>
          <cell r="J5">
            <v>1.65</v>
          </cell>
          <cell r="L5">
            <v>32781</v>
          </cell>
          <cell r="M5">
            <v>1.45</v>
          </cell>
          <cell r="N5">
            <v>32833</v>
          </cell>
        </row>
        <row r="6">
          <cell r="B6" t="str">
            <v>NI</v>
          </cell>
          <cell r="C6" t="str">
            <v>NIPSCO IND INC</v>
          </cell>
          <cell r="D6">
            <v>32492</v>
          </cell>
          <cell r="E6" t="str">
            <v>EPS</v>
          </cell>
          <cell r="F6" t="str">
            <v>ANN</v>
          </cell>
          <cell r="G6" t="str">
            <v>1</v>
          </cell>
          <cell r="H6">
            <v>24</v>
          </cell>
          <cell r="I6">
            <v>0.61</v>
          </cell>
          <cell r="J6">
            <v>0.61</v>
          </cell>
          <cell r="K6">
            <v>0.05</v>
          </cell>
          <cell r="L6">
            <v>32508</v>
          </cell>
          <cell r="M6">
            <v>0.69499999999999995</v>
          </cell>
          <cell r="N6">
            <v>32541</v>
          </cell>
        </row>
        <row r="7">
          <cell r="B7" t="str">
            <v>NJR</v>
          </cell>
          <cell r="C7" t="str">
            <v>NEW JERSEY RES</v>
          </cell>
          <cell r="D7">
            <v>32492</v>
          </cell>
          <cell r="E7" t="str">
            <v>EPS</v>
          </cell>
          <cell r="F7" t="str">
            <v>ANN</v>
          </cell>
          <cell r="G7" t="str">
            <v>1</v>
          </cell>
          <cell r="H7">
            <v>5</v>
          </cell>
          <cell r="I7">
            <v>0.38</v>
          </cell>
          <cell r="J7">
            <v>0.37</v>
          </cell>
          <cell r="K7">
            <v>0.03</v>
          </cell>
          <cell r="L7">
            <v>32781</v>
          </cell>
          <cell r="M7">
            <v>0.33329999999999999</v>
          </cell>
          <cell r="N7">
            <v>32812</v>
          </cell>
        </row>
        <row r="8">
          <cell r="B8" t="str">
            <v>PNY</v>
          </cell>
          <cell r="C8" t="str">
            <v>PIEDMONT NAT GAS</v>
          </cell>
          <cell r="D8">
            <v>32492</v>
          </cell>
          <cell r="E8" t="str">
            <v>EPS</v>
          </cell>
          <cell r="F8" t="str">
            <v>ANN</v>
          </cell>
          <cell r="G8" t="str">
            <v>1</v>
          </cell>
          <cell r="H8">
            <v>5</v>
          </cell>
          <cell r="I8">
            <v>0.65</v>
          </cell>
          <cell r="J8">
            <v>0.67</v>
          </cell>
          <cell r="K8">
            <v>0.05</v>
          </cell>
          <cell r="L8">
            <v>32812</v>
          </cell>
          <cell r="M8">
            <v>0.60499999999999998</v>
          </cell>
          <cell r="N8">
            <v>32843</v>
          </cell>
        </row>
        <row r="9">
          <cell r="B9" t="str">
            <v>SJI</v>
          </cell>
          <cell r="C9" t="str">
            <v>SO JERSEY INDS</v>
          </cell>
          <cell r="D9">
            <v>32492</v>
          </cell>
          <cell r="E9" t="str">
            <v>EPS</v>
          </cell>
          <cell r="F9" t="str">
            <v>ANN</v>
          </cell>
          <cell r="G9" t="str">
            <v>1</v>
          </cell>
          <cell r="H9">
            <v>1</v>
          </cell>
          <cell r="I9">
            <v>0.45</v>
          </cell>
          <cell r="J9">
            <v>0.45</v>
          </cell>
          <cell r="L9">
            <v>32508</v>
          </cell>
          <cell r="M9">
            <v>0.47299999999999998</v>
          </cell>
          <cell r="N9">
            <v>32532</v>
          </cell>
        </row>
        <row r="10">
          <cell r="B10" t="str">
            <v>SWX</v>
          </cell>
          <cell r="C10" t="str">
            <v>SOUTHWEST GAS</v>
          </cell>
          <cell r="D10">
            <v>32492</v>
          </cell>
          <cell r="E10" t="str">
            <v>EPS</v>
          </cell>
          <cell r="F10" t="str">
            <v>ANN</v>
          </cell>
          <cell r="G10" t="str">
            <v>1</v>
          </cell>
          <cell r="H10">
            <v>6</v>
          </cell>
          <cell r="I10">
            <v>2.2999999999999998</v>
          </cell>
          <cell r="J10">
            <v>2.27</v>
          </cell>
          <cell r="K10">
            <v>0.1</v>
          </cell>
          <cell r="L10">
            <v>32508</v>
          </cell>
          <cell r="M10">
            <v>2.0699999999999998</v>
          </cell>
          <cell r="N10">
            <v>32554</v>
          </cell>
        </row>
        <row r="11">
          <cell r="B11" t="str">
            <v>WGL</v>
          </cell>
          <cell r="C11" t="str">
            <v>WASH GAS LT</v>
          </cell>
          <cell r="D11">
            <v>32492</v>
          </cell>
          <cell r="E11" t="str">
            <v>EPS</v>
          </cell>
          <cell r="F11" t="str">
            <v>ANN</v>
          </cell>
          <cell r="G11" t="str">
            <v>1</v>
          </cell>
          <cell r="H11">
            <v>13</v>
          </cell>
          <cell r="I11">
            <v>1.17</v>
          </cell>
          <cell r="J11">
            <v>1.18</v>
          </cell>
          <cell r="K11">
            <v>0.02</v>
          </cell>
          <cell r="L11">
            <v>32508</v>
          </cell>
          <cell r="M11">
            <v>1.2450000000000001</v>
          </cell>
          <cell r="N11">
            <v>32534</v>
          </cell>
        </row>
        <row r="12">
          <cell r="B12" t="str">
            <v>CGC</v>
          </cell>
          <cell r="C12" t="str">
            <v>CASCADE NAT GAS</v>
          </cell>
          <cell r="D12">
            <v>32464</v>
          </cell>
          <cell r="E12" t="str">
            <v>EPS</v>
          </cell>
          <cell r="F12" t="str">
            <v>ANN</v>
          </cell>
          <cell r="G12" t="str">
            <v>1</v>
          </cell>
          <cell r="H12"/>
          <cell r="I12"/>
          <cell r="J12"/>
          <cell r="L12">
            <v>32508</v>
          </cell>
          <cell r="M12">
            <v>0.84</v>
          </cell>
          <cell r="N12">
            <v>32548</v>
          </cell>
        </row>
      </sheetData>
    </sheetDataSet>
  </externalBook>
</externalLink>
</file>

<file path=xl/externalLinks/externalLink1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wet27bvkgarns7c"/>
    </sheetNames>
    <sheetDataSet>
      <sheetData sheetId="0">
        <row r="1">
          <cell r="B1" t="str">
            <v>Official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Forecast Period End Date (SAS Format)</v>
          </cell>
          <cell r="M1" t="str">
            <v>Actual Value, from the Detail Actuals File</v>
          </cell>
          <cell r="N1" t="str">
            <v>Announce date of the Actual, from the Detail Actuals File</v>
          </cell>
        </row>
        <row r="2">
          <cell r="B2" t="str">
            <v>ATG</v>
          </cell>
          <cell r="C2" t="str">
            <v>ATLANTA GAS LT</v>
          </cell>
          <cell r="D2">
            <v>32492</v>
          </cell>
          <cell r="E2" t="str">
            <v>EPS</v>
          </cell>
          <cell r="F2" t="str">
            <v>LTG</v>
          </cell>
          <cell r="G2" t="str">
            <v>0</v>
          </cell>
          <cell r="H2">
            <v>8</v>
          </cell>
          <cell r="I2">
            <v>6.5</v>
          </cell>
          <cell r="J2">
            <v>6.84</v>
          </cell>
          <cell r="K2">
            <v>2</v>
          </cell>
        </row>
        <row r="3">
          <cell r="B3" t="str">
            <v>ATO</v>
          </cell>
          <cell r="C3" t="str">
            <v>ATMOS ENERGY CP</v>
          </cell>
          <cell r="D3">
            <v>32492</v>
          </cell>
          <cell r="E3" t="str">
            <v>EPS</v>
          </cell>
          <cell r="F3" t="str">
            <v>LTG</v>
          </cell>
          <cell r="G3" t="str">
            <v>0</v>
          </cell>
          <cell r="H3">
            <v>1</v>
          </cell>
          <cell r="I3">
            <v>5</v>
          </cell>
          <cell r="J3">
            <v>5</v>
          </cell>
        </row>
        <row r="4">
          <cell r="B4" t="str">
            <v>GAS</v>
          </cell>
          <cell r="C4" t="str">
            <v>NICOR INC</v>
          </cell>
          <cell r="D4">
            <v>32492</v>
          </cell>
          <cell r="E4" t="str">
            <v>EPS</v>
          </cell>
          <cell r="F4" t="str">
            <v>LTG</v>
          </cell>
          <cell r="G4" t="str">
            <v>0</v>
          </cell>
          <cell r="H4">
            <v>8</v>
          </cell>
          <cell r="I4">
            <v>6</v>
          </cell>
          <cell r="J4">
            <v>6.06</v>
          </cell>
          <cell r="K4">
            <v>1.57</v>
          </cell>
        </row>
        <row r="5">
          <cell r="B5" t="str">
            <v>LG</v>
          </cell>
          <cell r="C5" t="str">
            <v>LACLEDE GAS</v>
          </cell>
          <cell r="D5">
            <v>32492</v>
          </cell>
          <cell r="E5" t="str">
            <v>EPS</v>
          </cell>
          <cell r="F5" t="str">
            <v>LTG</v>
          </cell>
          <cell r="G5" t="str">
            <v>0</v>
          </cell>
          <cell r="H5">
            <v>1</v>
          </cell>
          <cell r="I5">
            <v>5</v>
          </cell>
          <cell r="J5">
            <v>5</v>
          </cell>
        </row>
        <row r="6">
          <cell r="B6" t="str">
            <v>NI</v>
          </cell>
          <cell r="C6" t="str">
            <v>NIPSCO IND INC</v>
          </cell>
          <cell r="D6">
            <v>32492</v>
          </cell>
          <cell r="E6" t="str">
            <v>EPS</v>
          </cell>
          <cell r="F6" t="str">
            <v>LTG</v>
          </cell>
          <cell r="G6" t="str">
            <v>0</v>
          </cell>
          <cell r="H6">
            <v>10</v>
          </cell>
          <cell r="I6">
            <v>4.25</v>
          </cell>
          <cell r="J6">
            <v>8.42</v>
          </cell>
          <cell r="K6">
            <v>9.4700000000000006</v>
          </cell>
        </row>
        <row r="7">
          <cell r="B7" t="str">
            <v>NJR</v>
          </cell>
          <cell r="C7" t="str">
            <v>NEW JERSEY RES</v>
          </cell>
          <cell r="D7">
            <v>32492</v>
          </cell>
          <cell r="E7" t="str">
            <v>EPS</v>
          </cell>
          <cell r="F7" t="str">
            <v>LTG</v>
          </cell>
          <cell r="G7" t="str">
            <v>0</v>
          </cell>
          <cell r="H7">
            <v>4</v>
          </cell>
          <cell r="I7">
            <v>7.5</v>
          </cell>
          <cell r="J7">
            <v>7</v>
          </cell>
          <cell r="K7">
            <v>1.41</v>
          </cell>
        </row>
        <row r="8">
          <cell r="B8" t="str">
            <v>PNY</v>
          </cell>
          <cell r="C8" t="str">
            <v>PIEDMONT NAT GAS</v>
          </cell>
          <cell r="D8">
            <v>32492</v>
          </cell>
          <cell r="E8" t="str">
            <v>EPS</v>
          </cell>
          <cell r="F8" t="str">
            <v>LTG</v>
          </cell>
          <cell r="G8" t="str">
            <v>0</v>
          </cell>
          <cell r="H8">
            <v>2</v>
          </cell>
          <cell r="I8">
            <v>9.0500000000000007</v>
          </cell>
          <cell r="J8">
            <v>9.0500000000000007</v>
          </cell>
          <cell r="K8">
            <v>4.17</v>
          </cell>
        </row>
        <row r="9">
          <cell r="B9" t="str">
            <v>SJI</v>
          </cell>
          <cell r="C9" t="str">
            <v>SO JERSEY INDS</v>
          </cell>
          <cell r="D9">
            <v>32492</v>
          </cell>
          <cell r="E9" t="str">
            <v>EPS</v>
          </cell>
          <cell r="F9" t="str">
            <v>LTG</v>
          </cell>
          <cell r="G9" t="str">
            <v>0</v>
          </cell>
          <cell r="H9">
            <v>1</v>
          </cell>
          <cell r="I9">
            <v>4</v>
          </cell>
          <cell r="J9">
            <v>4</v>
          </cell>
        </row>
        <row r="10">
          <cell r="B10" t="str">
            <v>SWX</v>
          </cell>
          <cell r="C10" t="str">
            <v>SOUTHWEST GAS</v>
          </cell>
          <cell r="D10">
            <v>32492</v>
          </cell>
          <cell r="E10" t="str">
            <v>EPS</v>
          </cell>
          <cell r="F10" t="str">
            <v>LTG</v>
          </cell>
          <cell r="G10" t="str">
            <v>0</v>
          </cell>
          <cell r="H10">
            <v>3</v>
          </cell>
          <cell r="I10">
            <v>10</v>
          </cell>
          <cell r="J10">
            <v>8.33</v>
          </cell>
          <cell r="K10">
            <v>3.79</v>
          </cell>
        </row>
        <row r="11">
          <cell r="B11" t="str">
            <v>WGL</v>
          </cell>
          <cell r="C11" t="str">
            <v>WASH GAS LT</v>
          </cell>
          <cell r="D11">
            <v>32492</v>
          </cell>
          <cell r="E11" t="str">
            <v>EPS</v>
          </cell>
          <cell r="F11" t="str">
            <v>LTG</v>
          </cell>
          <cell r="G11" t="str">
            <v>0</v>
          </cell>
          <cell r="H11">
            <v>6</v>
          </cell>
          <cell r="I11">
            <v>5.75</v>
          </cell>
          <cell r="J11">
            <v>5.75</v>
          </cell>
          <cell r="K11">
            <v>1.61</v>
          </cell>
        </row>
      </sheetData>
    </sheetDataSet>
  </externalBook>
</externalLink>
</file>

<file path=xl/externalLinks/externalLink1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RDS"/>
    </sheetNames>
    <sheetDataSet>
      <sheetData sheetId="0">
        <row r="1">
          <cell r="A1" t="str">
            <v>OFTIC</v>
          </cell>
          <cell r="B1" t="str">
            <v>IBES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USFIRM=0 if from .INT file and USFIRM=1 if from .US file</v>
          </cell>
          <cell r="L1" t="str">
            <v>Forecast Period End Date (SAS Format)</v>
          </cell>
          <cell r="M1" t="str">
            <v>Actual Value, from the Detail Actuals File</v>
          </cell>
          <cell r="N1" t="str">
            <v>Announce date of the Actual, from the Detail Actuals File</v>
          </cell>
        </row>
        <row r="2">
          <cell r="A2" t="str">
            <v>AVA</v>
          </cell>
          <cell r="B2" t="str">
            <v>AVDO</v>
          </cell>
          <cell r="C2" t="str">
            <v>AUDIO VIDEO AFFI</v>
          </cell>
          <cell r="D2">
            <v>19871217</v>
          </cell>
          <cell r="E2" t="str">
            <v>EPS</v>
          </cell>
          <cell r="F2" t="str">
            <v>ANN</v>
          </cell>
          <cell r="G2">
            <v>1</v>
          </cell>
          <cell r="H2">
            <v>9</v>
          </cell>
          <cell r="I2">
            <v>0.18</v>
          </cell>
          <cell r="J2">
            <v>0.18</v>
          </cell>
          <cell r="K2">
            <v>1</v>
          </cell>
          <cell r="L2">
            <v>19880131</v>
          </cell>
          <cell r="M2">
            <v>0.11559999999999999</v>
          </cell>
          <cell r="N2">
            <v>19880330</v>
          </cell>
        </row>
        <row r="3">
          <cell r="A3" t="str">
            <v>PNW</v>
          </cell>
          <cell r="B3" t="str">
            <v>AZP</v>
          </cell>
          <cell r="C3" t="str">
            <v>PINNACLE WST CAP</v>
          </cell>
          <cell r="D3">
            <v>19871217</v>
          </cell>
          <cell r="E3" t="str">
            <v>EPS</v>
          </cell>
          <cell r="F3" t="str">
            <v>ANN</v>
          </cell>
          <cell r="G3">
            <v>1</v>
          </cell>
          <cell r="H3">
            <v>22</v>
          </cell>
          <cell r="I3">
            <v>3.3</v>
          </cell>
          <cell r="J3">
            <v>3.29</v>
          </cell>
          <cell r="K3">
            <v>1</v>
          </cell>
          <cell r="L3">
            <v>19871231</v>
          </cell>
          <cell r="M3">
            <v>3.21</v>
          </cell>
          <cell r="N3">
            <v>19880123</v>
          </cell>
        </row>
        <row r="4">
          <cell r="A4" t="str">
            <v>BKH</v>
          </cell>
          <cell r="B4" t="str">
            <v>BHP</v>
          </cell>
          <cell r="C4" t="str">
            <v>BLACK HILLS CORP</v>
          </cell>
          <cell r="D4">
            <v>19871217</v>
          </cell>
          <cell r="E4" t="str">
            <v>EPS</v>
          </cell>
          <cell r="F4" t="str">
            <v>ANN</v>
          </cell>
          <cell r="G4">
            <v>1</v>
          </cell>
          <cell r="H4">
            <v>5</v>
          </cell>
          <cell r="I4">
            <v>0.89</v>
          </cell>
          <cell r="J4">
            <v>0.88</v>
          </cell>
          <cell r="K4">
            <v>1</v>
          </cell>
          <cell r="L4">
            <v>19871231</v>
          </cell>
          <cell r="M4">
            <v>0.9647</v>
          </cell>
          <cell r="N4">
            <v>19880130</v>
          </cell>
        </row>
        <row r="5">
          <cell r="A5" t="str">
            <v>CIN</v>
          </cell>
          <cell r="B5" t="str">
            <v>CIN</v>
          </cell>
          <cell r="C5" t="str">
            <v>CINN GAS &amp; EL</v>
          </cell>
          <cell r="D5">
            <v>19871217</v>
          </cell>
          <cell r="E5" t="str">
            <v>EPS</v>
          </cell>
          <cell r="F5" t="str">
            <v>ANN</v>
          </cell>
          <cell r="G5">
            <v>1</v>
          </cell>
          <cell r="H5">
            <v>21</v>
          </cell>
          <cell r="I5">
            <v>2.63</v>
          </cell>
          <cell r="J5">
            <v>2.62</v>
          </cell>
          <cell r="K5">
            <v>1</v>
          </cell>
          <cell r="L5">
            <v>19871231</v>
          </cell>
          <cell r="M5">
            <v>1.4730000000000001</v>
          </cell>
          <cell r="N5">
            <v>19880128</v>
          </cell>
        </row>
        <row r="6">
          <cell r="A6" t="str">
            <v>CMS</v>
          </cell>
          <cell r="B6" t="str">
            <v>CMS</v>
          </cell>
          <cell r="C6" t="str">
            <v>CMS ENERGY CORP</v>
          </cell>
          <cell r="D6">
            <v>19871217</v>
          </cell>
          <cell r="E6" t="str">
            <v>EPS</v>
          </cell>
          <cell r="F6" t="str">
            <v>ANN</v>
          </cell>
          <cell r="G6">
            <v>1</v>
          </cell>
          <cell r="H6">
            <v>23</v>
          </cell>
          <cell r="I6">
            <v>1.9</v>
          </cell>
          <cell r="J6">
            <v>1.85</v>
          </cell>
          <cell r="K6">
            <v>1</v>
          </cell>
          <cell r="L6">
            <v>19871231</v>
          </cell>
          <cell r="M6">
            <v>2.19</v>
          </cell>
          <cell r="N6">
            <v>19880205</v>
          </cell>
        </row>
        <row r="7">
          <cell r="A7" t="str">
            <v>CNL</v>
          </cell>
          <cell r="B7" t="str">
            <v>CNL</v>
          </cell>
          <cell r="C7" t="str">
            <v>CENT LA ELEC INC</v>
          </cell>
          <cell r="D7">
            <v>19871217</v>
          </cell>
          <cell r="E7" t="str">
            <v>EPS</v>
          </cell>
          <cell r="F7" t="str">
            <v>ANN</v>
          </cell>
          <cell r="G7">
            <v>1</v>
          </cell>
          <cell r="H7">
            <v>4</v>
          </cell>
          <cell r="I7">
            <v>0.88</v>
          </cell>
          <cell r="J7">
            <v>0.89</v>
          </cell>
          <cell r="K7">
            <v>1</v>
          </cell>
          <cell r="L7">
            <v>19871231</v>
          </cell>
          <cell r="M7">
            <v>0.88</v>
          </cell>
          <cell r="N7">
            <v>19880204</v>
          </cell>
        </row>
        <row r="8">
          <cell r="A8" t="str">
            <v>CNP</v>
          </cell>
          <cell r="B8" t="str">
            <v>CNP</v>
          </cell>
          <cell r="C8" t="str">
            <v>CROWN CENT PETE</v>
          </cell>
          <cell r="D8">
            <v>19871217</v>
          </cell>
          <cell r="E8" t="str">
            <v>EPS</v>
          </cell>
          <cell r="F8" t="str">
            <v>ANN</v>
          </cell>
          <cell r="G8">
            <v>1</v>
          </cell>
          <cell r="H8">
            <v>2</v>
          </cell>
          <cell r="I8">
            <v>-1.1499999999999999</v>
          </cell>
          <cell r="J8">
            <v>-1.1499999999999999</v>
          </cell>
          <cell r="K8">
            <v>1</v>
          </cell>
          <cell r="L8">
            <v>19871231</v>
          </cell>
          <cell r="M8">
            <v>-5.0599999999999996</v>
          </cell>
        </row>
        <row r="9">
          <cell r="A9" t="str">
            <v>CV</v>
          </cell>
          <cell r="B9" t="str">
            <v>CV</v>
          </cell>
          <cell r="C9" t="str">
            <v>CNTRL VT PUB SVC</v>
          </cell>
          <cell r="D9">
            <v>19871217</v>
          </cell>
          <cell r="E9" t="str">
            <v>EPS</v>
          </cell>
          <cell r="F9" t="str">
            <v>ANN</v>
          </cell>
          <cell r="G9">
            <v>1</v>
          </cell>
          <cell r="H9">
            <v>2</v>
          </cell>
          <cell r="I9">
            <v>1.63</v>
          </cell>
          <cell r="J9">
            <v>1.63</v>
          </cell>
          <cell r="K9">
            <v>1</v>
          </cell>
          <cell r="L9">
            <v>19871231</v>
          </cell>
          <cell r="M9">
            <v>1.6467000000000001</v>
          </cell>
        </row>
        <row r="10">
          <cell r="A10" t="str">
            <v>D</v>
          </cell>
          <cell r="B10" t="str">
            <v>D</v>
          </cell>
          <cell r="C10" t="str">
            <v>DOMINION RES INC</v>
          </cell>
          <cell r="D10">
            <v>19871217</v>
          </cell>
          <cell r="E10" t="str">
            <v>EPS</v>
          </cell>
          <cell r="F10" t="str">
            <v>ANN</v>
          </cell>
          <cell r="G10">
            <v>1</v>
          </cell>
          <cell r="H10">
            <v>29</v>
          </cell>
          <cell r="I10">
            <v>1.48</v>
          </cell>
          <cell r="J10">
            <v>1.46</v>
          </cell>
          <cell r="K10">
            <v>1</v>
          </cell>
          <cell r="L10">
            <v>19871231</v>
          </cell>
          <cell r="M10">
            <v>1.5035000000000001</v>
          </cell>
          <cell r="N10">
            <v>19880126</v>
          </cell>
        </row>
        <row r="11">
          <cell r="A11" t="str">
            <v>DPL</v>
          </cell>
          <cell r="B11" t="str">
            <v>DPL</v>
          </cell>
          <cell r="C11" t="str">
            <v>DPL INC</v>
          </cell>
          <cell r="D11">
            <v>19871217</v>
          </cell>
          <cell r="E11" t="str">
            <v>EPS</v>
          </cell>
          <cell r="F11" t="str">
            <v>ANN</v>
          </cell>
          <cell r="G11">
            <v>1</v>
          </cell>
          <cell r="H11">
            <v>16</v>
          </cell>
          <cell r="I11">
            <v>0.96</v>
          </cell>
          <cell r="J11">
            <v>0.96</v>
          </cell>
          <cell r="K11">
            <v>1</v>
          </cell>
          <cell r="L11">
            <v>19871231</v>
          </cell>
          <cell r="M11">
            <v>0.77</v>
          </cell>
          <cell r="N11">
            <v>19880120</v>
          </cell>
        </row>
        <row r="12">
          <cell r="A12" t="str">
            <v>DTE</v>
          </cell>
          <cell r="B12" t="str">
            <v>DTE</v>
          </cell>
          <cell r="C12" t="str">
            <v>DETROIT EDISON</v>
          </cell>
          <cell r="D12">
            <v>19871217</v>
          </cell>
          <cell r="E12" t="str">
            <v>EPS</v>
          </cell>
          <cell r="F12" t="str">
            <v>ANN</v>
          </cell>
          <cell r="G12">
            <v>1</v>
          </cell>
          <cell r="H12">
            <v>20</v>
          </cell>
          <cell r="I12">
            <v>3.17</v>
          </cell>
          <cell r="J12">
            <v>3</v>
          </cell>
          <cell r="K12">
            <v>1</v>
          </cell>
          <cell r="L12">
            <v>19871231</v>
          </cell>
          <cell r="M12">
            <v>3.25</v>
          </cell>
          <cell r="N12">
            <v>19880129</v>
          </cell>
        </row>
        <row r="13">
          <cell r="A13" t="str">
            <v>DUK</v>
          </cell>
          <cell r="B13" t="str">
            <v>DUK</v>
          </cell>
          <cell r="C13" t="str">
            <v>DUKE POWER CO</v>
          </cell>
          <cell r="D13">
            <v>19871217</v>
          </cell>
          <cell r="E13" t="str">
            <v>EPS</v>
          </cell>
          <cell r="F13" t="str">
            <v>ANN</v>
          </cell>
          <cell r="G13">
            <v>1</v>
          </cell>
          <cell r="H13">
            <v>27</v>
          </cell>
          <cell r="I13">
            <v>3.26</v>
          </cell>
          <cell r="J13">
            <v>3.25</v>
          </cell>
          <cell r="K13">
            <v>1</v>
          </cell>
          <cell r="L13">
            <v>19871231</v>
          </cell>
          <cell r="M13">
            <v>3.3</v>
          </cell>
          <cell r="N13">
            <v>19880127</v>
          </cell>
        </row>
        <row r="14">
          <cell r="A14" t="str">
            <v>ED</v>
          </cell>
          <cell r="B14" t="str">
            <v>ED</v>
          </cell>
          <cell r="C14" t="str">
            <v>CONSOL EDISON</v>
          </cell>
          <cell r="D14">
            <v>19871217</v>
          </cell>
          <cell r="E14" t="str">
            <v>EPS</v>
          </cell>
          <cell r="F14" t="str">
            <v>ANN</v>
          </cell>
          <cell r="G14">
            <v>1</v>
          </cell>
          <cell r="H14">
            <v>23</v>
          </cell>
          <cell r="I14">
            <v>2.25</v>
          </cell>
          <cell r="J14">
            <v>2.23</v>
          </cell>
          <cell r="K14">
            <v>1</v>
          </cell>
          <cell r="L14">
            <v>19871231</v>
          </cell>
          <cell r="M14">
            <v>2.21</v>
          </cell>
          <cell r="N14">
            <v>19880129</v>
          </cell>
        </row>
        <row r="15">
          <cell r="A15" t="str">
            <v>EDE</v>
          </cell>
          <cell r="B15" t="str">
            <v>EDE</v>
          </cell>
          <cell r="C15" t="str">
            <v>EMPIRE DIST ELEC</v>
          </cell>
          <cell r="D15">
            <v>19871217</v>
          </cell>
          <cell r="E15" t="str">
            <v>EPS</v>
          </cell>
          <cell r="F15" t="str">
            <v>ANN</v>
          </cell>
          <cell r="G15">
            <v>1</v>
          </cell>
          <cell r="H15">
            <v>2</v>
          </cell>
          <cell r="I15">
            <v>1.59</v>
          </cell>
          <cell r="J15">
            <v>1.59</v>
          </cell>
          <cell r="K15">
            <v>1</v>
          </cell>
          <cell r="L15">
            <v>19871231</v>
          </cell>
          <cell r="M15">
            <v>1.4750000000000001</v>
          </cell>
          <cell r="N15">
            <v>19880202</v>
          </cell>
        </row>
        <row r="16">
          <cell r="A16" t="str">
            <v>EXC</v>
          </cell>
          <cell r="B16" t="str">
            <v>EXC</v>
          </cell>
          <cell r="C16" t="str">
            <v>EXCEL INDS INC</v>
          </cell>
          <cell r="D16">
            <v>19871217</v>
          </cell>
          <cell r="E16" t="str">
            <v>EPS</v>
          </cell>
          <cell r="F16" t="str">
            <v>ANN</v>
          </cell>
          <cell r="G16">
            <v>1</v>
          </cell>
          <cell r="H16">
            <v>3</v>
          </cell>
          <cell r="I16">
            <v>0.77</v>
          </cell>
          <cell r="J16">
            <v>0.79</v>
          </cell>
          <cell r="K16">
            <v>1</v>
          </cell>
          <cell r="L16">
            <v>19871231</v>
          </cell>
          <cell r="M16">
            <v>0.78500000000000003</v>
          </cell>
          <cell r="N16">
            <v>19880220</v>
          </cell>
        </row>
        <row r="17">
          <cell r="A17" t="str">
            <v>FE</v>
          </cell>
          <cell r="B17" t="str">
            <v>FE</v>
          </cell>
          <cell r="C17" t="str">
            <v>FRIES ENTMT INC</v>
          </cell>
          <cell r="D17">
            <v>19871217</v>
          </cell>
          <cell r="E17" t="str">
            <v>EPS</v>
          </cell>
          <cell r="F17" t="str">
            <v>ANN</v>
          </cell>
          <cell r="G17">
            <v>1</v>
          </cell>
          <cell r="H17">
            <v>1</v>
          </cell>
          <cell r="I17">
            <v>1</v>
          </cell>
          <cell r="J17">
            <v>1</v>
          </cell>
          <cell r="K17">
            <v>1</v>
          </cell>
          <cell r="L17">
            <v>19880531</v>
          </cell>
          <cell r="M17">
            <v>0.01</v>
          </cell>
        </row>
        <row r="18">
          <cell r="A18" t="str">
            <v>FPL</v>
          </cell>
          <cell r="B18" t="str">
            <v>FPL</v>
          </cell>
          <cell r="C18" t="str">
            <v>FPL GROUP</v>
          </cell>
          <cell r="D18">
            <v>19871217</v>
          </cell>
          <cell r="E18" t="str">
            <v>EPS</v>
          </cell>
          <cell r="F18" t="str">
            <v>ANN</v>
          </cell>
          <cell r="G18">
            <v>1</v>
          </cell>
          <cell r="H18">
            <v>27</v>
          </cell>
          <cell r="I18">
            <v>0.4</v>
          </cell>
          <cell r="J18">
            <v>0.4</v>
          </cell>
          <cell r="K18">
            <v>1</v>
          </cell>
          <cell r="L18">
            <v>19871231</v>
          </cell>
          <cell r="M18">
            <v>0.38750000000000001</v>
          </cell>
          <cell r="N18">
            <v>19880202</v>
          </cell>
        </row>
        <row r="19">
          <cell r="A19" t="str">
            <v>HE</v>
          </cell>
          <cell r="B19" t="str">
            <v>HE</v>
          </cell>
          <cell r="C19" t="str">
            <v>HAWAIIAN ELEC</v>
          </cell>
          <cell r="D19">
            <v>19871217</v>
          </cell>
          <cell r="E19" t="str">
            <v>EPS</v>
          </cell>
          <cell r="F19" t="str">
            <v>ANN</v>
          </cell>
          <cell r="G19">
            <v>1</v>
          </cell>
          <cell r="H19">
            <v>11</v>
          </cell>
          <cell r="I19">
            <v>1.33</v>
          </cell>
          <cell r="J19">
            <v>1.34</v>
          </cell>
          <cell r="K19">
            <v>1</v>
          </cell>
          <cell r="L19">
            <v>19871231</v>
          </cell>
          <cell r="M19">
            <v>1.1000000000000001</v>
          </cell>
          <cell r="N19">
            <v>19880219</v>
          </cell>
        </row>
        <row r="20">
          <cell r="A20" t="str">
            <v>IDA</v>
          </cell>
          <cell r="B20" t="str">
            <v>IDA</v>
          </cell>
          <cell r="C20" t="str">
            <v>IDAHO POWER CO</v>
          </cell>
          <cell r="D20">
            <v>19871217</v>
          </cell>
          <cell r="E20" t="str">
            <v>EPS</v>
          </cell>
          <cell r="F20" t="str">
            <v>ANN</v>
          </cell>
          <cell r="G20">
            <v>1</v>
          </cell>
          <cell r="H20">
            <v>19</v>
          </cell>
          <cell r="I20">
            <v>1.7</v>
          </cell>
          <cell r="J20">
            <v>1.71</v>
          </cell>
          <cell r="K20">
            <v>1</v>
          </cell>
          <cell r="L20">
            <v>19871231</v>
          </cell>
          <cell r="M20">
            <v>1.3</v>
          </cell>
          <cell r="N20">
            <v>19880202</v>
          </cell>
        </row>
        <row r="21">
          <cell r="A21" t="str">
            <v>NU</v>
          </cell>
          <cell r="B21" t="str">
            <v>NU</v>
          </cell>
          <cell r="C21" t="str">
            <v>NORTHEAST UTILS</v>
          </cell>
          <cell r="D21">
            <v>19871217</v>
          </cell>
          <cell r="E21" t="str">
            <v>EPS</v>
          </cell>
          <cell r="F21" t="str">
            <v>ANN</v>
          </cell>
          <cell r="G21">
            <v>1</v>
          </cell>
          <cell r="H21">
            <v>23</v>
          </cell>
          <cell r="I21">
            <v>2.4</v>
          </cell>
          <cell r="J21">
            <v>2.4300000000000002</v>
          </cell>
          <cell r="K21">
            <v>1</v>
          </cell>
          <cell r="L21">
            <v>19871231</v>
          </cell>
          <cell r="M21">
            <v>2.0699999999999998</v>
          </cell>
          <cell r="N21">
            <v>19880129</v>
          </cell>
        </row>
        <row r="22">
          <cell r="A22" t="str">
            <v>NWE</v>
          </cell>
          <cell r="B22" t="str">
            <v>NWP</v>
          </cell>
          <cell r="C22" t="str">
            <v>NEW WORLD ENTRTN</v>
          </cell>
          <cell r="D22">
            <v>19871217</v>
          </cell>
          <cell r="E22" t="str">
            <v>EPS</v>
          </cell>
          <cell r="F22" t="str">
            <v>ANN</v>
          </cell>
          <cell r="G22">
            <v>1</v>
          </cell>
          <cell r="H22">
            <v>7</v>
          </cell>
          <cell r="I22">
            <v>-0.01</v>
          </cell>
          <cell r="J22">
            <v>-0.04</v>
          </cell>
          <cell r="K22">
            <v>1</v>
          </cell>
          <cell r="L22">
            <v>19871231</v>
          </cell>
          <cell r="M22">
            <v>-1.72</v>
          </cell>
        </row>
        <row r="23">
          <cell r="A23" t="str">
            <v>OGE</v>
          </cell>
          <cell r="B23" t="str">
            <v>OGE</v>
          </cell>
          <cell r="C23" t="str">
            <v>OKLAHOMA G&amp;E</v>
          </cell>
          <cell r="D23">
            <v>19871217</v>
          </cell>
          <cell r="E23" t="str">
            <v>EPS</v>
          </cell>
          <cell r="F23" t="str">
            <v>ANN</v>
          </cell>
          <cell r="G23">
            <v>1</v>
          </cell>
          <cell r="H23">
            <v>23</v>
          </cell>
          <cell r="I23">
            <v>0.7</v>
          </cell>
          <cell r="J23">
            <v>0.71</v>
          </cell>
          <cell r="K23">
            <v>1</v>
          </cell>
          <cell r="L23">
            <v>19871231</v>
          </cell>
          <cell r="M23">
            <v>0.65</v>
          </cell>
          <cell r="N23">
            <v>19880206</v>
          </cell>
        </row>
        <row r="24">
          <cell r="A24" t="str">
            <v>OTTR</v>
          </cell>
          <cell r="B24" t="str">
            <v>OTTR</v>
          </cell>
          <cell r="C24" t="str">
            <v>OTTER TAIL PWR</v>
          </cell>
          <cell r="D24">
            <v>19871217</v>
          </cell>
          <cell r="E24" t="str">
            <v>EPS</v>
          </cell>
          <cell r="F24" t="str">
            <v>ANN</v>
          </cell>
          <cell r="G24">
            <v>1</v>
          </cell>
          <cell r="H24">
            <v>4</v>
          </cell>
          <cell r="I24">
            <v>0.86</v>
          </cell>
          <cell r="J24">
            <v>0.86</v>
          </cell>
          <cell r="K24">
            <v>1</v>
          </cell>
          <cell r="L24">
            <v>19871231</v>
          </cell>
          <cell r="M24">
            <v>0.91500000000000004</v>
          </cell>
          <cell r="N24">
            <v>19880204</v>
          </cell>
        </row>
        <row r="25">
          <cell r="A25" t="str">
            <v>PCG</v>
          </cell>
          <cell r="B25" t="str">
            <v>PCG</v>
          </cell>
          <cell r="C25" t="str">
            <v>PACIFIC G&amp;E</v>
          </cell>
          <cell r="D25">
            <v>19871217</v>
          </cell>
          <cell r="E25" t="str">
            <v>EPS</v>
          </cell>
          <cell r="F25" t="str">
            <v>ANN</v>
          </cell>
          <cell r="G25">
            <v>1</v>
          </cell>
          <cell r="H25">
            <v>27</v>
          </cell>
          <cell r="I25">
            <v>1.35</v>
          </cell>
          <cell r="J25">
            <v>1.41</v>
          </cell>
          <cell r="K25">
            <v>1</v>
          </cell>
          <cell r="L25">
            <v>19871231</v>
          </cell>
        </row>
        <row r="26">
          <cell r="A26" t="str">
            <v>PEG</v>
          </cell>
          <cell r="B26" t="str">
            <v>PEG</v>
          </cell>
          <cell r="C26" t="str">
            <v>PUB SVC ENTERS</v>
          </cell>
          <cell r="D26">
            <v>19871217</v>
          </cell>
          <cell r="E26" t="str">
            <v>EPS</v>
          </cell>
          <cell r="F26" t="str">
            <v>ANN</v>
          </cell>
          <cell r="G26">
            <v>1</v>
          </cell>
          <cell r="H26">
            <v>29</v>
          </cell>
          <cell r="I26">
            <v>1.27</v>
          </cell>
          <cell r="J26">
            <v>1.26</v>
          </cell>
          <cell r="K26">
            <v>1</v>
          </cell>
          <cell r="L26">
            <v>19871231</v>
          </cell>
          <cell r="M26">
            <v>1.2749999999999999</v>
          </cell>
          <cell r="N26">
            <v>19880121</v>
          </cell>
        </row>
        <row r="27">
          <cell r="A27" t="str">
            <v>PGN</v>
          </cell>
          <cell r="B27" t="str">
            <v>PGN</v>
          </cell>
          <cell r="C27" t="str">
            <v>PORTLAND GEN CP</v>
          </cell>
          <cell r="D27">
            <v>19871217</v>
          </cell>
          <cell r="E27" t="str">
            <v>EPS</v>
          </cell>
          <cell r="F27" t="str">
            <v>ANN</v>
          </cell>
          <cell r="G27">
            <v>1</v>
          </cell>
          <cell r="H27">
            <v>19</v>
          </cell>
          <cell r="I27">
            <v>1.95</v>
          </cell>
          <cell r="J27">
            <v>1.97</v>
          </cell>
          <cell r="K27">
            <v>1</v>
          </cell>
          <cell r="L27">
            <v>19871231</v>
          </cell>
          <cell r="M27">
            <v>1.69</v>
          </cell>
          <cell r="N27">
            <v>19880213</v>
          </cell>
        </row>
        <row r="28">
          <cell r="A28" t="str">
            <v>PNM</v>
          </cell>
          <cell r="B28" t="str">
            <v>PNM</v>
          </cell>
          <cell r="C28" t="str">
            <v>PUB SVC N MEX</v>
          </cell>
          <cell r="D28">
            <v>19871217</v>
          </cell>
          <cell r="E28" t="str">
            <v>EPS</v>
          </cell>
          <cell r="F28" t="str">
            <v>ANN</v>
          </cell>
          <cell r="G28">
            <v>1</v>
          </cell>
          <cell r="H28">
            <v>18</v>
          </cell>
          <cell r="I28">
            <v>1.85</v>
          </cell>
          <cell r="J28">
            <v>1.84</v>
          </cell>
          <cell r="K28">
            <v>1</v>
          </cell>
          <cell r="L28">
            <v>19871231</v>
          </cell>
          <cell r="M28">
            <v>1.3267</v>
          </cell>
          <cell r="N28">
            <v>19880220</v>
          </cell>
        </row>
        <row r="29">
          <cell r="A29" t="str">
            <v>POM</v>
          </cell>
          <cell r="B29" t="str">
            <v>POM</v>
          </cell>
          <cell r="C29" t="str">
            <v>POTOMAC ELEC</v>
          </cell>
          <cell r="D29">
            <v>19871217</v>
          </cell>
          <cell r="E29" t="str">
            <v>EPS</v>
          </cell>
          <cell r="F29" t="str">
            <v>ANN</v>
          </cell>
          <cell r="G29">
            <v>1</v>
          </cell>
          <cell r="H29">
            <v>23</v>
          </cell>
          <cell r="I29">
            <v>2.15</v>
          </cell>
          <cell r="J29">
            <v>2.17</v>
          </cell>
          <cell r="K29">
            <v>1</v>
          </cell>
          <cell r="L29">
            <v>19871231</v>
          </cell>
        </row>
        <row r="30">
          <cell r="A30" t="str">
            <v>PPL</v>
          </cell>
          <cell r="B30" t="str">
            <v>PPL</v>
          </cell>
          <cell r="C30" t="str">
            <v>PENNA P&amp;L</v>
          </cell>
          <cell r="D30">
            <v>19871217</v>
          </cell>
          <cell r="E30" t="str">
            <v>EPS</v>
          </cell>
          <cell r="F30" t="str">
            <v>ANN</v>
          </cell>
          <cell r="G30">
            <v>1</v>
          </cell>
          <cell r="H30">
            <v>20</v>
          </cell>
          <cell r="I30">
            <v>0.82</v>
          </cell>
          <cell r="J30">
            <v>0.82</v>
          </cell>
          <cell r="K30">
            <v>1</v>
          </cell>
          <cell r="L30">
            <v>19871231</v>
          </cell>
          <cell r="M30">
            <v>0.83</v>
          </cell>
          <cell r="N30">
            <v>19880130</v>
          </cell>
        </row>
        <row r="31">
          <cell r="A31" t="str">
            <v>PSD</v>
          </cell>
          <cell r="B31" t="str">
            <v>PSD</v>
          </cell>
          <cell r="C31" t="str">
            <v>PUGET SOUND P&amp;L</v>
          </cell>
          <cell r="D31">
            <v>19871217</v>
          </cell>
          <cell r="E31" t="str">
            <v>EPS</v>
          </cell>
          <cell r="F31" t="str">
            <v>ANN</v>
          </cell>
          <cell r="G31">
            <v>1</v>
          </cell>
          <cell r="H31">
            <v>15</v>
          </cell>
          <cell r="I31">
            <v>2.0499999999999998</v>
          </cell>
          <cell r="J31">
            <v>2.0099999999999998</v>
          </cell>
          <cell r="K31">
            <v>1</v>
          </cell>
          <cell r="L31">
            <v>19871231</v>
          </cell>
          <cell r="M31">
            <v>2.13</v>
          </cell>
          <cell r="N31">
            <v>19880217</v>
          </cell>
        </row>
        <row r="32">
          <cell r="A32" t="str">
            <v>SCG</v>
          </cell>
          <cell r="B32" t="str">
            <v>SCG</v>
          </cell>
          <cell r="C32" t="str">
            <v>SCANA CP</v>
          </cell>
          <cell r="D32">
            <v>19871217</v>
          </cell>
          <cell r="E32" t="str">
            <v>EPS</v>
          </cell>
          <cell r="F32" t="str">
            <v>ANN</v>
          </cell>
          <cell r="G32">
            <v>1</v>
          </cell>
          <cell r="H32">
            <v>20</v>
          </cell>
          <cell r="I32">
            <v>1.58</v>
          </cell>
          <cell r="J32">
            <v>1.56</v>
          </cell>
          <cell r="K32">
            <v>1</v>
          </cell>
          <cell r="L32">
            <v>19871231</v>
          </cell>
          <cell r="M32">
            <v>1.6</v>
          </cell>
          <cell r="N32">
            <v>19880226</v>
          </cell>
        </row>
        <row r="33">
          <cell r="A33" t="str">
            <v>SO</v>
          </cell>
          <cell r="B33" t="str">
            <v>SO</v>
          </cell>
          <cell r="C33" t="str">
            <v>SOUTHN CO</v>
          </cell>
          <cell r="D33">
            <v>19871217</v>
          </cell>
          <cell r="E33" t="str">
            <v>EPS</v>
          </cell>
          <cell r="F33" t="str">
            <v>ANN</v>
          </cell>
          <cell r="G33">
            <v>1</v>
          </cell>
          <cell r="H33">
            <v>26</v>
          </cell>
          <cell r="I33">
            <v>1.55</v>
          </cell>
          <cell r="J33">
            <v>1.54</v>
          </cell>
          <cell r="K33">
            <v>1</v>
          </cell>
          <cell r="L33">
            <v>19871231</v>
          </cell>
          <cell r="M33">
            <v>0.96</v>
          </cell>
          <cell r="N33">
            <v>19880204</v>
          </cell>
        </row>
        <row r="34">
          <cell r="A34" t="str">
            <v>TE</v>
          </cell>
          <cell r="B34" t="str">
            <v>TE</v>
          </cell>
          <cell r="C34" t="str">
            <v>TECO ENERGY INC</v>
          </cell>
          <cell r="D34">
            <v>19871217</v>
          </cell>
          <cell r="E34" t="str">
            <v>EPS</v>
          </cell>
          <cell r="F34" t="str">
            <v>ANN</v>
          </cell>
          <cell r="G34">
            <v>1</v>
          </cell>
          <cell r="H34">
            <v>23</v>
          </cell>
          <cell r="I34">
            <v>1</v>
          </cell>
          <cell r="J34">
            <v>1.01</v>
          </cell>
          <cell r="K34">
            <v>1</v>
          </cell>
          <cell r="L34">
            <v>19871231</v>
          </cell>
          <cell r="M34">
            <v>0.97499999999999998</v>
          </cell>
          <cell r="N34">
            <v>19880120</v>
          </cell>
        </row>
        <row r="35">
          <cell r="A35" t="str">
            <v>UIL</v>
          </cell>
          <cell r="B35" t="str">
            <v>UIL</v>
          </cell>
          <cell r="C35" t="str">
            <v>UTD ILLUM CO</v>
          </cell>
          <cell r="D35">
            <v>19871217</v>
          </cell>
          <cell r="E35" t="str">
            <v>EPS</v>
          </cell>
          <cell r="F35" t="str">
            <v>ANN</v>
          </cell>
          <cell r="G35">
            <v>1</v>
          </cell>
          <cell r="H35">
            <v>1</v>
          </cell>
          <cell r="I35">
            <v>3.39</v>
          </cell>
          <cell r="J35">
            <v>3.39</v>
          </cell>
          <cell r="K35">
            <v>1</v>
          </cell>
          <cell r="L35">
            <v>19871231</v>
          </cell>
          <cell r="M35">
            <v>3.5939999999999999</v>
          </cell>
        </row>
        <row r="36">
          <cell r="A36" t="str">
            <v>WEC</v>
          </cell>
          <cell r="B36" t="str">
            <v>WPC</v>
          </cell>
          <cell r="C36" t="str">
            <v>WISCONSIN ENERGY</v>
          </cell>
          <cell r="D36">
            <v>19871217</v>
          </cell>
          <cell r="E36" t="str">
            <v>EPS</v>
          </cell>
          <cell r="F36" t="str">
            <v>ANN</v>
          </cell>
          <cell r="G36">
            <v>1</v>
          </cell>
          <cell r="H36">
            <v>27</v>
          </cell>
          <cell r="I36">
            <v>0.82</v>
          </cell>
          <cell r="J36">
            <v>0.82</v>
          </cell>
          <cell r="K36">
            <v>1</v>
          </cell>
          <cell r="L36">
            <v>19871231</v>
          </cell>
          <cell r="M36">
            <v>0.85</v>
          </cell>
          <cell r="N36">
            <v>19880130</v>
          </cell>
        </row>
        <row r="37">
          <cell r="A37" t="str">
            <v>WPS</v>
          </cell>
          <cell r="B37" t="str">
            <v>WPS</v>
          </cell>
          <cell r="C37" t="str">
            <v>WISC PUB SVC</v>
          </cell>
          <cell r="D37">
            <v>19871217</v>
          </cell>
          <cell r="E37" t="str">
            <v>EPS</v>
          </cell>
          <cell r="F37" t="str">
            <v>ANN</v>
          </cell>
          <cell r="G37">
            <v>1</v>
          </cell>
          <cell r="H37">
            <v>16</v>
          </cell>
          <cell r="I37">
            <v>2.1</v>
          </cell>
          <cell r="J37">
            <v>2.12</v>
          </cell>
          <cell r="K37">
            <v>1</v>
          </cell>
          <cell r="L37">
            <v>19871231</v>
          </cell>
        </row>
        <row r="38">
          <cell r="A38" t="str">
            <v>AGR</v>
          </cell>
          <cell r="B38" t="str">
            <v>AGR1</v>
          </cell>
          <cell r="C38" t="str">
            <v>AGRA INDS INC</v>
          </cell>
          <cell r="D38">
            <v>19871217</v>
          </cell>
          <cell r="E38" t="str">
            <v>EPS</v>
          </cell>
          <cell r="F38" t="str">
            <v>ANN</v>
          </cell>
          <cell r="G38">
            <v>1</v>
          </cell>
          <cell r="H38">
            <v>1</v>
          </cell>
          <cell r="I38">
            <v>1.4</v>
          </cell>
          <cell r="J38">
            <v>1.4</v>
          </cell>
          <cell r="K38">
            <v>0</v>
          </cell>
          <cell r="L38">
            <v>19880731</v>
          </cell>
          <cell r="M38">
            <v>0.57999999999999996</v>
          </cell>
        </row>
        <row r="39">
          <cell r="A39" t="str">
            <v>PPL</v>
          </cell>
          <cell r="B39" t="str">
            <v>PPL1</v>
          </cell>
          <cell r="C39" t="str">
            <v>PEMBINA RES LTD</v>
          </cell>
          <cell r="D39">
            <v>19871217</v>
          </cell>
          <cell r="E39" t="str">
            <v>EPS</v>
          </cell>
          <cell r="F39" t="str">
            <v>ANN</v>
          </cell>
          <cell r="G39">
            <v>1</v>
          </cell>
          <cell r="H39">
            <v>2</v>
          </cell>
          <cell r="I39">
            <v>0.92</v>
          </cell>
          <cell r="J39">
            <v>0.92</v>
          </cell>
          <cell r="K39">
            <v>0</v>
          </cell>
          <cell r="L39">
            <v>19871231</v>
          </cell>
        </row>
      </sheetData>
    </sheetDataSet>
  </externalBook>
</externalLink>
</file>

<file path=xl/externalLinks/externalLink1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RDS"/>
    </sheetNames>
    <sheetDataSet>
      <sheetData sheetId="0">
        <row r="1">
          <cell r="A1" t="str">
            <v>OFTIC</v>
          </cell>
          <cell r="B1" t="str">
            <v>IBES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USFIRM=0 if from .INT file and USFIRM=1 if from .US file</v>
          </cell>
          <cell r="M1" t="str">
            <v>Forecast Period End Date (SAS Format)</v>
          </cell>
          <cell r="N1" t="str">
            <v>Actual Value, from the Detail Actuals File</v>
          </cell>
          <cell r="O1" t="str">
            <v>Announce date of the Actual, from the Detail Actuals File</v>
          </cell>
        </row>
        <row r="2">
          <cell r="A2" t="str">
            <v>AVA</v>
          </cell>
          <cell r="B2" t="str">
            <v>AVDO</v>
          </cell>
          <cell r="C2" t="str">
            <v>AUDIO VIDEO AFFI</v>
          </cell>
          <cell r="D2">
            <v>19871217</v>
          </cell>
          <cell r="E2" t="str">
            <v>EPS</v>
          </cell>
          <cell r="F2" t="str">
            <v>LTG</v>
          </cell>
          <cell r="G2">
            <v>0</v>
          </cell>
          <cell r="H2">
            <v>5</v>
          </cell>
          <cell r="I2">
            <v>12</v>
          </cell>
          <cell r="J2">
            <v>13.4</v>
          </cell>
          <cell r="K2">
            <v>3.13</v>
          </cell>
          <cell r="L2">
            <v>1</v>
          </cell>
        </row>
        <row r="3">
          <cell r="A3" t="str">
            <v>PNW</v>
          </cell>
          <cell r="B3" t="str">
            <v>AZP</v>
          </cell>
          <cell r="C3" t="str">
            <v>PINNACLE WST CAP</v>
          </cell>
          <cell r="D3">
            <v>19871217</v>
          </cell>
          <cell r="E3" t="str">
            <v>EPS</v>
          </cell>
          <cell r="F3" t="str">
            <v>LTG</v>
          </cell>
          <cell r="G3">
            <v>0</v>
          </cell>
          <cell r="H3">
            <v>15</v>
          </cell>
          <cell r="I3">
            <v>3</v>
          </cell>
          <cell r="J3">
            <v>3.24</v>
          </cell>
          <cell r="K3">
            <v>1.49</v>
          </cell>
          <cell r="L3">
            <v>1</v>
          </cell>
        </row>
        <row r="4">
          <cell r="A4" t="str">
            <v>BKH</v>
          </cell>
          <cell r="B4" t="str">
            <v>BHP</v>
          </cell>
          <cell r="C4" t="str">
            <v>BLACK HILLS CORP</v>
          </cell>
          <cell r="D4">
            <v>19871217</v>
          </cell>
          <cell r="E4" t="str">
            <v>EPS</v>
          </cell>
          <cell r="F4" t="str">
            <v>LTG</v>
          </cell>
          <cell r="G4">
            <v>0</v>
          </cell>
          <cell r="H4">
            <v>3</v>
          </cell>
          <cell r="I4">
            <v>10</v>
          </cell>
          <cell r="J4">
            <v>8.93</v>
          </cell>
          <cell r="K4">
            <v>1.85</v>
          </cell>
          <cell r="L4">
            <v>1</v>
          </cell>
        </row>
        <row r="5">
          <cell r="A5" t="str">
            <v>CIN</v>
          </cell>
          <cell r="B5" t="str">
            <v>CIN</v>
          </cell>
          <cell r="C5" t="str">
            <v>CINN GAS &amp; EL</v>
          </cell>
          <cell r="D5">
            <v>19871217</v>
          </cell>
          <cell r="E5" t="str">
            <v>EPS</v>
          </cell>
          <cell r="F5" t="str">
            <v>LTG</v>
          </cell>
          <cell r="G5">
            <v>0</v>
          </cell>
          <cell r="H5">
            <v>14</v>
          </cell>
          <cell r="I5">
            <v>2.4500000000000002</v>
          </cell>
          <cell r="J5">
            <v>2.39</v>
          </cell>
          <cell r="K5">
            <v>1.85</v>
          </cell>
          <cell r="L5">
            <v>1</v>
          </cell>
        </row>
        <row r="6">
          <cell r="A6" t="str">
            <v>CMS</v>
          </cell>
          <cell r="B6" t="str">
            <v>CMS</v>
          </cell>
          <cell r="C6" t="str">
            <v>CMS ENERGY CORP</v>
          </cell>
          <cell r="D6">
            <v>19871217</v>
          </cell>
          <cell r="E6" t="str">
            <v>EPS</v>
          </cell>
          <cell r="F6" t="str">
            <v>LTG</v>
          </cell>
          <cell r="G6">
            <v>0</v>
          </cell>
          <cell r="H6">
            <v>11</v>
          </cell>
          <cell r="I6">
            <v>6.5</v>
          </cell>
          <cell r="J6">
            <v>12.42</v>
          </cell>
          <cell r="K6">
            <v>11.43</v>
          </cell>
          <cell r="L6">
            <v>1</v>
          </cell>
        </row>
        <row r="7">
          <cell r="A7" t="str">
            <v>CNL</v>
          </cell>
          <cell r="B7" t="str">
            <v>CNL</v>
          </cell>
          <cell r="C7" t="str">
            <v>CENT LA ELEC INC</v>
          </cell>
          <cell r="D7">
            <v>19871217</v>
          </cell>
          <cell r="E7" t="str">
            <v>EPS</v>
          </cell>
          <cell r="F7" t="str">
            <v>LTG</v>
          </cell>
          <cell r="G7">
            <v>0</v>
          </cell>
          <cell r="H7">
            <v>2</v>
          </cell>
          <cell r="I7">
            <v>3.75</v>
          </cell>
          <cell r="J7">
            <v>3.75</v>
          </cell>
          <cell r="K7">
            <v>1.06</v>
          </cell>
          <cell r="L7">
            <v>1</v>
          </cell>
        </row>
        <row r="8">
          <cell r="A8" t="str">
            <v>CNP</v>
          </cell>
          <cell r="B8" t="str">
            <v>CNP</v>
          </cell>
          <cell r="C8" t="str">
            <v>CROWN CENT PETE</v>
          </cell>
          <cell r="D8">
            <v>19871217</v>
          </cell>
          <cell r="E8" t="str">
            <v>EPS</v>
          </cell>
          <cell r="F8" t="str">
            <v>LTG</v>
          </cell>
          <cell r="G8">
            <v>0</v>
          </cell>
          <cell r="H8">
            <v>1</v>
          </cell>
          <cell r="I8">
            <v>5</v>
          </cell>
          <cell r="J8">
            <v>5</v>
          </cell>
          <cell r="L8">
            <v>1</v>
          </cell>
        </row>
        <row r="9">
          <cell r="A9" t="str">
            <v>CV</v>
          </cell>
          <cell r="B9" t="str">
            <v>CV</v>
          </cell>
          <cell r="C9" t="str">
            <v>CNTRL VT PUB SVC</v>
          </cell>
          <cell r="D9">
            <v>19871217</v>
          </cell>
          <cell r="E9" t="str">
            <v>EPS</v>
          </cell>
          <cell r="F9" t="str">
            <v>LTG</v>
          </cell>
          <cell r="G9">
            <v>0</v>
          </cell>
          <cell r="H9">
            <v>1</v>
          </cell>
          <cell r="I9">
            <v>-2.2000000000000002</v>
          </cell>
          <cell r="J9">
            <v>-2.2000000000000002</v>
          </cell>
          <cell r="L9">
            <v>1</v>
          </cell>
        </row>
        <row r="10">
          <cell r="A10" t="str">
            <v>D</v>
          </cell>
          <cell r="B10" t="str">
            <v>D</v>
          </cell>
          <cell r="C10" t="str">
            <v>DOMINION RES INC</v>
          </cell>
          <cell r="D10">
            <v>19871217</v>
          </cell>
          <cell r="E10" t="str">
            <v>EPS</v>
          </cell>
          <cell r="F10" t="str">
            <v>LTG</v>
          </cell>
          <cell r="G10">
            <v>0</v>
          </cell>
          <cell r="H10">
            <v>17</v>
          </cell>
          <cell r="I10">
            <v>4</v>
          </cell>
          <cell r="J10">
            <v>4.3</v>
          </cell>
          <cell r="K10">
            <v>0.97</v>
          </cell>
          <cell r="L10">
            <v>1</v>
          </cell>
        </row>
        <row r="11">
          <cell r="A11" t="str">
            <v>DPL</v>
          </cell>
          <cell r="B11" t="str">
            <v>DPL</v>
          </cell>
          <cell r="C11" t="str">
            <v>DPL INC</v>
          </cell>
          <cell r="D11">
            <v>19871217</v>
          </cell>
          <cell r="E11" t="str">
            <v>EPS</v>
          </cell>
          <cell r="F11" t="str">
            <v>LTG</v>
          </cell>
          <cell r="G11">
            <v>0</v>
          </cell>
          <cell r="H11">
            <v>8</v>
          </cell>
          <cell r="I11">
            <v>3.25</v>
          </cell>
          <cell r="J11">
            <v>3.31</v>
          </cell>
          <cell r="K11">
            <v>0.7</v>
          </cell>
          <cell r="L11">
            <v>1</v>
          </cell>
        </row>
        <row r="12">
          <cell r="A12" t="str">
            <v>DTE</v>
          </cell>
          <cell r="B12" t="str">
            <v>DTE</v>
          </cell>
          <cell r="C12" t="str">
            <v>DETROIT EDISON</v>
          </cell>
          <cell r="D12">
            <v>19871217</v>
          </cell>
          <cell r="E12" t="str">
            <v>EPS</v>
          </cell>
          <cell r="F12" t="str">
            <v>LTG</v>
          </cell>
          <cell r="G12">
            <v>0</v>
          </cell>
          <cell r="H12">
            <v>10</v>
          </cell>
          <cell r="I12">
            <v>0.35</v>
          </cell>
          <cell r="J12">
            <v>-0.57999999999999996</v>
          </cell>
          <cell r="K12">
            <v>4.13</v>
          </cell>
          <cell r="L12">
            <v>1</v>
          </cell>
        </row>
        <row r="13">
          <cell r="A13" t="str">
            <v>DUK</v>
          </cell>
          <cell r="B13" t="str">
            <v>DUK</v>
          </cell>
          <cell r="C13" t="str">
            <v>DUKE POWER CO</v>
          </cell>
          <cell r="D13">
            <v>19871217</v>
          </cell>
          <cell r="E13" t="str">
            <v>EPS</v>
          </cell>
          <cell r="F13" t="str">
            <v>LTG</v>
          </cell>
          <cell r="G13">
            <v>0</v>
          </cell>
          <cell r="H13">
            <v>16</v>
          </cell>
          <cell r="I13">
            <v>4.8499999999999996</v>
          </cell>
          <cell r="J13">
            <v>4.66</v>
          </cell>
          <cell r="K13">
            <v>1.0900000000000001</v>
          </cell>
          <cell r="L13">
            <v>1</v>
          </cell>
        </row>
        <row r="14">
          <cell r="A14" t="str">
            <v>ED</v>
          </cell>
          <cell r="B14" t="str">
            <v>ED</v>
          </cell>
          <cell r="C14" t="str">
            <v>CONSOL EDISON</v>
          </cell>
          <cell r="D14">
            <v>19871217</v>
          </cell>
          <cell r="E14" t="str">
            <v>EPS</v>
          </cell>
          <cell r="F14" t="str">
            <v>LTG</v>
          </cell>
          <cell r="G14">
            <v>0</v>
          </cell>
          <cell r="H14">
            <v>13</v>
          </cell>
          <cell r="I14">
            <v>4.5</v>
          </cell>
          <cell r="J14">
            <v>4.4000000000000004</v>
          </cell>
          <cell r="K14">
            <v>1.53</v>
          </cell>
          <cell r="L14">
            <v>1</v>
          </cell>
        </row>
        <row r="15">
          <cell r="A15" t="str">
            <v>EDE</v>
          </cell>
          <cell r="B15" t="str">
            <v>EDE</v>
          </cell>
          <cell r="C15" t="str">
            <v>EMPIRE DIST ELEC</v>
          </cell>
          <cell r="D15">
            <v>19871217</v>
          </cell>
          <cell r="E15" t="str">
            <v>EPS</v>
          </cell>
          <cell r="F15" t="str">
            <v>LTG</v>
          </cell>
          <cell r="G15">
            <v>0</v>
          </cell>
          <cell r="H15">
            <v>1</v>
          </cell>
          <cell r="I15">
            <v>1</v>
          </cell>
          <cell r="J15">
            <v>1</v>
          </cell>
          <cell r="L15">
            <v>1</v>
          </cell>
        </row>
        <row r="16">
          <cell r="A16" t="str">
            <v>FPL</v>
          </cell>
          <cell r="B16" t="str">
            <v>FPL</v>
          </cell>
          <cell r="C16" t="str">
            <v>FPL GROUP</v>
          </cell>
          <cell r="D16">
            <v>19871217</v>
          </cell>
          <cell r="E16" t="str">
            <v>EPS</v>
          </cell>
          <cell r="F16" t="str">
            <v>LTG</v>
          </cell>
          <cell r="G16">
            <v>0</v>
          </cell>
          <cell r="H16">
            <v>17</v>
          </cell>
          <cell r="I16">
            <v>5</v>
          </cell>
          <cell r="J16">
            <v>4.9400000000000004</v>
          </cell>
          <cell r="K16">
            <v>1.65</v>
          </cell>
          <cell r="L16">
            <v>1</v>
          </cell>
        </row>
        <row r="17">
          <cell r="A17" t="str">
            <v>HE</v>
          </cell>
          <cell r="B17" t="str">
            <v>HE</v>
          </cell>
          <cell r="C17" t="str">
            <v>HAWAIIAN ELEC</v>
          </cell>
          <cell r="D17">
            <v>19871217</v>
          </cell>
          <cell r="E17" t="str">
            <v>EPS</v>
          </cell>
          <cell r="F17" t="str">
            <v>LTG</v>
          </cell>
          <cell r="G17">
            <v>0</v>
          </cell>
          <cell r="H17">
            <v>7</v>
          </cell>
          <cell r="I17">
            <v>4.2</v>
          </cell>
          <cell r="J17">
            <v>4.21</v>
          </cell>
          <cell r="K17">
            <v>0.68</v>
          </cell>
          <cell r="L17">
            <v>1</v>
          </cell>
        </row>
        <row r="18">
          <cell r="A18" t="str">
            <v>IDA</v>
          </cell>
          <cell r="B18" t="str">
            <v>IDA</v>
          </cell>
          <cell r="C18" t="str">
            <v>IDAHO POWER CO</v>
          </cell>
          <cell r="D18">
            <v>19871217</v>
          </cell>
          <cell r="E18" t="str">
            <v>EPS</v>
          </cell>
          <cell r="F18" t="str">
            <v>LTG</v>
          </cell>
          <cell r="G18">
            <v>0</v>
          </cell>
          <cell r="H18">
            <v>11</v>
          </cell>
          <cell r="I18">
            <v>4</v>
          </cell>
          <cell r="J18">
            <v>3.13</v>
          </cell>
          <cell r="K18">
            <v>1.62</v>
          </cell>
          <cell r="L18">
            <v>1</v>
          </cell>
        </row>
        <row r="19">
          <cell r="A19" t="str">
            <v>NU</v>
          </cell>
          <cell r="B19" t="str">
            <v>NU</v>
          </cell>
          <cell r="C19" t="str">
            <v>NORTHEAST UTILS</v>
          </cell>
          <cell r="D19">
            <v>19871217</v>
          </cell>
          <cell r="E19" t="str">
            <v>EPS</v>
          </cell>
          <cell r="F19" t="str">
            <v>LTG</v>
          </cell>
          <cell r="G19">
            <v>0</v>
          </cell>
          <cell r="H19">
            <v>14</v>
          </cell>
          <cell r="I19">
            <v>3.8</v>
          </cell>
          <cell r="J19">
            <v>3.35</v>
          </cell>
          <cell r="K19">
            <v>2</v>
          </cell>
          <cell r="L19">
            <v>1</v>
          </cell>
        </row>
        <row r="20">
          <cell r="A20" t="str">
            <v>NWE</v>
          </cell>
          <cell r="B20" t="str">
            <v>NWP</v>
          </cell>
          <cell r="C20" t="str">
            <v>NEW WORLD ENTRTN</v>
          </cell>
          <cell r="D20">
            <v>19871217</v>
          </cell>
          <cell r="E20" t="str">
            <v>EPS</v>
          </cell>
          <cell r="F20" t="str">
            <v>LTG</v>
          </cell>
          <cell r="G20">
            <v>0</v>
          </cell>
          <cell r="H20">
            <v>2</v>
          </cell>
          <cell r="I20">
            <v>11</v>
          </cell>
          <cell r="J20">
            <v>11</v>
          </cell>
          <cell r="K20">
            <v>1.41</v>
          </cell>
          <cell r="L20">
            <v>1</v>
          </cell>
        </row>
        <row r="21">
          <cell r="A21" t="str">
            <v>OGE</v>
          </cell>
          <cell r="B21" t="str">
            <v>OGE</v>
          </cell>
          <cell r="C21" t="str">
            <v>OKLAHOMA G&amp;E</v>
          </cell>
          <cell r="D21">
            <v>19871217</v>
          </cell>
          <cell r="E21" t="str">
            <v>EPS</v>
          </cell>
          <cell r="F21" t="str">
            <v>LTG</v>
          </cell>
          <cell r="G21">
            <v>0</v>
          </cell>
          <cell r="H21">
            <v>15</v>
          </cell>
          <cell r="I21">
            <v>4</v>
          </cell>
          <cell r="J21">
            <v>4.07</v>
          </cell>
          <cell r="K21">
            <v>1.1599999999999999</v>
          </cell>
          <cell r="L21">
            <v>1</v>
          </cell>
        </row>
        <row r="22">
          <cell r="A22" t="str">
            <v>OTTR</v>
          </cell>
          <cell r="B22" t="str">
            <v>OTTR</v>
          </cell>
          <cell r="C22" t="str">
            <v>OTTER TAIL PWR</v>
          </cell>
          <cell r="D22">
            <v>19871217</v>
          </cell>
          <cell r="E22" t="str">
            <v>EPS</v>
          </cell>
          <cell r="F22" t="str">
            <v>LTG</v>
          </cell>
          <cell r="G22">
            <v>0</v>
          </cell>
          <cell r="H22">
            <v>2</v>
          </cell>
          <cell r="I22">
            <v>1</v>
          </cell>
          <cell r="J22">
            <v>1</v>
          </cell>
          <cell r="K22">
            <v>2.83</v>
          </cell>
          <cell r="L22">
            <v>1</v>
          </cell>
        </row>
        <row r="23">
          <cell r="A23" t="str">
            <v>PCG</v>
          </cell>
          <cell r="B23" t="str">
            <v>PCG</v>
          </cell>
          <cell r="C23" t="str">
            <v>PACIFIC G&amp;E</v>
          </cell>
          <cell r="D23">
            <v>19871217</v>
          </cell>
          <cell r="E23" t="str">
            <v>EPS</v>
          </cell>
          <cell r="F23" t="str">
            <v>LTG</v>
          </cell>
          <cell r="G23">
            <v>0</v>
          </cell>
          <cell r="H23">
            <v>13</v>
          </cell>
          <cell r="I23">
            <v>3.5</v>
          </cell>
          <cell r="J23">
            <v>2.76</v>
          </cell>
          <cell r="K23">
            <v>2.4500000000000002</v>
          </cell>
          <cell r="L23">
            <v>1</v>
          </cell>
        </row>
        <row r="24">
          <cell r="A24" t="str">
            <v>PEG</v>
          </cell>
          <cell r="B24" t="str">
            <v>PEG</v>
          </cell>
          <cell r="C24" t="str">
            <v>PUB SVC ENTERS</v>
          </cell>
          <cell r="D24">
            <v>19871217</v>
          </cell>
          <cell r="E24" t="str">
            <v>EPS</v>
          </cell>
          <cell r="F24" t="str">
            <v>LTG</v>
          </cell>
          <cell r="G24">
            <v>0</v>
          </cell>
          <cell r="H24">
            <v>17</v>
          </cell>
          <cell r="I24">
            <v>4</v>
          </cell>
          <cell r="J24">
            <v>3.81</v>
          </cell>
          <cell r="K24">
            <v>1.77</v>
          </cell>
          <cell r="L24">
            <v>1</v>
          </cell>
        </row>
        <row r="25">
          <cell r="A25" t="str">
            <v>PGN</v>
          </cell>
          <cell r="B25" t="str">
            <v>PGN</v>
          </cell>
          <cell r="C25" t="str">
            <v>PORTLAND GEN CP</v>
          </cell>
          <cell r="D25">
            <v>19871217</v>
          </cell>
          <cell r="E25" t="str">
            <v>EPS</v>
          </cell>
          <cell r="F25" t="str">
            <v>LTG</v>
          </cell>
          <cell r="G25">
            <v>0</v>
          </cell>
          <cell r="H25">
            <v>11</v>
          </cell>
          <cell r="I25">
            <v>4</v>
          </cell>
          <cell r="J25">
            <v>4.28</v>
          </cell>
          <cell r="K25">
            <v>1.1599999999999999</v>
          </cell>
          <cell r="L25">
            <v>1</v>
          </cell>
        </row>
        <row r="26">
          <cell r="A26" t="str">
            <v>PNM</v>
          </cell>
          <cell r="B26" t="str">
            <v>PNM</v>
          </cell>
          <cell r="C26" t="str">
            <v>PUB SVC N MEX</v>
          </cell>
          <cell r="D26">
            <v>19871217</v>
          </cell>
          <cell r="E26" t="str">
            <v>EPS</v>
          </cell>
          <cell r="F26" t="str">
            <v>LTG</v>
          </cell>
          <cell r="G26">
            <v>0</v>
          </cell>
          <cell r="H26">
            <v>8</v>
          </cell>
          <cell r="I26">
            <v>3.25</v>
          </cell>
          <cell r="J26">
            <v>1.69</v>
          </cell>
          <cell r="K26">
            <v>4.58</v>
          </cell>
          <cell r="L26">
            <v>1</v>
          </cell>
        </row>
        <row r="27">
          <cell r="A27" t="str">
            <v>POM</v>
          </cell>
          <cell r="B27" t="str">
            <v>POM</v>
          </cell>
          <cell r="C27" t="str">
            <v>POTOMAC ELEC</v>
          </cell>
          <cell r="D27">
            <v>19871217</v>
          </cell>
          <cell r="E27" t="str">
            <v>EPS</v>
          </cell>
          <cell r="F27" t="str">
            <v>LTG</v>
          </cell>
          <cell r="G27">
            <v>0</v>
          </cell>
          <cell r="H27">
            <v>15</v>
          </cell>
          <cell r="I27">
            <v>5</v>
          </cell>
          <cell r="J27">
            <v>5.21</v>
          </cell>
          <cell r="K27">
            <v>1.36</v>
          </cell>
          <cell r="L27">
            <v>1</v>
          </cell>
        </row>
        <row r="28">
          <cell r="A28" t="str">
            <v>PPL</v>
          </cell>
          <cell r="B28" t="str">
            <v>PPL</v>
          </cell>
          <cell r="C28" t="str">
            <v>PENNA P&amp;L</v>
          </cell>
          <cell r="D28">
            <v>19871217</v>
          </cell>
          <cell r="E28" t="str">
            <v>EPS</v>
          </cell>
          <cell r="F28" t="str">
            <v>LTG</v>
          </cell>
          <cell r="G28">
            <v>0</v>
          </cell>
          <cell r="H28">
            <v>14</v>
          </cell>
          <cell r="I28">
            <v>4.4000000000000004</v>
          </cell>
          <cell r="J28">
            <v>4.04</v>
          </cell>
          <cell r="K28">
            <v>1.52</v>
          </cell>
          <cell r="L28">
            <v>1</v>
          </cell>
        </row>
        <row r="29">
          <cell r="A29" t="str">
            <v>PSD</v>
          </cell>
          <cell r="B29" t="str">
            <v>PSD</v>
          </cell>
          <cell r="C29" t="str">
            <v>PUGET SOUND P&amp;L</v>
          </cell>
          <cell r="D29">
            <v>19871217</v>
          </cell>
          <cell r="E29" t="str">
            <v>EPS</v>
          </cell>
          <cell r="F29" t="str">
            <v>LTG</v>
          </cell>
          <cell r="G29">
            <v>0</v>
          </cell>
          <cell r="H29">
            <v>8</v>
          </cell>
          <cell r="I29">
            <v>3</v>
          </cell>
          <cell r="J29">
            <v>3</v>
          </cell>
          <cell r="K29">
            <v>1.77</v>
          </cell>
          <cell r="L29">
            <v>1</v>
          </cell>
        </row>
        <row r="30">
          <cell r="A30" t="str">
            <v>SCG</v>
          </cell>
          <cell r="B30" t="str">
            <v>SCG</v>
          </cell>
          <cell r="C30" t="str">
            <v>SCANA CP</v>
          </cell>
          <cell r="D30">
            <v>19871217</v>
          </cell>
          <cell r="E30" t="str">
            <v>EPS</v>
          </cell>
          <cell r="F30" t="str">
            <v>LTG</v>
          </cell>
          <cell r="G30">
            <v>0</v>
          </cell>
          <cell r="H30">
            <v>12</v>
          </cell>
          <cell r="I30">
            <v>4</v>
          </cell>
          <cell r="J30">
            <v>4</v>
          </cell>
          <cell r="K30">
            <v>1.55</v>
          </cell>
          <cell r="L30">
            <v>1</v>
          </cell>
        </row>
        <row r="31">
          <cell r="A31" t="str">
            <v>SO</v>
          </cell>
          <cell r="B31" t="str">
            <v>SO</v>
          </cell>
          <cell r="C31" t="str">
            <v>SOUTHN CO</v>
          </cell>
          <cell r="D31">
            <v>19871217</v>
          </cell>
          <cell r="E31" t="str">
            <v>EPS</v>
          </cell>
          <cell r="F31" t="str">
            <v>LTG</v>
          </cell>
          <cell r="G31">
            <v>0</v>
          </cell>
          <cell r="H31">
            <v>16</v>
          </cell>
          <cell r="I31">
            <v>4</v>
          </cell>
          <cell r="J31">
            <v>3.64</v>
          </cell>
          <cell r="K31">
            <v>1.48</v>
          </cell>
          <cell r="L31">
            <v>1</v>
          </cell>
        </row>
        <row r="32">
          <cell r="A32" t="str">
            <v>TE</v>
          </cell>
          <cell r="B32" t="str">
            <v>TE</v>
          </cell>
          <cell r="C32" t="str">
            <v>TECO ENERGY INC</v>
          </cell>
          <cell r="D32">
            <v>19871217</v>
          </cell>
          <cell r="E32" t="str">
            <v>EPS</v>
          </cell>
          <cell r="F32" t="str">
            <v>LTG</v>
          </cell>
          <cell r="G32">
            <v>0</v>
          </cell>
          <cell r="H32">
            <v>16</v>
          </cell>
          <cell r="I32">
            <v>5.0999999999999996</v>
          </cell>
          <cell r="J32">
            <v>5.33</v>
          </cell>
          <cell r="K32">
            <v>1.17</v>
          </cell>
          <cell r="L32">
            <v>1</v>
          </cell>
        </row>
        <row r="33">
          <cell r="A33" t="str">
            <v>UIL</v>
          </cell>
          <cell r="B33" t="str">
            <v>UIL</v>
          </cell>
          <cell r="C33" t="str">
            <v>UTD ILLUM CO</v>
          </cell>
          <cell r="D33">
            <v>19871217</v>
          </cell>
          <cell r="E33" t="str">
            <v>EPS</v>
          </cell>
          <cell r="F33" t="str">
            <v>LTG</v>
          </cell>
          <cell r="G33">
            <v>0</v>
          </cell>
          <cell r="H33">
            <v>1</v>
          </cell>
          <cell r="I33">
            <v>0</v>
          </cell>
          <cell r="J33">
            <v>0</v>
          </cell>
          <cell r="L33">
            <v>1</v>
          </cell>
        </row>
        <row r="34">
          <cell r="A34" t="str">
            <v>WEC</v>
          </cell>
          <cell r="B34" t="str">
            <v>WPC</v>
          </cell>
          <cell r="C34" t="str">
            <v>WISCONSIN ENERGY</v>
          </cell>
          <cell r="D34">
            <v>19871217</v>
          </cell>
          <cell r="E34" t="str">
            <v>EPS</v>
          </cell>
          <cell r="F34" t="str">
            <v>LTG</v>
          </cell>
          <cell r="G34">
            <v>0</v>
          </cell>
          <cell r="H34">
            <v>17</v>
          </cell>
          <cell r="I34">
            <v>5.5</v>
          </cell>
          <cell r="J34">
            <v>5.12</v>
          </cell>
          <cell r="K34">
            <v>1.47</v>
          </cell>
          <cell r="L34">
            <v>1</v>
          </cell>
        </row>
        <row r="35">
          <cell r="A35" t="str">
            <v>WPS</v>
          </cell>
          <cell r="B35" t="str">
            <v>WPS</v>
          </cell>
          <cell r="C35" t="str">
            <v>WISC PUB SVC</v>
          </cell>
          <cell r="D35">
            <v>19871217</v>
          </cell>
          <cell r="E35" t="str">
            <v>EPS</v>
          </cell>
          <cell r="F35" t="str">
            <v>LTG</v>
          </cell>
          <cell r="G35">
            <v>0</v>
          </cell>
          <cell r="H35">
            <v>10</v>
          </cell>
          <cell r="I35">
            <v>4.5</v>
          </cell>
          <cell r="J35">
            <v>4.49</v>
          </cell>
          <cell r="K35">
            <v>1.42</v>
          </cell>
          <cell r="L35">
            <v>1</v>
          </cell>
        </row>
        <row r="36">
          <cell r="A36" t="str">
            <v>PPL</v>
          </cell>
          <cell r="B36" t="str">
            <v>PPL1</v>
          </cell>
          <cell r="C36" t="str">
            <v>PEMBINA RES LTD</v>
          </cell>
          <cell r="D36">
            <v>19871217</v>
          </cell>
          <cell r="E36" t="str">
            <v>EPS</v>
          </cell>
          <cell r="F36" t="str">
            <v>LTG</v>
          </cell>
          <cell r="G36">
            <v>0</v>
          </cell>
          <cell r="H36">
            <v>1</v>
          </cell>
          <cell r="I36">
            <v>12.5</v>
          </cell>
          <cell r="J36">
            <v>12.5</v>
          </cell>
          <cell r="L36">
            <v>0</v>
          </cell>
        </row>
      </sheetData>
    </sheetDataSet>
  </externalBook>
</externalLink>
</file>

<file path=xl/externalLinks/externalLink1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pexrsrcfpypzx0"/>
    </sheetNames>
    <sheetDataSet>
      <sheetData sheetId="0">
        <row r="1">
          <cell r="B1" t="str">
            <v>Official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Forecast Period End Date (SAS Format)</v>
          </cell>
          <cell r="M1" t="str">
            <v>Actual Value, from the Detail Actuals File</v>
          </cell>
          <cell r="N1" t="str">
            <v>Announce date of the Actual, from the Detail Actuals File</v>
          </cell>
        </row>
        <row r="2">
          <cell r="B2" t="str">
            <v>CGC</v>
          </cell>
          <cell r="C2" t="str">
            <v>CASCADE NAT GAS</v>
          </cell>
          <cell r="D2">
            <v>32128</v>
          </cell>
          <cell r="E2" t="str">
            <v>EPS</v>
          </cell>
          <cell r="F2" t="str">
            <v>ANN</v>
          </cell>
          <cell r="G2" t="str">
            <v>1</v>
          </cell>
          <cell r="H2">
            <v>2</v>
          </cell>
          <cell r="I2">
            <v>0.73</v>
          </cell>
          <cell r="J2">
            <v>0.73</v>
          </cell>
          <cell r="K2">
            <v>0</v>
          </cell>
          <cell r="L2">
            <v>32142</v>
          </cell>
          <cell r="M2">
            <v>0.64</v>
          </cell>
          <cell r="N2">
            <v>32178</v>
          </cell>
        </row>
        <row r="3">
          <cell r="B3" t="str">
            <v>GAS</v>
          </cell>
          <cell r="C3" t="str">
            <v>NICOR INC</v>
          </cell>
          <cell r="D3">
            <v>32128</v>
          </cell>
          <cell r="E3" t="str">
            <v>EPS</v>
          </cell>
          <cell r="F3" t="str">
            <v>ANN</v>
          </cell>
          <cell r="G3" t="str">
            <v>1</v>
          </cell>
          <cell r="H3">
            <v>12</v>
          </cell>
          <cell r="I3">
            <v>1.26</v>
          </cell>
          <cell r="J3">
            <v>1.27</v>
          </cell>
          <cell r="K3">
            <v>0.05</v>
          </cell>
          <cell r="L3">
            <v>32142</v>
          </cell>
          <cell r="M3">
            <v>1.34</v>
          </cell>
          <cell r="N3">
            <v>32172</v>
          </cell>
        </row>
        <row r="4">
          <cell r="B4" t="str">
            <v>LG</v>
          </cell>
          <cell r="C4" t="str">
            <v>LACLEDE GAS</v>
          </cell>
          <cell r="D4">
            <v>32128</v>
          </cell>
          <cell r="E4" t="str">
            <v>EPS</v>
          </cell>
          <cell r="F4" t="str">
            <v>ANN</v>
          </cell>
          <cell r="G4" t="str">
            <v>1</v>
          </cell>
          <cell r="H4">
            <v>1</v>
          </cell>
          <cell r="I4">
            <v>1.7</v>
          </cell>
          <cell r="J4">
            <v>1.7</v>
          </cell>
          <cell r="L4">
            <v>32416</v>
          </cell>
          <cell r="M4">
            <v>1.57</v>
          </cell>
          <cell r="N4">
            <v>32466</v>
          </cell>
        </row>
        <row r="5">
          <cell r="B5" t="str">
            <v>NI</v>
          </cell>
          <cell r="C5" t="str">
            <v>NORTHN IND PUB</v>
          </cell>
          <cell r="D5">
            <v>32128</v>
          </cell>
          <cell r="E5" t="str">
            <v>EPS</v>
          </cell>
          <cell r="F5" t="str">
            <v>ANN</v>
          </cell>
          <cell r="G5" t="str">
            <v>1</v>
          </cell>
          <cell r="H5">
            <v>22</v>
          </cell>
          <cell r="I5">
            <v>0.39</v>
          </cell>
          <cell r="J5">
            <v>0.42</v>
          </cell>
          <cell r="K5">
            <v>0.09</v>
          </cell>
          <cell r="L5">
            <v>32142</v>
          </cell>
          <cell r="M5">
            <v>0.26500000000000001</v>
          </cell>
          <cell r="N5">
            <v>32178</v>
          </cell>
        </row>
        <row r="6">
          <cell r="B6" t="str">
            <v>NJR</v>
          </cell>
          <cell r="C6" t="str">
            <v>NEW JERSEY RES</v>
          </cell>
          <cell r="D6">
            <v>32128</v>
          </cell>
          <cell r="E6" t="str">
            <v>EPS</v>
          </cell>
          <cell r="F6" t="str">
            <v>ANN</v>
          </cell>
          <cell r="G6" t="str">
            <v>1</v>
          </cell>
          <cell r="H6">
            <v>4</v>
          </cell>
          <cell r="I6">
            <v>0.3</v>
          </cell>
          <cell r="J6">
            <v>0.31</v>
          </cell>
          <cell r="K6">
            <v>0.03</v>
          </cell>
          <cell r="L6">
            <v>32416</v>
          </cell>
          <cell r="M6">
            <v>0.37109999999999999</v>
          </cell>
          <cell r="N6">
            <v>32444</v>
          </cell>
        </row>
        <row r="7">
          <cell r="B7" t="str">
            <v>PNY</v>
          </cell>
          <cell r="C7" t="str">
            <v>PIEDMONT NAT GAS</v>
          </cell>
          <cell r="D7">
            <v>32128</v>
          </cell>
          <cell r="E7" t="str">
            <v>EPS</v>
          </cell>
          <cell r="F7" t="str">
            <v>ANN</v>
          </cell>
          <cell r="G7" t="str">
            <v>1</v>
          </cell>
          <cell r="H7">
            <v>2</v>
          </cell>
          <cell r="I7">
            <v>0.52</v>
          </cell>
          <cell r="J7">
            <v>0.52</v>
          </cell>
          <cell r="K7">
            <v>0.02</v>
          </cell>
          <cell r="L7">
            <v>32447</v>
          </cell>
          <cell r="M7">
            <v>0.59250000000000003</v>
          </cell>
          <cell r="N7">
            <v>32483</v>
          </cell>
        </row>
        <row r="8">
          <cell r="B8" t="str">
            <v>SJI</v>
          </cell>
          <cell r="C8" t="str">
            <v>SO JERSEY INDS</v>
          </cell>
          <cell r="D8">
            <v>32128</v>
          </cell>
          <cell r="E8" t="str">
            <v>EPS</v>
          </cell>
          <cell r="F8" t="str">
            <v>ANN</v>
          </cell>
          <cell r="G8" t="str">
            <v>1</v>
          </cell>
          <cell r="H8">
            <v>5</v>
          </cell>
          <cell r="I8">
            <v>0.36</v>
          </cell>
          <cell r="J8">
            <v>0.36</v>
          </cell>
          <cell r="K8">
            <v>0.01</v>
          </cell>
          <cell r="L8">
            <v>32142</v>
          </cell>
          <cell r="M8">
            <v>0.39219999999999999</v>
          </cell>
          <cell r="N8">
            <v>32170</v>
          </cell>
        </row>
        <row r="9">
          <cell r="B9" t="str">
            <v>SWX</v>
          </cell>
          <cell r="C9" t="str">
            <v>SOUTHWEST GAS</v>
          </cell>
          <cell r="D9">
            <v>32128</v>
          </cell>
          <cell r="E9" t="str">
            <v>EPS</v>
          </cell>
          <cell r="F9" t="str">
            <v>ANN</v>
          </cell>
          <cell r="G9" t="str">
            <v>1</v>
          </cell>
          <cell r="H9">
            <v>5</v>
          </cell>
          <cell r="I9">
            <v>2.2000000000000002</v>
          </cell>
          <cell r="J9">
            <v>2.2599999999999998</v>
          </cell>
          <cell r="K9">
            <v>0.2</v>
          </cell>
          <cell r="L9">
            <v>32142</v>
          </cell>
          <cell r="M9">
            <v>2.13</v>
          </cell>
          <cell r="N9">
            <v>32193</v>
          </cell>
        </row>
        <row r="10">
          <cell r="B10" t="str">
            <v>WGL</v>
          </cell>
          <cell r="C10" t="str">
            <v>WASH GAS LT</v>
          </cell>
          <cell r="D10">
            <v>32128</v>
          </cell>
          <cell r="E10" t="str">
            <v>EPS</v>
          </cell>
          <cell r="F10" t="str">
            <v>ANN</v>
          </cell>
          <cell r="G10" t="str">
            <v>1</v>
          </cell>
          <cell r="H10">
            <v>7</v>
          </cell>
          <cell r="I10">
            <v>1.08</v>
          </cell>
          <cell r="J10">
            <v>1.0900000000000001</v>
          </cell>
          <cell r="K10">
            <v>0.03</v>
          </cell>
          <cell r="L10">
            <v>32142</v>
          </cell>
          <cell r="M10">
            <v>1.135</v>
          </cell>
          <cell r="N10">
            <v>32172</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RDS"/>
    </sheetNames>
    <sheetDataSet>
      <sheetData sheetId="0">
        <row r="1">
          <cell r="B1" t="str">
            <v>Official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Forecast Period End Date (SAS Format)</v>
          </cell>
          <cell r="M1" t="str">
            <v>Actual Value, from the Detail Actuals File</v>
          </cell>
          <cell r="N1" t="str">
            <v>Announce date of the Actual, from the Detail Actuals File</v>
          </cell>
        </row>
        <row r="2">
          <cell r="B2" t="str">
            <v>GAS</v>
          </cell>
          <cell r="C2" t="str">
            <v>AGL RESOURCES</v>
          </cell>
          <cell r="D2">
            <v>20151217</v>
          </cell>
          <cell r="E2" t="str">
            <v>EPS</v>
          </cell>
          <cell r="F2" t="str">
            <v>ANN</v>
          </cell>
          <cell r="G2">
            <v>1</v>
          </cell>
          <cell r="H2">
            <v>3</v>
          </cell>
          <cell r="I2">
            <v>2.95</v>
          </cell>
          <cell r="J2">
            <v>2.91</v>
          </cell>
          <cell r="K2">
            <v>0.1</v>
          </cell>
          <cell r="L2">
            <v>20151231</v>
          </cell>
          <cell r="M2">
            <v>3.24</v>
          </cell>
          <cell r="N2">
            <v>20160211</v>
          </cell>
        </row>
        <row r="3">
          <cell r="B3" t="str">
            <v>CPK</v>
          </cell>
          <cell r="C3" t="str">
            <v>CHESAPEAKE US</v>
          </cell>
          <cell r="D3">
            <v>20151217</v>
          </cell>
          <cell r="E3" t="str">
            <v>EPS</v>
          </cell>
          <cell r="F3" t="str">
            <v>ANN</v>
          </cell>
          <cell r="G3">
            <v>1</v>
          </cell>
          <cell r="H3">
            <v>3</v>
          </cell>
          <cell r="I3">
            <v>2.85</v>
          </cell>
          <cell r="J3">
            <v>2.84</v>
          </cell>
          <cell r="K3">
            <v>0.03</v>
          </cell>
          <cell r="L3">
            <v>20151231</v>
          </cell>
          <cell r="M3">
            <v>2.9</v>
          </cell>
          <cell r="N3">
            <v>20160225</v>
          </cell>
        </row>
        <row r="4">
          <cell r="B4" t="str">
            <v>ATO</v>
          </cell>
          <cell r="C4" t="str">
            <v>ATMOS ENERGY CP</v>
          </cell>
          <cell r="D4">
            <v>20151217</v>
          </cell>
          <cell r="E4" t="str">
            <v>EPS</v>
          </cell>
          <cell r="F4" t="str">
            <v>ANN</v>
          </cell>
          <cell r="G4">
            <v>1</v>
          </cell>
          <cell r="H4">
            <v>11</v>
          </cell>
          <cell r="I4">
            <v>3.3</v>
          </cell>
          <cell r="J4">
            <v>3.29</v>
          </cell>
          <cell r="K4">
            <v>0.04</v>
          </cell>
          <cell r="L4">
            <v>20160930</v>
          </cell>
          <cell r="M4">
            <v>3.37</v>
          </cell>
          <cell r="N4">
            <v>20161109</v>
          </cell>
        </row>
        <row r="5">
          <cell r="B5" t="str">
            <v>LG</v>
          </cell>
          <cell r="C5" t="str">
            <v>LACLEDE GROUP</v>
          </cell>
          <cell r="D5">
            <v>20151217</v>
          </cell>
          <cell r="E5" t="str">
            <v>EPS</v>
          </cell>
          <cell r="F5" t="str">
            <v>ANN</v>
          </cell>
          <cell r="G5">
            <v>1</v>
          </cell>
          <cell r="H5">
            <v>9</v>
          </cell>
          <cell r="I5">
            <v>3.38</v>
          </cell>
          <cell r="J5">
            <v>3.38</v>
          </cell>
          <cell r="K5">
            <v>0.02</v>
          </cell>
          <cell r="L5">
            <v>20160930</v>
          </cell>
          <cell r="M5">
            <v>3.42</v>
          </cell>
          <cell r="N5">
            <v>20161115</v>
          </cell>
        </row>
        <row r="6">
          <cell r="B6" t="str">
            <v>NI</v>
          </cell>
          <cell r="C6" t="str">
            <v>NISOURCE</v>
          </cell>
          <cell r="D6">
            <v>20151217</v>
          </cell>
          <cell r="E6" t="str">
            <v>EPS</v>
          </cell>
          <cell r="F6" t="str">
            <v>ANN</v>
          </cell>
          <cell r="G6">
            <v>1</v>
          </cell>
          <cell r="H6">
            <v>7</v>
          </cell>
          <cell r="I6">
            <v>1.38</v>
          </cell>
          <cell r="J6">
            <v>1.29</v>
          </cell>
          <cell r="K6">
            <v>0.2</v>
          </cell>
          <cell r="L6">
            <v>20151231</v>
          </cell>
          <cell r="M6">
            <v>0.94</v>
          </cell>
          <cell r="N6">
            <v>20160218</v>
          </cell>
        </row>
        <row r="7">
          <cell r="B7" t="str">
            <v>NJR</v>
          </cell>
          <cell r="C7" t="str">
            <v>NEW JERSEY RES</v>
          </cell>
          <cell r="D7">
            <v>20151217</v>
          </cell>
          <cell r="E7" t="str">
            <v>EPS</v>
          </cell>
          <cell r="F7" t="str">
            <v>ANN</v>
          </cell>
          <cell r="G7">
            <v>1</v>
          </cell>
          <cell r="H7">
            <v>6</v>
          </cell>
          <cell r="I7">
            <v>1.62</v>
          </cell>
          <cell r="J7">
            <v>1.65</v>
          </cell>
          <cell r="K7">
            <v>0.06</v>
          </cell>
          <cell r="L7">
            <v>20160930</v>
          </cell>
          <cell r="M7">
            <v>1.61</v>
          </cell>
          <cell r="N7">
            <v>20161117</v>
          </cell>
        </row>
        <row r="8">
          <cell r="B8" t="str">
            <v>NWN</v>
          </cell>
          <cell r="C8" t="str">
            <v>NW NATURAL GAS</v>
          </cell>
          <cell r="D8">
            <v>20151217</v>
          </cell>
          <cell r="E8" t="str">
            <v>EPS</v>
          </cell>
          <cell r="F8" t="str">
            <v>ANN</v>
          </cell>
          <cell r="G8">
            <v>1</v>
          </cell>
          <cell r="H8">
            <v>3</v>
          </cell>
          <cell r="I8">
            <v>2.25</v>
          </cell>
          <cell r="J8">
            <v>2.25</v>
          </cell>
          <cell r="K8">
            <v>0.04</v>
          </cell>
          <cell r="L8">
            <v>20151231</v>
          </cell>
          <cell r="M8">
            <v>2.37</v>
          </cell>
          <cell r="N8">
            <v>20160226</v>
          </cell>
        </row>
        <row r="9">
          <cell r="B9" t="str">
            <v>OGS</v>
          </cell>
          <cell r="C9" t="str">
            <v>ONE GAS INC</v>
          </cell>
          <cell r="D9">
            <v>20151217</v>
          </cell>
          <cell r="E9" t="str">
            <v>EPS</v>
          </cell>
          <cell r="F9" t="str">
            <v>ANN</v>
          </cell>
          <cell r="G9">
            <v>1</v>
          </cell>
          <cell r="H9">
            <v>6</v>
          </cell>
          <cell r="I9">
            <v>2.19</v>
          </cell>
          <cell r="J9">
            <v>2.19</v>
          </cell>
          <cell r="K9">
            <v>0.03</v>
          </cell>
          <cell r="L9">
            <v>20151231</v>
          </cell>
          <cell r="M9">
            <v>2.2400000000000002</v>
          </cell>
          <cell r="N9">
            <v>20160217</v>
          </cell>
        </row>
        <row r="10">
          <cell r="B10" t="str">
            <v>PNY</v>
          </cell>
          <cell r="C10" t="str">
            <v>PIEDMONT NAT GAS</v>
          </cell>
          <cell r="D10">
            <v>20151217</v>
          </cell>
          <cell r="E10" t="str">
            <v>EPS</v>
          </cell>
          <cell r="F10" t="str">
            <v>ANN</v>
          </cell>
          <cell r="G10">
            <v>1</v>
          </cell>
          <cell r="H10">
            <v>8</v>
          </cell>
          <cell r="I10">
            <v>1.87</v>
          </cell>
          <cell r="J10">
            <v>1.87</v>
          </cell>
          <cell r="K10">
            <v>0.03</v>
          </cell>
          <cell r="L10">
            <v>20151031</v>
          </cell>
          <cell r="M10">
            <v>1.73</v>
          </cell>
          <cell r="N10">
            <v>20151223</v>
          </cell>
        </row>
        <row r="11">
          <cell r="B11" t="str">
            <v>SJI</v>
          </cell>
          <cell r="C11" t="str">
            <v>SO JERSEY INDS</v>
          </cell>
          <cell r="D11">
            <v>20151217</v>
          </cell>
          <cell r="E11" t="str">
            <v>EPS</v>
          </cell>
          <cell r="F11" t="str">
            <v>ANN</v>
          </cell>
          <cell r="G11">
            <v>1</v>
          </cell>
          <cell r="H11">
            <v>3</v>
          </cell>
          <cell r="I11">
            <v>1.5</v>
          </cell>
          <cell r="J11">
            <v>1.5</v>
          </cell>
          <cell r="K11">
            <v>0.01</v>
          </cell>
          <cell r="L11">
            <v>20151231</v>
          </cell>
          <cell r="M11">
            <v>1.44</v>
          </cell>
          <cell r="N11">
            <v>20160229</v>
          </cell>
        </row>
        <row r="12">
          <cell r="B12" t="str">
            <v>SWX</v>
          </cell>
          <cell r="C12" t="str">
            <v>SOUTHWEST GAS</v>
          </cell>
          <cell r="D12">
            <v>20151217</v>
          </cell>
          <cell r="E12" t="str">
            <v>EPS</v>
          </cell>
          <cell r="F12" t="str">
            <v>ANN</v>
          </cell>
          <cell r="G12">
            <v>1</v>
          </cell>
          <cell r="H12">
            <v>5</v>
          </cell>
          <cell r="I12">
            <v>3</v>
          </cell>
          <cell r="J12">
            <v>2.99</v>
          </cell>
          <cell r="K12">
            <v>0.16</v>
          </cell>
          <cell r="L12">
            <v>20151231</v>
          </cell>
          <cell r="M12">
            <v>2.97</v>
          </cell>
          <cell r="N12">
            <v>20160224</v>
          </cell>
        </row>
        <row r="13">
          <cell r="B13" t="str">
            <v>WGL</v>
          </cell>
          <cell r="C13" t="str">
            <v>WGL HOLDING INC</v>
          </cell>
          <cell r="D13">
            <v>20151217</v>
          </cell>
          <cell r="E13" t="str">
            <v>EPS</v>
          </cell>
          <cell r="F13" t="str">
            <v>ANN</v>
          </cell>
          <cell r="G13">
            <v>1</v>
          </cell>
          <cell r="H13">
            <v>3</v>
          </cell>
          <cell r="I13">
            <v>3.08</v>
          </cell>
          <cell r="J13">
            <v>3.07</v>
          </cell>
          <cell r="K13">
            <v>0.02</v>
          </cell>
          <cell r="L13">
            <v>20160930</v>
          </cell>
          <cell r="M13">
            <v>3.27</v>
          </cell>
          <cell r="N13">
            <v>20161116</v>
          </cell>
        </row>
      </sheetData>
    </sheetDataSet>
  </externalBook>
</externalLink>
</file>

<file path=xl/externalLinks/externalLink1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j3lfczvr3ygtk2v"/>
    </sheetNames>
    <sheetDataSet>
      <sheetData sheetId="0">
        <row r="1">
          <cell r="B1" t="str">
            <v>Official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Forecast Period End Date (SAS Format)</v>
          </cell>
          <cell r="M1" t="str">
            <v>Actual Value, from the Detail Actuals File</v>
          </cell>
          <cell r="N1" t="str">
            <v>Announce date of the Actual, from the Detail Actuals File</v>
          </cell>
        </row>
        <row r="2">
          <cell r="B2" t="str">
            <v>CGC</v>
          </cell>
          <cell r="C2" t="str">
            <v>CASCADE NAT GAS</v>
          </cell>
          <cell r="D2">
            <v>32128</v>
          </cell>
          <cell r="E2" t="str">
            <v>EPS</v>
          </cell>
          <cell r="F2" t="str">
            <v>LTG</v>
          </cell>
          <cell r="G2" t="str">
            <v>0</v>
          </cell>
          <cell r="H2">
            <v>1</v>
          </cell>
          <cell r="I2">
            <v>5</v>
          </cell>
          <cell r="J2">
            <v>5</v>
          </cell>
        </row>
        <row r="3">
          <cell r="B3" t="str">
            <v>GAS</v>
          </cell>
          <cell r="C3" t="str">
            <v>NICOR INC</v>
          </cell>
          <cell r="D3">
            <v>32128</v>
          </cell>
          <cell r="E3" t="str">
            <v>EPS</v>
          </cell>
          <cell r="F3" t="str">
            <v>LTG</v>
          </cell>
          <cell r="G3" t="str">
            <v>0</v>
          </cell>
          <cell r="H3">
            <v>7</v>
          </cell>
          <cell r="I3">
            <v>5</v>
          </cell>
          <cell r="J3">
            <v>4.8600000000000003</v>
          </cell>
          <cell r="K3">
            <v>1.95</v>
          </cell>
        </row>
        <row r="4">
          <cell r="B4" t="str">
            <v>NI</v>
          </cell>
          <cell r="C4" t="str">
            <v>NORTHN IND PUB</v>
          </cell>
          <cell r="D4">
            <v>32128</v>
          </cell>
          <cell r="E4" t="str">
            <v>EPS</v>
          </cell>
          <cell r="F4" t="str">
            <v>LTG</v>
          </cell>
          <cell r="G4" t="str">
            <v>0</v>
          </cell>
          <cell r="H4">
            <v>10</v>
          </cell>
          <cell r="I4">
            <v>3.6</v>
          </cell>
          <cell r="J4">
            <v>6.07</v>
          </cell>
          <cell r="K4">
            <v>5.21</v>
          </cell>
        </row>
        <row r="5">
          <cell r="B5" t="str">
            <v>NJR</v>
          </cell>
          <cell r="C5" t="str">
            <v>NEW JERSEY RES</v>
          </cell>
          <cell r="D5">
            <v>32128</v>
          </cell>
          <cell r="E5" t="str">
            <v>EPS</v>
          </cell>
          <cell r="F5" t="str">
            <v>LTG</v>
          </cell>
          <cell r="G5" t="str">
            <v>0</v>
          </cell>
          <cell r="H5">
            <v>3</v>
          </cell>
          <cell r="I5">
            <v>7</v>
          </cell>
          <cell r="J5">
            <v>6.67</v>
          </cell>
          <cell r="K5">
            <v>1.53</v>
          </cell>
        </row>
        <row r="6">
          <cell r="B6" t="str">
            <v>SJI</v>
          </cell>
          <cell r="C6" t="str">
            <v>SO JERSEY INDS</v>
          </cell>
          <cell r="D6">
            <v>32128</v>
          </cell>
          <cell r="E6" t="str">
            <v>EPS</v>
          </cell>
          <cell r="F6" t="str">
            <v>LTG</v>
          </cell>
          <cell r="G6" t="str">
            <v>0</v>
          </cell>
          <cell r="H6">
            <v>3</v>
          </cell>
          <cell r="I6">
            <v>5</v>
          </cell>
          <cell r="J6">
            <v>5</v>
          </cell>
          <cell r="K6">
            <v>1</v>
          </cell>
        </row>
        <row r="7">
          <cell r="B7" t="str">
            <v>SWX</v>
          </cell>
          <cell r="C7" t="str">
            <v>SOUTHWEST GAS</v>
          </cell>
          <cell r="D7">
            <v>32128</v>
          </cell>
          <cell r="E7" t="str">
            <v>EPS</v>
          </cell>
          <cell r="F7" t="str">
            <v>LTG</v>
          </cell>
          <cell r="G7" t="str">
            <v>0</v>
          </cell>
          <cell r="H7">
            <v>3</v>
          </cell>
          <cell r="I7">
            <v>10</v>
          </cell>
          <cell r="J7">
            <v>11</v>
          </cell>
          <cell r="K7">
            <v>7.55</v>
          </cell>
        </row>
        <row r="8">
          <cell r="B8" t="str">
            <v>WGL</v>
          </cell>
          <cell r="C8" t="str">
            <v>WASH GAS LT</v>
          </cell>
          <cell r="D8">
            <v>32128</v>
          </cell>
          <cell r="E8" t="str">
            <v>EPS</v>
          </cell>
          <cell r="F8" t="str">
            <v>LTG</v>
          </cell>
          <cell r="G8" t="str">
            <v>0</v>
          </cell>
          <cell r="H8">
            <v>4</v>
          </cell>
          <cell r="I8">
            <v>6</v>
          </cell>
          <cell r="J8">
            <v>6</v>
          </cell>
          <cell r="K8">
            <v>2.31</v>
          </cell>
        </row>
      </sheetData>
    </sheetDataSet>
  </externalBook>
</externalLink>
</file>

<file path=xl/externalLinks/externalLink1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RDS"/>
    </sheetNames>
    <sheetDataSet>
      <sheetData sheetId="0">
        <row r="1">
          <cell r="A1" t="str">
            <v>OFTIC</v>
          </cell>
          <cell r="B1" t="str">
            <v>IBES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USFIRM=0 if from .INT file and USFIRM=1 if from .US file</v>
          </cell>
          <cell r="L1" t="str">
            <v>Forecast Period End Date (SAS Format)</v>
          </cell>
          <cell r="M1" t="str">
            <v>Actual Value, from the Detail Actuals File</v>
          </cell>
          <cell r="N1" t="str">
            <v>Announce date of the Actual, from the Detail Actuals File</v>
          </cell>
        </row>
        <row r="2">
          <cell r="A2" t="str">
            <v>AEE</v>
          </cell>
          <cell r="B2" t="str">
            <v>AEE</v>
          </cell>
          <cell r="C2" t="str">
            <v>AILEEN INC</v>
          </cell>
          <cell r="D2">
            <v>19861218</v>
          </cell>
          <cell r="E2" t="str">
            <v>EPS</v>
          </cell>
          <cell r="F2" t="str">
            <v>ANN</v>
          </cell>
          <cell r="G2">
            <v>1</v>
          </cell>
          <cell r="H2">
            <v>1</v>
          </cell>
          <cell r="I2">
            <v>-0.1</v>
          </cell>
          <cell r="J2">
            <v>-0.1</v>
          </cell>
          <cell r="K2">
            <v>1</v>
          </cell>
          <cell r="L2">
            <v>19861031</v>
          </cell>
          <cell r="M2">
            <v>-0.47</v>
          </cell>
          <cell r="N2">
            <v>19870105</v>
          </cell>
        </row>
        <row r="3">
          <cell r="A3" t="str">
            <v>AVA</v>
          </cell>
          <cell r="B3" t="str">
            <v>AVDO</v>
          </cell>
          <cell r="C3" t="str">
            <v>AUDIO VIDEO AFFI</v>
          </cell>
          <cell r="D3">
            <v>19861218</v>
          </cell>
          <cell r="E3" t="str">
            <v>EPS</v>
          </cell>
          <cell r="F3" t="str">
            <v>ANN</v>
          </cell>
          <cell r="G3">
            <v>1</v>
          </cell>
          <cell r="H3">
            <v>16</v>
          </cell>
          <cell r="I3">
            <v>0.31</v>
          </cell>
          <cell r="J3">
            <v>0.3</v>
          </cell>
          <cell r="K3">
            <v>1</v>
          </cell>
          <cell r="L3">
            <v>19870131</v>
          </cell>
          <cell r="M3">
            <v>0.22670000000000001</v>
          </cell>
          <cell r="N3">
            <v>19870410</v>
          </cell>
        </row>
        <row r="4">
          <cell r="A4" t="str">
            <v>BKH</v>
          </cell>
          <cell r="B4" t="str">
            <v>BHP</v>
          </cell>
          <cell r="C4" t="str">
            <v>BLACK HILLS CORP</v>
          </cell>
          <cell r="D4">
            <v>19861218</v>
          </cell>
          <cell r="E4" t="str">
            <v>EPS</v>
          </cell>
          <cell r="F4" t="str">
            <v>ANN</v>
          </cell>
          <cell r="G4">
            <v>1</v>
          </cell>
          <cell r="H4">
            <v>6</v>
          </cell>
          <cell r="I4">
            <v>0.8</v>
          </cell>
          <cell r="J4">
            <v>0.79</v>
          </cell>
          <cell r="K4">
            <v>1</v>
          </cell>
          <cell r="L4">
            <v>19861231</v>
          </cell>
          <cell r="M4">
            <v>0.73780000000000001</v>
          </cell>
          <cell r="N4">
            <v>19870213</v>
          </cell>
        </row>
        <row r="5">
          <cell r="A5" t="str">
            <v>CIN</v>
          </cell>
          <cell r="B5" t="str">
            <v>CIN</v>
          </cell>
          <cell r="C5" t="str">
            <v>CINN GAS &amp; EL</v>
          </cell>
          <cell r="D5">
            <v>19861218</v>
          </cell>
          <cell r="E5" t="str">
            <v>EPS</v>
          </cell>
          <cell r="F5" t="str">
            <v>ANN</v>
          </cell>
          <cell r="G5">
            <v>1</v>
          </cell>
          <cell r="H5">
            <v>22</v>
          </cell>
          <cell r="I5">
            <v>2.2000000000000002</v>
          </cell>
          <cell r="J5">
            <v>2.2200000000000002</v>
          </cell>
          <cell r="K5">
            <v>1</v>
          </cell>
          <cell r="L5">
            <v>19861231</v>
          </cell>
          <cell r="M5">
            <v>2.2532999999999999</v>
          </cell>
          <cell r="N5">
            <v>19870126</v>
          </cell>
        </row>
        <row r="6">
          <cell r="A6" t="str">
            <v>CMS</v>
          </cell>
          <cell r="B6" t="str">
            <v>CMS</v>
          </cell>
          <cell r="C6" t="str">
            <v>CONSUMERS PWR</v>
          </cell>
          <cell r="D6">
            <v>19861218</v>
          </cell>
          <cell r="E6" t="str">
            <v>EPS</v>
          </cell>
          <cell r="F6" t="str">
            <v>ANN</v>
          </cell>
          <cell r="G6">
            <v>1</v>
          </cell>
          <cell r="H6">
            <v>20</v>
          </cell>
          <cell r="I6">
            <v>0.63</v>
          </cell>
          <cell r="J6">
            <v>0.66</v>
          </cell>
          <cell r="K6">
            <v>1</v>
          </cell>
          <cell r="L6">
            <v>19861231</v>
          </cell>
          <cell r="M6">
            <v>0.74</v>
          </cell>
          <cell r="N6">
            <v>19870204</v>
          </cell>
        </row>
        <row r="7">
          <cell r="A7" t="str">
            <v>CNL</v>
          </cell>
          <cell r="B7" t="str">
            <v>CNL</v>
          </cell>
          <cell r="C7" t="str">
            <v>CENT LA ELEC INC</v>
          </cell>
          <cell r="D7">
            <v>19861218</v>
          </cell>
          <cell r="E7" t="str">
            <v>EPS</v>
          </cell>
          <cell r="F7" t="str">
            <v>ANN</v>
          </cell>
          <cell r="G7">
            <v>1</v>
          </cell>
          <cell r="H7">
            <v>6</v>
          </cell>
          <cell r="I7">
            <v>0.75</v>
          </cell>
          <cell r="J7">
            <v>0.75</v>
          </cell>
          <cell r="K7">
            <v>1</v>
          </cell>
          <cell r="L7">
            <v>19861231</v>
          </cell>
          <cell r="M7">
            <v>0.80500000000000005</v>
          </cell>
          <cell r="N7">
            <v>19870211</v>
          </cell>
        </row>
        <row r="8">
          <cell r="A8" t="str">
            <v>CNP</v>
          </cell>
          <cell r="B8" t="str">
            <v>CNP</v>
          </cell>
          <cell r="C8" t="str">
            <v>CROWN CENT PETE</v>
          </cell>
          <cell r="D8">
            <v>19861218</v>
          </cell>
          <cell r="E8" t="str">
            <v>EPS</v>
          </cell>
          <cell r="F8" t="str">
            <v>ANN</v>
          </cell>
          <cell r="G8">
            <v>1</v>
          </cell>
          <cell r="H8">
            <v>2</v>
          </cell>
          <cell r="I8">
            <v>0.05</v>
          </cell>
          <cell r="J8">
            <v>0.05</v>
          </cell>
          <cell r="K8">
            <v>1</v>
          </cell>
          <cell r="L8">
            <v>19861231</v>
          </cell>
          <cell r="M8">
            <v>-3.08</v>
          </cell>
        </row>
        <row r="9">
          <cell r="A9" t="str">
            <v>CV</v>
          </cell>
          <cell r="B9" t="str">
            <v>CV</v>
          </cell>
          <cell r="C9" t="str">
            <v>CNTRL VT PUB SVC</v>
          </cell>
          <cell r="D9">
            <v>19861218</v>
          </cell>
          <cell r="E9" t="str">
            <v>EPS</v>
          </cell>
          <cell r="F9" t="str">
            <v>ANN</v>
          </cell>
          <cell r="G9">
            <v>1</v>
          </cell>
          <cell r="H9">
            <v>1</v>
          </cell>
          <cell r="I9">
            <v>2.08</v>
          </cell>
          <cell r="J9">
            <v>2.08</v>
          </cell>
          <cell r="K9">
            <v>1</v>
          </cell>
          <cell r="L9">
            <v>19861231</v>
          </cell>
          <cell r="M9">
            <v>2.3866999999999998</v>
          </cell>
          <cell r="N9">
            <v>19870219</v>
          </cell>
        </row>
        <row r="10">
          <cell r="A10" t="str">
            <v>D</v>
          </cell>
          <cell r="B10" t="str">
            <v>D</v>
          </cell>
          <cell r="C10" t="str">
            <v>DOMINION RES INC</v>
          </cell>
          <cell r="D10">
            <v>19861218</v>
          </cell>
          <cell r="E10" t="str">
            <v>EPS</v>
          </cell>
          <cell r="F10" t="str">
            <v>ANN</v>
          </cell>
          <cell r="G10">
            <v>1</v>
          </cell>
          <cell r="H10">
            <v>28</v>
          </cell>
          <cell r="I10">
            <v>1.27</v>
          </cell>
          <cell r="J10">
            <v>1.26</v>
          </cell>
          <cell r="K10">
            <v>1</v>
          </cell>
          <cell r="L10">
            <v>19861231</v>
          </cell>
          <cell r="M10">
            <v>1.3232999999999999</v>
          </cell>
          <cell r="N10">
            <v>19870119</v>
          </cell>
        </row>
        <row r="11">
          <cell r="A11" t="str">
            <v>DPL</v>
          </cell>
          <cell r="B11" t="str">
            <v>DPL</v>
          </cell>
          <cell r="C11" t="str">
            <v>DPL INC</v>
          </cell>
          <cell r="D11">
            <v>19861218</v>
          </cell>
          <cell r="E11" t="str">
            <v>EPS</v>
          </cell>
          <cell r="F11" t="str">
            <v>ANN</v>
          </cell>
          <cell r="G11">
            <v>1</v>
          </cell>
          <cell r="H11">
            <v>13</v>
          </cell>
          <cell r="I11">
            <v>0.89</v>
          </cell>
          <cell r="J11">
            <v>0.87</v>
          </cell>
          <cell r="K11">
            <v>1</v>
          </cell>
          <cell r="L11">
            <v>19861231</v>
          </cell>
          <cell r="M11">
            <v>0.90359999999999996</v>
          </cell>
          <cell r="N11">
            <v>19870119</v>
          </cell>
        </row>
        <row r="12">
          <cell r="A12" t="str">
            <v>DTE</v>
          </cell>
          <cell r="B12" t="str">
            <v>DTE</v>
          </cell>
          <cell r="C12" t="str">
            <v>DETROIT EDISON</v>
          </cell>
          <cell r="D12">
            <v>19861218</v>
          </cell>
          <cell r="E12" t="str">
            <v>EPS</v>
          </cell>
          <cell r="F12" t="str">
            <v>ANN</v>
          </cell>
          <cell r="G12">
            <v>1</v>
          </cell>
          <cell r="H12">
            <v>18</v>
          </cell>
          <cell r="I12">
            <v>2.5</v>
          </cell>
          <cell r="J12">
            <v>2.5</v>
          </cell>
          <cell r="K12">
            <v>1</v>
          </cell>
          <cell r="L12">
            <v>19861231</v>
          </cell>
          <cell r="M12">
            <v>2.58</v>
          </cell>
          <cell r="N12">
            <v>19870127</v>
          </cell>
        </row>
        <row r="13">
          <cell r="A13" t="str">
            <v>DUK</v>
          </cell>
          <cell r="B13" t="str">
            <v>DUK</v>
          </cell>
          <cell r="C13" t="str">
            <v>DUKE POWER CO</v>
          </cell>
          <cell r="D13">
            <v>19861218</v>
          </cell>
          <cell r="E13" t="str">
            <v>EPS</v>
          </cell>
          <cell r="F13" t="str">
            <v>ANN</v>
          </cell>
          <cell r="G13">
            <v>1</v>
          </cell>
          <cell r="H13">
            <v>26</v>
          </cell>
          <cell r="I13">
            <v>2.93</v>
          </cell>
          <cell r="J13">
            <v>2.94</v>
          </cell>
          <cell r="K13">
            <v>1</v>
          </cell>
          <cell r="L13">
            <v>19861231</v>
          </cell>
          <cell r="M13">
            <v>3.03</v>
          </cell>
          <cell r="N13">
            <v>19870122</v>
          </cell>
        </row>
        <row r="14">
          <cell r="A14" t="str">
            <v>ED</v>
          </cell>
          <cell r="B14" t="str">
            <v>ED</v>
          </cell>
          <cell r="C14" t="str">
            <v>CONSOL EDISON</v>
          </cell>
          <cell r="D14">
            <v>19861218</v>
          </cell>
          <cell r="E14" t="str">
            <v>EPS</v>
          </cell>
          <cell r="F14" t="str">
            <v>ANN</v>
          </cell>
          <cell r="G14">
            <v>1</v>
          </cell>
          <cell r="H14">
            <v>25</v>
          </cell>
          <cell r="I14">
            <v>2.15</v>
          </cell>
          <cell r="J14">
            <v>2.15</v>
          </cell>
          <cell r="K14">
            <v>1</v>
          </cell>
          <cell r="L14">
            <v>19861231</v>
          </cell>
          <cell r="M14">
            <v>2.13</v>
          </cell>
          <cell r="N14">
            <v>19870128</v>
          </cell>
        </row>
        <row r="15">
          <cell r="A15" t="str">
            <v>EDE</v>
          </cell>
          <cell r="B15" t="str">
            <v>EDE</v>
          </cell>
          <cell r="C15" t="str">
            <v>EMPIRE DIST ELEC</v>
          </cell>
          <cell r="D15">
            <v>19861218</v>
          </cell>
          <cell r="E15" t="str">
            <v>EPS</v>
          </cell>
          <cell r="F15" t="str">
            <v>ANN</v>
          </cell>
          <cell r="G15">
            <v>1</v>
          </cell>
          <cell r="H15">
            <v>3</v>
          </cell>
          <cell r="I15">
            <v>1.4</v>
          </cell>
          <cell r="J15">
            <v>1.4</v>
          </cell>
          <cell r="K15">
            <v>1</v>
          </cell>
          <cell r="L15">
            <v>19861231</v>
          </cell>
          <cell r="M15">
            <v>1.43</v>
          </cell>
          <cell r="N15">
            <v>19870123</v>
          </cell>
        </row>
        <row r="16">
          <cell r="A16" t="str">
            <v>EXC</v>
          </cell>
          <cell r="B16" t="str">
            <v>EXC</v>
          </cell>
          <cell r="C16" t="str">
            <v>EXCEL INDS INC</v>
          </cell>
          <cell r="D16">
            <v>19861218</v>
          </cell>
          <cell r="E16" t="str">
            <v>EPS</v>
          </cell>
          <cell r="F16" t="str">
            <v>ANN</v>
          </cell>
          <cell r="G16">
            <v>1</v>
          </cell>
          <cell r="H16">
            <v>1</v>
          </cell>
          <cell r="I16">
            <v>1.18</v>
          </cell>
          <cell r="J16">
            <v>1.18</v>
          </cell>
          <cell r="K16">
            <v>1</v>
          </cell>
          <cell r="L16">
            <v>19861231</v>
          </cell>
          <cell r="M16">
            <v>0.77300000000000002</v>
          </cell>
          <cell r="N16">
            <v>19870223</v>
          </cell>
        </row>
        <row r="17">
          <cell r="A17" t="str">
            <v>FE</v>
          </cell>
          <cell r="B17" t="str">
            <v>FE</v>
          </cell>
          <cell r="C17" t="str">
            <v>FRIES ENTMT INC</v>
          </cell>
          <cell r="D17">
            <v>19861218</v>
          </cell>
          <cell r="E17" t="str">
            <v>EPS</v>
          </cell>
          <cell r="F17" t="str">
            <v>ANN</v>
          </cell>
          <cell r="G17">
            <v>1</v>
          </cell>
          <cell r="H17">
            <v>6</v>
          </cell>
          <cell r="I17">
            <v>0.7</v>
          </cell>
          <cell r="J17">
            <v>0.67</v>
          </cell>
          <cell r="K17">
            <v>1</v>
          </cell>
          <cell r="L17">
            <v>19870531</v>
          </cell>
          <cell r="M17">
            <v>-0.05</v>
          </cell>
        </row>
        <row r="18">
          <cell r="A18" t="str">
            <v>FPL</v>
          </cell>
          <cell r="B18" t="str">
            <v>FPL</v>
          </cell>
          <cell r="C18" t="str">
            <v>FPL GROUP</v>
          </cell>
          <cell r="D18">
            <v>19861218</v>
          </cell>
          <cell r="E18" t="str">
            <v>EPS</v>
          </cell>
          <cell r="F18" t="str">
            <v>ANN</v>
          </cell>
          <cell r="G18">
            <v>1</v>
          </cell>
          <cell r="H18">
            <v>28</v>
          </cell>
          <cell r="I18">
            <v>0.38</v>
          </cell>
          <cell r="J18">
            <v>0.38</v>
          </cell>
          <cell r="K18">
            <v>1</v>
          </cell>
          <cell r="L18">
            <v>19861231</v>
          </cell>
          <cell r="M18">
            <v>0.36249999999999999</v>
          </cell>
          <cell r="N18">
            <v>19870130</v>
          </cell>
        </row>
        <row r="19">
          <cell r="A19" t="str">
            <v>HE</v>
          </cell>
          <cell r="B19" t="str">
            <v>HE</v>
          </cell>
          <cell r="C19" t="str">
            <v>HAWAIIAN ELEC</v>
          </cell>
          <cell r="D19">
            <v>19861218</v>
          </cell>
          <cell r="E19" t="str">
            <v>EPS</v>
          </cell>
          <cell r="F19" t="str">
            <v>ANN</v>
          </cell>
          <cell r="G19">
            <v>1</v>
          </cell>
          <cell r="H19">
            <v>14</v>
          </cell>
          <cell r="I19">
            <v>1.3</v>
          </cell>
          <cell r="J19">
            <v>1.3</v>
          </cell>
          <cell r="K19">
            <v>1</v>
          </cell>
          <cell r="L19">
            <v>19861231</v>
          </cell>
          <cell r="M19">
            <v>1.2849999999999999</v>
          </cell>
          <cell r="N19">
            <v>19870217</v>
          </cell>
        </row>
        <row r="20">
          <cell r="A20" t="str">
            <v>IDA</v>
          </cell>
          <cell r="B20" t="str">
            <v>IDA</v>
          </cell>
          <cell r="C20" t="str">
            <v>IDAHO POWER CO</v>
          </cell>
          <cell r="D20">
            <v>19861218</v>
          </cell>
          <cell r="E20" t="str">
            <v>EPS</v>
          </cell>
          <cell r="F20" t="str">
            <v>ANN</v>
          </cell>
          <cell r="G20">
            <v>1</v>
          </cell>
          <cell r="H20">
            <v>18</v>
          </cell>
          <cell r="I20">
            <v>2</v>
          </cell>
          <cell r="J20">
            <v>2.0099999999999998</v>
          </cell>
          <cell r="K20">
            <v>1</v>
          </cell>
          <cell r="L20">
            <v>19861231</v>
          </cell>
          <cell r="M20">
            <v>2</v>
          </cell>
          <cell r="N20">
            <v>19870202</v>
          </cell>
        </row>
        <row r="21">
          <cell r="A21" t="str">
            <v>NU</v>
          </cell>
          <cell r="B21" t="str">
            <v>NU</v>
          </cell>
          <cell r="C21" t="str">
            <v>NORTHEAST UTILS</v>
          </cell>
          <cell r="D21">
            <v>19861218</v>
          </cell>
          <cell r="E21" t="str">
            <v>EPS</v>
          </cell>
          <cell r="F21" t="str">
            <v>ANN</v>
          </cell>
          <cell r="G21">
            <v>1</v>
          </cell>
          <cell r="H21">
            <v>20</v>
          </cell>
          <cell r="I21">
            <v>2.63</v>
          </cell>
          <cell r="J21">
            <v>2.62</v>
          </cell>
          <cell r="K21">
            <v>1</v>
          </cell>
          <cell r="L21">
            <v>19861231</v>
          </cell>
          <cell r="M21">
            <v>2.48</v>
          </cell>
          <cell r="N21">
            <v>19870128</v>
          </cell>
        </row>
        <row r="22">
          <cell r="A22" t="str">
            <v>OGE</v>
          </cell>
          <cell r="B22" t="str">
            <v>OGE</v>
          </cell>
          <cell r="C22" t="str">
            <v>OKLAHOMA G&amp;E</v>
          </cell>
          <cell r="D22">
            <v>19861218</v>
          </cell>
          <cell r="E22" t="str">
            <v>EPS</v>
          </cell>
          <cell r="F22" t="str">
            <v>ANN</v>
          </cell>
          <cell r="G22">
            <v>1</v>
          </cell>
          <cell r="H22">
            <v>25</v>
          </cell>
          <cell r="I22">
            <v>0.69</v>
          </cell>
          <cell r="J22">
            <v>0.69</v>
          </cell>
          <cell r="K22">
            <v>1</v>
          </cell>
          <cell r="L22">
            <v>19861231</v>
          </cell>
          <cell r="M22">
            <v>0.6875</v>
          </cell>
          <cell r="N22">
            <v>19870219</v>
          </cell>
        </row>
        <row r="23">
          <cell r="A23" t="str">
            <v>OTTR</v>
          </cell>
          <cell r="B23" t="str">
            <v>OTTR</v>
          </cell>
          <cell r="C23" t="str">
            <v>OTTER TAIL PWR</v>
          </cell>
          <cell r="D23">
            <v>19861218</v>
          </cell>
          <cell r="E23" t="str">
            <v>EPS</v>
          </cell>
          <cell r="F23" t="str">
            <v>ANN</v>
          </cell>
          <cell r="G23">
            <v>1</v>
          </cell>
          <cell r="H23">
            <v>6</v>
          </cell>
          <cell r="I23">
            <v>0.89</v>
          </cell>
          <cell r="J23">
            <v>0.89</v>
          </cell>
          <cell r="K23">
            <v>1</v>
          </cell>
          <cell r="L23">
            <v>19861231</v>
          </cell>
          <cell r="M23">
            <v>0.89249999999999996</v>
          </cell>
        </row>
        <row r="24">
          <cell r="A24" t="str">
            <v>PCG</v>
          </cell>
          <cell r="B24" t="str">
            <v>PCG</v>
          </cell>
          <cell r="C24" t="str">
            <v>PACIFIC G&amp;E</v>
          </cell>
          <cell r="D24">
            <v>19861218</v>
          </cell>
          <cell r="E24" t="str">
            <v>EPS</v>
          </cell>
          <cell r="F24" t="str">
            <v>ANN</v>
          </cell>
          <cell r="G24">
            <v>1</v>
          </cell>
          <cell r="H24">
            <v>26</v>
          </cell>
          <cell r="I24">
            <v>2.7</v>
          </cell>
          <cell r="J24">
            <v>2.7</v>
          </cell>
          <cell r="K24">
            <v>1</v>
          </cell>
          <cell r="L24">
            <v>19861231</v>
          </cell>
        </row>
        <row r="25">
          <cell r="A25" t="str">
            <v>PEG</v>
          </cell>
          <cell r="B25" t="str">
            <v>PEG</v>
          </cell>
          <cell r="C25" t="str">
            <v>PUB SVC ENTERS</v>
          </cell>
          <cell r="D25">
            <v>19861218</v>
          </cell>
          <cell r="E25" t="str">
            <v>EPS</v>
          </cell>
          <cell r="F25" t="str">
            <v>ANN</v>
          </cell>
          <cell r="G25">
            <v>1</v>
          </cell>
          <cell r="H25">
            <v>27</v>
          </cell>
          <cell r="I25">
            <v>1.35</v>
          </cell>
          <cell r="J25">
            <v>1.36</v>
          </cell>
          <cell r="K25">
            <v>1</v>
          </cell>
          <cell r="L25">
            <v>19861231</v>
          </cell>
          <cell r="M25">
            <v>1.405</v>
          </cell>
          <cell r="N25">
            <v>19870213</v>
          </cell>
        </row>
        <row r="26">
          <cell r="A26" t="str">
            <v>PGN</v>
          </cell>
          <cell r="B26" t="str">
            <v>PGN</v>
          </cell>
          <cell r="C26" t="str">
            <v>PORTLAND GEN CP</v>
          </cell>
          <cell r="D26">
            <v>19861218</v>
          </cell>
          <cell r="E26" t="str">
            <v>EPS</v>
          </cell>
          <cell r="F26" t="str">
            <v>ANN</v>
          </cell>
          <cell r="G26">
            <v>1</v>
          </cell>
          <cell r="H26">
            <v>14</v>
          </cell>
          <cell r="I26">
            <v>2.25</v>
          </cell>
          <cell r="J26">
            <v>2.2999999999999998</v>
          </cell>
          <cell r="K26">
            <v>1</v>
          </cell>
          <cell r="L26">
            <v>19861231</v>
          </cell>
          <cell r="M26">
            <v>1.97</v>
          </cell>
          <cell r="N26">
            <v>19870212</v>
          </cell>
        </row>
        <row r="27">
          <cell r="A27" t="str">
            <v>PNM</v>
          </cell>
          <cell r="B27" t="str">
            <v>PNM</v>
          </cell>
          <cell r="C27" t="str">
            <v>PUB SVC N MEX</v>
          </cell>
          <cell r="D27">
            <v>19861218</v>
          </cell>
          <cell r="E27" t="str">
            <v>EPS</v>
          </cell>
          <cell r="F27" t="str">
            <v>ANN</v>
          </cell>
          <cell r="G27">
            <v>1</v>
          </cell>
          <cell r="H27">
            <v>16</v>
          </cell>
          <cell r="I27">
            <v>2.2000000000000002</v>
          </cell>
          <cell r="J27">
            <v>2.21</v>
          </cell>
          <cell r="K27">
            <v>1</v>
          </cell>
          <cell r="L27">
            <v>19861231</v>
          </cell>
          <cell r="M27">
            <v>2.1932999999999998</v>
          </cell>
          <cell r="N27">
            <v>19870211</v>
          </cell>
        </row>
        <row r="28">
          <cell r="A28" t="str">
            <v>POM</v>
          </cell>
          <cell r="B28" t="str">
            <v>POM</v>
          </cell>
          <cell r="C28" t="str">
            <v>POTOMAC ELEC</v>
          </cell>
          <cell r="D28">
            <v>19861218</v>
          </cell>
          <cell r="E28" t="str">
            <v>EPS</v>
          </cell>
          <cell r="F28" t="str">
            <v>ANN</v>
          </cell>
          <cell r="G28">
            <v>1</v>
          </cell>
          <cell r="H28">
            <v>27</v>
          </cell>
          <cell r="I28">
            <v>2</v>
          </cell>
          <cell r="J28">
            <v>2.0099999999999998</v>
          </cell>
          <cell r="K28">
            <v>1</v>
          </cell>
          <cell r="L28">
            <v>19861231</v>
          </cell>
          <cell r="M28">
            <v>2.06</v>
          </cell>
          <cell r="N28">
            <v>19870123</v>
          </cell>
        </row>
        <row r="29">
          <cell r="A29" t="str">
            <v>POR</v>
          </cell>
          <cell r="B29" t="str">
            <v>POR</v>
          </cell>
          <cell r="C29" t="str">
            <v>PORTEC INC</v>
          </cell>
          <cell r="D29">
            <v>19861218</v>
          </cell>
          <cell r="E29" t="str">
            <v>EPS</v>
          </cell>
          <cell r="F29" t="str">
            <v>ANN</v>
          </cell>
          <cell r="G29">
            <v>1</v>
          </cell>
          <cell r="H29">
            <v>2</v>
          </cell>
          <cell r="I29">
            <v>0.66</v>
          </cell>
          <cell r="J29">
            <v>0.66</v>
          </cell>
          <cell r="K29">
            <v>1</v>
          </cell>
          <cell r="L29">
            <v>19861231</v>
          </cell>
          <cell r="M29">
            <v>0.40570000000000001</v>
          </cell>
          <cell r="N29">
            <v>19870203</v>
          </cell>
        </row>
        <row r="30">
          <cell r="A30" t="str">
            <v>PPL</v>
          </cell>
          <cell r="B30" t="str">
            <v>PPL</v>
          </cell>
          <cell r="C30" t="str">
            <v>PENNA P&amp;L</v>
          </cell>
          <cell r="D30">
            <v>19861218</v>
          </cell>
          <cell r="E30" t="str">
            <v>EPS</v>
          </cell>
          <cell r="F30" t="str">
            <v>ANN</v>
          </cell>
          <cell r="G30">
            <v>1</v>
          </cell>
          <cell r="H30">
            <v>19</v>
          </cell>
          <cell r="I30">
            <v>0.75</v>
          </cell>
          <cell r="J30">
            <v>0.74</v>
          </cell>
          <cell r="K30">
            <v>1</v>
          </cell>
          <cell r="L30">
            <v>19861231</v>
          </cell>
          <cell r="M30">
            <v>0.77500000000000002</v>
          </cell>
          <cell r="N30">
            <v>19870129</v>
          </cell>
        </row>
        <row r="31">
          <cell r="A31" t="str">
            <v>PSD</v>
          </cell>
          <cell r="B31" t="str">
            <v>PSD</v>
          </cell>
          <cell r="C31" t="str">
            <v>PUGET SOUND P&amp;L</v>
          </cell>
          <cell r="D31">
            <v>19861218</v>
          </cell>
          <cell r="E31" t="str">
            <v>EPS</v>
          </cell>
          <cell r="F31" t="str">
            <v>ANN</v>
          </cell>
          <cell r="G31">
            <v>1</v>
          </cell>
          <cell r="H31">
            <v>14</v>
          </cell>
          <cell r="I31">
            <v>1.8</v>
          </cell>
          <cell r="J31">
            <v>1.86</v>
          </cell>
          <cell r="K31">
            <v>1</v>
          </cell>
          <cell r="L31">
            <v>19861231</v>
          </cell>
          <cell r="M31">
            <v>1.72</v>
          </cell>
          <cell r="N31">
            <v>19870217</v>
          </cell>
        </row>
        <row r="32">
          <cell r="A32" t="str">
            <v>SCG</v>
          </cell>
          <cell r="B32" t="str">
            <v>SCG</v>
          </cell>
          <cell r="C32" t="str">
            <v>SCANA CP</v>
          </cell>
          <cell r="D32">
            <v>19861218</v>
          </cell>
          <cell r="E32" t="str">
            <v>EPS</v>
          </cell>
          <cell r="F32" t="str">
            <v>ANN</v>
          </cell>
          <cell r="G32">
            <v>1</v>
          </cell>
          <cell r="H32">
            <v>20</v>
          </cell>
          <cell r="I32">
            <v>1.5</v>
          </cell>
          <cell r="J32">
            <v>1.49</v>
          </cell>
          <cell r="K32">
            <v>1</v>
          </cell>
          <cell r="L32">
            <v>19861231</v>
          </cell>
          <cell r="M32">
            <v>1.5149999999999999</v>
          </cell>
          <cell r="N32">
            <v>19870209</v>
          </cell>
        </row>
        <row r="33">
          <cell r="A33" t="str">
            <v>SO</v>
          </cell>
          <cell r="B33" t="str">
            <v>SO</v>
          </cell>
          <cell r="C33" t="str">
            <v>SOUTHN CO</v>
          </cell>
          <cell r="D33">
            <v>19861218</v>
          </cell>
          <cell r="E33" t="str">
            <v>EPS</v>
          </cell>
          <cell r="F33" t="str">
            <v>ANN</v>
          </cell>
          <cell r="G33">
            <v>1</v>
          </cell>
          <cell r="H33">
            <v>28</v>
          </cell>
          <cell r="I33">
            <v>1.6</v>
          </cell>
          <cell r="J33">
            <v>1.6</v>
          </cell>
          <cell r="K33">
            <v>1</v>
          </cell>
          <cell r="L33">
            <v>19861231</v>
          </cell>
          <cell r="M33">
            <v>1.585</v>
          </cell>
          <cell r="N33">
            <v>19870206</v>
          </cell>
        </row>
        <row r="34">
          <cell r="A34" t="str">
            <v>TE</v>
          </cell>
          <cell r="B34" t="str">
            <v>TE</v>
          </cell>
          <cell r="C34" t="str">
            <v>TECO ENERGY INC</v>
          </cell>
          <cell r="D34">
            <v>19861218</v>
          </cell>
          <cell r="E34" t="str">
            <v>EPS</v>
          </cell>
          <cell r="F34" t="str">
            <v>ANN</v>
          </cell>
          <cell r="G34">
            <v>1</v>
          </cell>
          <cell r="H34">
            <v>21</v>
          </cell>
          <cell r="I34">
            <v>0.9</v>
          </cell>
          <cell r="J34">
            <v>0.9</v>
          </cell>
          <cell r="K34">
            <v>1</v>
          </cell>
          <cell r="L34">
            <v>19861231</v>
          </cell>
          <cell r="M34">
            <v>0.86250000000000004</v>
          </cell>
          <cell r="N34">
            <v>19870116</v>
          </cell>
        </row>
        <row r="35">
          <cell r="A35" t="str">
            <v>UIL</v>
          </cell>
          <cell r="B35" t="str">
            <v>UIL</v>
          </cell>
          <cell r="C35" t="str">
            <v>UTD ILLUM CO</v>
          </cell>
          <cell r="D35">
            <v>19861218</v>
          </cell>
          <cell r="E35" t="str">
            <v>EPS</v>
          </cell>
          <cell r="F35" t="str">
            <v>ANN</v>
          </cell>
          <cell r="G35">
            <v>1</v>
          </cell>
          <cell r="H35">
            <v>3</v>
          </cell>
          <cell r="I35">
            <v>3.45</v>
          </cell>
          <cell r="J35">
            <v>3.51</v>
          </cell>
          <cell r="K35">
            <v>1</v>
          </cell>
          <cell r="L35">
            <v>19861231</v>
          </cell>
          <cell r="M35">
            <v>3.5819999999999999</v>
          </cell>
          <cell r="N35">
            <v>19870420</v>
          </cell>
        </row>
        <row r="36">
          <cell r="A36" t="str">
            <v>WPS</v>
          </cell>
          <cell r="B36" t="str">
            <v>WPS</v>
          </cell>
          <cell r="C36" t="str">
            <v>WISC PUB SVC</v>
          </cell>
          <cell r="D36">
            <v>19861218</v>
          </cell>
          <cell r="E36" t="str">
            <v>EPS</v>
          </cell>
          <cell r="F36" t="str">
            <v>ANN</v>
          </cell>
          <cell r="G36">
            <v>1</v>
          </cell>
          <cell r="H36">
            <v>16</v>
          </cell>
          <cell r="I36">
            <v>2.11</v>
          </cell>
          <cell r="J36">
            <v>2.11</v>
          </cell>
          <cell r="K36">
            <v>1</v>
          </cell>
          <cell r="L36">
            <v>19861231</v>
          </cell>
          <cell r="M36">
            <v>2.0299999999999998</v>
          </cell>
          <cell r="N36">
            <v>19870203</v>
          </cell>
        </row>
        <row r="37">
          <cell r="A37" t="str">
            <v>AGR</v>
          </cell>
          <cell r="B37" t="str">
            <v>AGR1</v>
          </cell>
          <cell r="C37" t="str">
            <v>AGRA INDS INC</v>
          </cell>
          <cell r="D37">
            <v>19861218</v>
          </cell>
          <cell r="E37" t="str">
            <v>EPS</v>
          </cell>
          <cell r="F37" t="str">
            <v>ANN</v>
          </cell>
          <cell r="G37">
            <v>1</v>
          </cell>
          <cell r="H37">
            <v>1</v>
          </cell>
          <cell r="I37">
            <v>1.1499999999999999</v>
          </cell>
          <cell r="J37">
            <v>1.1499999999999999</v>
          </cell>
          <cell r="K37">
            <v>0</v>
          </cell>
          <cell r="L37">
            <v>19870731</v>
          </cell>
          <cell r="M37">
            <v>1.04</v>
          </cell>
        </row>
        <row r="38">
          <cell r="A38" t="str">
            <v>PPL</v>
          </cell>
          <cell r="B38" t="str">
            <v>PPL1</v>
          </cell>
          <cell r="C38" t="str">
            <v>PEMBINA RES LTD</v>
          </cell>
          <cell r="D38">
            <v>19861218</v>
          </cell>
          <cell r="E38" t="str">
            <v>EPS</v>
          </cell>
          <cell r="F38" t="str">
            <v>ANN</v>
          </cell>
          <cell r="G38">
            <v>1</v>
          </cell>
          <cell r="H38">
            <v>3</v>
          </cell>
          <cell r="I38">
            <v>0.6</v>
          </cell>
          <cell r="J38">
            <v>0.63</v>
          </cell>
          <cell r="K38">
            <v>0</v>
          </cell>
          <cell r="L38">
            <v>19861231</v>
          </cell>
          <cell r="M38">
            <v>0.48</v>
          </cell>
          <cell r="N38">
            <v>19870327</v>
          </cell>
        </row>
      </sheetData>
    </sheetDataSet>
  </externalBook>
</externalLink>
</file>

<file path=xl/externalLinks/externalLink1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RDS"/>
    </sheetNames>
    <sheetDataSet>
      <sheetData sheetId="0">
        <row r="1">
          <cell r="A1" t="str">
            <v>OFTIC</v>
          </cell>
          <cell r="B1" t="str">
            <v>IBES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USFIRM=0 if from .INT file and USFIRM=1 if from .US file</v>
          </cell>
          <cell r="M1" t="str">
            <v>Forecast Period End Date (SAS Format)</v>
          </cell>
          <cell r="N1" t="str">
            <v>Actual Value, from the Detail Actuals File</v>
          </cell>
          <cell r="O1" t="str">
            <v>Announce date of the Actual, from the Detail Actuals File</v>
          </cell>
        </row>
        <row r="2">
          <cell r="A2" t="str">
            <v>AVA</v>
          </cell>
          <cell r="B2" t="str">
            <v>AVDO</v>
          </cell>
          <cell r="C2" t="str">
            <v>AUDIO VIDEO AFFI</v>
          </cell>
          <cell r="D2">
            <v>19861218</v>
          </cell>
          <cell r="E2" t="str">
            <v>EPS</v>
          </cell>
          <cell r="F2" t="str">
            <v>LTG</v>
          </cell>
          <cell r="G2">
            <v>0</v>
          </cell>
          <cell r="H2">
            <v>6</v>
          </cell>
          <cell r="I2">
            <v>20</v>
          </cell>
          <cell r="J2">
            <v>19.170000000000002</v>
          </cell>
          <cell r="K2">
            <v>5.08</v>
          </cell>
          <cell r="L2">
            <v>1</v>
          </cell>
        </row>
        <row r="3">
          <cell r="A3" t="str">
            <v>BKH</v>
          </cell>
          <cell r="B3" t="str">
            <v>BHP</v>
          </cell>
          <cell r="C3" t="str">
            <v>BLACK HILLS CORP</v>
          </cell>
          <cell r="D3">
            <v>19861218</v>
          </cell>
          <cell r="E3" t="str">
            <v>EPS</v>
          </cell>
          <cell r="F3" t="str">
            <v>LTG</v>
          </cell>
          <cell r="G3">
            <v>0</v>
          </cell>
          <cell r="H3">
            <v>2</v>
          </cell>
          <cell r="I3">
            <v>8</v>
          </cell>
          <cell r="J3">
            <v>8</v>
          </cell>
          <cell r="K3">
            <v>1.41</v>
          </cell>
          <cell r="L3">
            <v>1</v>
          </cell>
        </row>
        <row r="4">
          <cell r="A4" t="str">
            <v>CIN</v>
          </cell>
          <cell r="B4" t="str">
            <v>CIN</v>
          </cell>
          <cell r="C4" t="str">
            <v>CINN GAS &amp; EL</v>
          </cell>
          <cell r="D4">
            <v>19861218</v>
          </cell>
          <cell r="E4" t="str">
            <v>EPS</v>
          </cell>
          <cell r="F4" t="str">
            <v>LTG</v>
          </cell>
          <cell r="G4">
            <v>0</v>
          </cell>
          <cell r="H4">
            <v>12</v>
          </cell>
          <cell r="I4">
            <v>3</v>
          </cell>
          <cell r="J4">
            <v>2.79</v>
          </cell>
          <cell r="K4">
            <v>1.63</v>
          </cell>
          <cell r="L4">
            <v>1</v>
          </cell>
        </row>
        <row r="5">
          <cell r="A5" t="str">
            <v>CMS</v>
          </cell>
          <cell r="B5" t="str">
            <v>CMS</v>
          </cell>
          <cell r="C5" t="str">
            <v>CONSUMERS PWR</v>
          </cell>
          <cell r="D5">
            <v>19861218</v>
          </cell>
          <cell r="E5" t="str">
            <v>EPS</v>
          </cell>
          <cell r="F5" t="str">
            <v>LTG</v>
          </cell>
          <cell r="G5">
            <v>0</v>
          </cell>
          <cell r="H5">
            <v>9</v>
          </cell>
          <cell r="I5">
            <v>3</v>
          </cell>
          <cell r="J5">
            <v>8.5</v>
          </cell>
          <cell r="K5">
            <v>16.920000000000002</v>
          </cell>
          <cell r="L5">
            <v>1</v>
          </cell>
        </row>
        <row r="6">
          <cell r="A6" t="str">
            <v>CNL</v>
          </cell>
          <cell r="B6" t="str">
            <v>CNL</v>
          </cell>
          <cell r="C6" t="str">
            <v>CENT LA ELEC INC</v>
          </cell>
          <cell r="D6">
            <v>19861218</v>
          </cell>
          <cell r="E6" t="str">
            <v>EPS</v>
          </cell>
          <cell r="F6" t="str">
            <v>LTG</v>
          </cell>
          <cell r="G6">
            <v>0</v>
          </cell>
          <cell r="H6">
            <v>4</v>
          </cell>
          <cell r="I6">
            <v>3</v>
          </cell>
          <cell r="J6">
            <v>2.88</v>
          </cell>
          <cell r="K6">
            <v>1.44</v>
          </cell>
          <cell r="L6">
            <v>1</v>
          </cell>
        </row>
        <row r="7">
          <cell r="A7" t="str">
            <v>CV</v>
          </cell>
          <cell r="B7" t="str">
            <v>CV</v>
          </cell>
          <cell r="C7" t="str">
            <v>CNTRL VT PUB SVC</v>
          </cell>
          <cell r="D7">
            <v>19861218</v>
          </cell>
          <cell r="E7" t="str">
            <v>EPS</v>
          </cell>
          <cell r="F7" t="str">
            <v>LTG</v>
          </cell>
          <cell r="G7">
            <v>0</v>
          </cell>
          <cell r="H7">
            <v>1</v>
          </cell>
          <cell r="I7">
            <v>1</v>
          </cell>
          <cell r="J7">
            <v>1</v>
          </cell>
          <cell r="L7">
            <v>1</v>
          </cell>
        </row>
        <row r="8">
          <cell r="A8" t="str">
            <v>D</v>
          </cell>
          <cell r="B8" t="str">
            <v>D</v>
          </cell>
          <cell r="C8" t="str">
            <v>DOMINION RES INC</v>
          </cell>
          <cell r="D8">
            <v>19861218</v>
          </cell>
          <cell r="E8" t="str">
            <v>EPS</v>
          </cell>
          <cell r="F8" t="str">
            <v>LTG</v>
          </cell>
          <cell r="G8">
            <v>0</v>
          </cell>
          <cell r="H8">
            <v>18</v>
          </cell>
          <cell r="I8">
            <v>5</v>
          </cell>
          <cell r="J8">
            <v>4.7699999999999996</v>
          </cell>
          <cell r="K8">
            <v>0.78</v>
          </cell>
          <cell r="L8">
            <v>1</v>
          </cell>
        </row>
        <row r="9">
          <cell r="A9" t="str">
            <v>DPL</v>
          </cell>
          <cell r="B9" t="str">
            <v>DPL</v>
          </cell>
          <cell r="C9" t="str">
            <v>DPL INC</v>
          </cell>
          <cell r="D9">
            <v>19861218</v>
          </cell>
          <cell r="E9" t="str">
            <v>EPS</v>
          </cell>
          <cell r="F9" t="str">
            <v>LTG</v>
          </cell>
          <cell r="G9">
            <v>0</v>
          </cell>
          <cell r="H9">
            <v>7</v>
          </cell>
          <cell r="I9">
            <v>3</v>
          </cell>
          <cell r="J9">
            <v>3.14</v>
          </cell>
          <cell r="K9">
            <v>0.9</v>
          </cell>
          <cell r="L9">
            <v>1</v>
          </cell>
        </row>
        <row r="10">
          <cell r="A10" t="str">
            <v>DTE</v>
          </cell>
          <cell r="B10" t="str">
            <v>DTE</v>
          </cell>
          <cell r="C10" t="str">
            <v>DETROIT EDISON</v>
          </cell>
          <cell r="D10">
            <v>19861218</v>
          </cell>
          <cell r="E10" t="str">
            <v>EPS</v>
          </cell>
          <cell r="F10" t="str">
            <v>LTG</v>
          </cell>
          <cell r="G10">
            <v>0</v>
          </cell>
          <cell r="H10">
            <v>13</v>
          </cell>
          <cell r="I10">
            <v>2</v>
          </cell>
          <cell r="J10">
            <v>2.21</v>
          </cell>
          <cell r="K10">
            <v>1.57</v>
          </cell>
          <cell r="L10">
            <v>1</v>
          </cell>
        </row>
        <row r="11">
          <cell r="A11" t="str">
            <v>DUK</v>
          </cell>
          <cell r="B11" t="str">
            <v>DUK</v>
          </cell>
          <cell r="C11" t="str">
            <v>DUKE POWER CO</v>
          </cell>
          <cell r="D11">
            <v>19861218</v>
          </cell>
          <cell r="E11" t="str">
            <v>EPS</v>
          </cell>
          <cell r="F11" t="str">
            <v>LTG</v>
          </cell>
          <cell r="G11">
            <v>0</v>
          </cell>
          <cell r="H11">
            <v>17</v>
          </cell>
          <cell r="I11">
            <v>5.5</v>
          </cell>
          <cell r="J11">
            <v>5.54</v>
          </cell>
          <cell r="K11">
            <v>1.18</v>
          </cell>
          <cell r="L11">
            <v>1</v>
          </cell>
        </row>
        <row r="12">
          <cell r="A12" t="str">
            <v>ED</v>
          </cell>
          <cell r="B12" t="str">
            <v>ED</v>
          </cell>
          <cell r="C12" t="str">
            <v>CONSOL EDISON</v>
          </cell>
          <cell r="D12">
            <v>19861218</v>
          </cell>
          <cell r="E12" t="str">
            <v>EPS</v>
          </cell>
          <cell r="F12" t="str">
            <v>LTG</v>
          </cell>
          <cell r="G12">
            <v>0</v>
          </cell>
          <cell r="H12">
            <v>15</v>
          </cell>
          <cell r="I12">
            <v>5</v>
          </cell>
          <cell r="J12">
            <v>5.37</v>
          </cell>
          <cell r="K12">
            <v>1.77</v>
          </cell>
          <cell r="L12">
            <v>1</v>
          </cell>
        </row>
        <row r="13">
          <cell r="A13" t="str">
            <v>EDE</v>
          </cell>
          <cell r="B13" t="str">
            <v>EDE</v>
          </cell>
          <cell r="C13" t="str">
            <v>EMPIRE DIST ELEC</v>
          </cell>
          <cell r="D13">
            <v>19861218</v>
          </cell>
          <cell r="E13" t="str">
            <v>EPS</v>
          </cell>
          <cell r="F13" t="str">
            <v>LTG</v>
          </cell>
          <cell r="G13">
            <v>0</v>
          </cell>
          <cell r="H13">
            <v>3</v>
          </cell>
          <cell r="I13">
            <v>5</v>
          </cell>
          <cell r="J13">
            <v>7</v>
          </cell>
          <cell r="K13">
            <v>6.25</v>
          </cell>
          <cell r="L13">
            <v>1</v>
          </cell>
        </row>
        <row r="14">
          <cell r="A14" t="str">
            <v>FE</v>
          </cell>
          <cell r="B14" t="str">
            <v>FE</v>
          </cell>
          <cell r="C14" t="str">
            <v>FRIES ENTMT INC</v>
          </cell>
          <cell r="D14">
            <v>19861218</v>
          </cell>
          <cell r="E14" t="str">
            <v>EPS</v>
          </cell>
          <cell r="F14" t="str">
            <v>LTG</v>
          </cell>
          <cell r="G14">
            <v>0</v>
          </cell>
          <cell r="H14">
            <v>1</v>
          </cell>
          <cell r="I14">
            <v>35</v>
          </cell>
          <cell r="J14">
            <v>35</v>
          </cell>
          <cell r="L14">
            <v>1</v>
          </cell>
        </row>
        <row r="15">
          <cell r="A15" t="str">
            <v>FPL</v>
          </cell>
          <cell r="B15" t="str">
            <v>FPL</v>
          </cell>
          <cell r="C15" t="str">
            <v>FPL GROUP</v>
          </cell>
          <cell r="D15">
            <v>19861218</v>
          </cell>
          <cell r="E15" t="str">
            <v>EPS</v>
          </cell>
          <cell r="F15" t="str">
            <v>LTG</v>
          </cell>
          <cell r="G15">
            <v>0</v>
          </cell>
          <cell r="H15">
            <v>19</v>
          </cell>
          <cell r="I15">
            <v>5.5</v>
          </cell>
          <cell r="J15">
            <v>5.63</v>
          </cell>
          <cell r="K15">
            <v>1.79</v>
          </cell>
          <cell r="L15">
            <v>1</v>
          </cell>
        </row>
        <row r="16">
          <cell r="A16" t="str">
            <v>HE</v>
          </cell>
          <cell r="B16" t="str">
            <v>HE</v>
          </cell>
          <cell r="C16" t="str">
            <v>HAWAIIAN ELEC</v>
          </cell>
          <cell r="D16">
            <v>19861218</v>
          </cell>
          <cell r="E16" t="str">
            <v>EPS</v>
          </cell>
          <cell r="F16" t="str">
            <v>LTG</v>
          </cell>
          <cell r="G16">
            <v>0</v>
          </cell>
          <cell r="H16">
            <v>10</v>
          </cell>
          <cell r="I16">
            <v>4.75</v>
          </cell>
          <cell r="J16">
            <v>4.78</v>
          </cell>
          <cell r="K16">
            <v>0.93</v>
          </cell>
          <cell r="L16">
            <v>1</v>
          </cell>
        </row>
        <row r="17">
          <cell r="A17" t="str">
            <v>IDA</v>
          </cell>
          <cell r="B17" t="str">
            <v>IDA</v>
          </cell>
          <cell r="C17" t="str">
            <v>IDAHO POWER CO</v>
          </cell>
          <cell r="D17">
            <v>19861218</v>
          </cell>
          <cell r="E17" t="str">
            <v>EPS</v>
          </cell>
          <cell r="F17" t="str">
            <v>LTG</v>
          </cell>
          <cell r="G17">
            <v>0</v>
          </cell>
          <cell r="H17">
            <v>11</v>
          </cell>
          <cell r="I17">
            <v>4</v>
          </cell>
          <cell r="J17">
            <v>4.03</v>
          </cell>
          <cell r="K17">
            <v>1.6</v>
          </cell>
          <cell r="L17">
            <v>1</v>
          </cell>
        </row>
        <row r="18">
          <cell r="A18" t="str">
            <v>NU</v>
          </cell>
          <cell r="B18" t="str">
            <v>NU</v>
          </cell>
          <cell r="C18" t="str">
            <v>NORTHEAST UTILS</v>
          </cell>
          <cell r="D18">
            <v>19861218</v>
          </cell>
          <cell r="E18" t="str">
            <v>EPS</v>
          </cell>
          <cell r="F18" t="str">
            <v>LTG</v>
          </cell>
          <cell r="G18">
            <v>0</v>
          </cell>
          <cell r="H18">
            <v>14</v>
          </cell>
          <cell r="I18">
            <v>4</v>
          </cell>
          <cell r="J18">
            <v>3.56</v>
          </cell>
          <cell r="K18">
            <v>1.81</v>
          </cell>
          <cell r="L18">
            <v>1</v>
          </cell>
        </row>
        <row r="19">
          <cell r="A19" t="str">
            <v>OGE</v>
          </cell>
          <cell r="B19" t="str">
            <v>OGE</v>
          </cell>
          <cell r="C19" t="str">
            <v>OKLAHOMA G&amp;E</v>
          </cell>
          <cell r="D19">
            <v>19861218</v>
          </cell>
          <cell r="E19" t="str">
            <v>EPS</v>
          </cell>
          <cell r="F19" t="str">
            <v>LTG</v>
          </cell>
          <cell r="G19">
            <v>0</v>
          </cell>
          <cell r="H19">
            <v>17</v>
          </cell>
          <cell r="I19">
            <v>5</v>
          </cell>
          <cell r="J19">
            <v>5.09</v>
          </cell>
          <cell r="K19">
            <v>1.73</v>
          </cell>
          <cell r="L19">
            <v>1</v>
          </cell>
        </row>
        <row r="20">
          <cell r="A20" t="str">
            <v>OTTR</v>
          </cell>
          <cell r="B20" t="str">
            <v>OTTR</v>
          </cell>
          <cell r="C20" t="str">
            <v>OTTER TAIL PWR</v>
          </cell>
          <cell r="D20">
            <v>19861218</v>
          </cell>
          <cell r="E20" t="str">
            <v>EPS</v>
          </cell>
          <cell r="F20" t="str">
            <v>LTG</v>
          </cell>
          <cell r="G20">
            <v>0</v>
          </cell>
          <cell r="H20">
            <v>4</v>
          </cell>
          <cell r="I20">
            <v>3.5</v>
          </cell>
          <cell r="J20">
            <v>3.38</v>
          </cell>
          <cell r="K20">
            <v>1.1100000000000001</v>
          </cell>
          <cell r="L20">
            <v>1</v>
          </cell>
        </row>
        <row r="21">
          <cell r="A21" t="str">
            <v>PCG</v>
          </cell>
          <cell r="B21" t="str">
            <v>PCG</v>
          </cell>
          <cell r="C21" t="str">
            <v>PACIFIC G&amp;E</v>
          </cell>
          <cell r="D21">
            <v>19861218</v>
          </cell>
          <cell r="E21" t="str">
            <v>EPS</v>
          </cell>
          <cell r="F21" t="str">
            <v>LTG</v>
          </cell>
          <cell r="G21">
            <v>0</v>
          </cell>
          <cell r="H21">
            <v>16</v>
          </cell>
          <cell r="I21">
            <v>4</v>
          </cell>
          <cell r="J21">
            <v>3.93</v>
          </cell>
          <cell r="K21">
            <v>1.76</v>
          </cell>
          <cell r="L21">
            <v>1</v>
          </cell>
        </row>
        <row r="22">
          <cell r="A22" t="str">
            <v>PEG</v>
          </cell>
          <cell r="B22" t="str">
            <v>PEG</v>
          </cell>
          <cell r="C22" t="str">
            <v>PUB SVC ENTERS</v>
          </cell>
          <cell r="D22">
            <v>19861218</v>
          </cell>
          <cell r="E22" t="str">
            <v>EPS</v>
          </cell>
          <cell r="F22" t="str">
            <v>LTG</v>
          </cell>
          <cell r="G22">
            <v>0</v>
          </cell>
          <cell r="H22">
            <v>16</v>
          </cell>
          <cell r="I22">
            <v>3.5</v>
          </cell>
          <cell r="J22">
            <v>3.61</v>
          </cell>
          <cell r="K22">
            <v>0.8</v>
          </cell>
          <cell r="L22">
            <v>1</v>
          </cell>
        </row>
        <row r="23">
          <cell r="A23" t="str">
            <v>PGN</v>
          </cell>
          <cell r="B23" t="str">
            <v>PGN</v>
          </cell>
          <cell r="C23" t="str">
            <v>PORTLAND GEN CP</v>
          </cell>
          <cell r="D23">
            <v>19861218</v>
          </cell>
          <cell r="E23" t="str">
            <v>EPS</v>
          </cell>
          <cell r="F23" t="str">
            <v>LTG</v>
          </cell>
          <cell r="G23">
            <v>0</v>
          </cell>
          <cell r="H23">
            <v>10</v>
          </cell>
          <cell r="I23">
            <v>4.25</v>
          </cell>
          <cell r="J23">
            <v>5</v>
          </cell>
          <cell r="K23">
            <v>1.47</v>
          </cell>
          <cell r="L23">
            <v>1</v>
          </cell>
        </row>
        <row r="24">
          <cell r="A24" t="str">
            <v>PNM</v>
          </cell>
          <cell r="B24" t="str">
            <v>PNM</v>
          </cell>
          <cell r="C24" t="str">
            <v>PUB SVC N MEX</v>
          </cell>
          <cell r="D24">
            <v>19861218</v>
          </cell>
          <cell r="E24" t="str">
            <v>EPS</v>
          </cell>
          <cell r="F24" t="str">
            <v>LTG</v>
          </cell>
          <cell r="G24">
            <v>0</v>
          </cell>
          <cell r="H24">
            <v>11</v>
          </cell>
          <cell r="I24">
            <v>3.2</v>
          </cell>
          <cell r="J24">
            <v>3.56</v>
          </cell>
          <cell r="K24">
            <v>1.7</v>
          </cell>
          <cell r="L24">
            <v>1</v>
          </cell>
        </row>
        <row r="25">
          <cell r="A25" t="str">
            <v>POM</v>
          </cell>
          <cell r="B25" t="str">
            <v>POM</v>
          </cell>
          <cell r="C25" t="str">
            <v>POTOMAC ELEC</v>
          </cell>
          <cell r="D25">
            <v>19861218</v>
          </cell>
          <cell r="E25" t="str">
            <v>EPS</v>
          </cell>
          <cell r="F25" t="str">
            <v>LTG</v>
          </cell>
          <cell r="G25">
            <v>0</v>
          </cell>
          <cell r="H25">
            <v>16</v>
          </cell>
          <cell r="I25">
            <v>6</v>
          </cell>
          <cell r="J25">
            <v>6.32</v>
          </cell>
          <cell r="K25">
            <v>1.74</v>
          </cell>
          <cell r="L25">
            <v>1</v>
          </cell>
        </row>
        <row r="26">
          <cell r="A26" t="str">
            <v>PPL</v>
          </cell>
          <cell r="B26" t="str">
            <v>PPL</v>
          </cell>
          <cell r="C26" t="str">
            <v>PENNA P&amp;L</v>
          </cell>
          <cell r="D26">
            <v>19861218</v>
          </cell>
          <cell r="E26" t="str">
            <v>EPS</v>
          </cell>
          <cell r="F26" t="str">
            <v>LTG</v>
          </cell>
          <cell r="G26">
            <v>0</v>
          </cell>
          <cell r="H26">
            <v>13</v>
          </cell>
          <cell r="I26">
            <v>4.5</v>
          </cell>
          <cell r="J26">
            <v>4.1399999999999997</v>
          </cell>
          <cell r="K26">
            <v>1.93</v>
          </cell>
          <cell r="L26">
            <v>1</v>
          </cell>
        </row>
        <row r="27">
          <cell r="A27" t="str">
            <v>PSD</v>
          </cell>
          <cell r="B27" t="str">
            <v>PSD</v>
          </cell>
          <cell r="C27" t="str">
            <v>PUGET SOUND P&amp;L</v>
          </cell>
          <cell r="D27">
            <v>19861218</v>
          </cell>
          <cell r="E27" t="str">
            <v>EPS</v>
          </cell>
          <cell r="F27" t="str">
            <v>LTG</v>
          </cell>
          <cell r="G27">
            <v>0</v>
          </cell>
          <cell r="H27">
            <v>10</v>
          </cell>
          <cell r="I27">
            <v>2.75</v>
          </cell>
          <cell r="J27">
            <v>2.9</v>
          </cell>
          <cell r="K27">
            <v>2.09</v>
          </cell>
          <cell r="L27">
            <v>1</v>
          </cell>
        </row>
        <row r="28">
          <cell r="A28" t="str">
            <v>SCG</v>
          </cell>
          <cell r="B28" t="str">
            <v>SCG</v>
          </cell>
          <cell r="C28" t="str">
            <v>SCANA CP</v>
          </cell>
          <cell r="D28">
            <v>19861218</v>
          </cell>
          <cell r="E28" t="str">
            <v>EPS</v>
          </cell>
          <cell r="F28" t="str">
            <v>LTG</v>
          </cell>
          <cell r="G28">
            <v>0</v>
          </cell>
          <cell r="H28">
            <v>13</v>
          </cell>
          <cell r="I28">
            <v>4</v>
          </cell>
          <cell r="J28">
            <v>4.13</v>
          </cell>
          <cell r="K28">
            <v>1.01</v>
          </cell>
          <cell r="L28">
            <v>1</v>
          </cell>
        </row>
        <row r="29">
          <cell r="A29" t="str">
            <v>SO</v>
          </cell>
          <cell r="B29" t="str">
            <v>SO</v>
          </cell>
          <cell r="C29" t="str">
            <v>SOUTHN CO</v>
          </cell>
          <cell r="D29">
            <v>19861218</v>
          </cell>
          <cell r="E29" t="str">
            <v>EPS</v>
          </cell>
          <cell r="F29" t="str">
            <v>LTG</v>
          </cell>
          <cell r="G29">
            <v>0</v>
          </cell>
          <cell r="H29">
            <v>18</v>
          </cell>
          <cell r="I29">
            <v>4</v>
          </cell>
          <cell r="J29">
            <v>4.2300000000000004</v>
          </cell>
          <cell r="K29">
            <v>1.44</v>
          </cell>
          <cell r="L29">
            <v>1</v>
          </cell>
        </row>
        <row r="30">
          <cell r="A30" t="str">
            <v>TE</v>
          </cell>
          <cell r="B30" t="str">
            <v>TE</v>
          </cell>
          <cell r="C30" t="str">
            <v>TECO ENERGY INC</v>
          </cell>
          <cell r="D30">
            <v>19861218</v>
          </cell>
          <cell r="E30" t="str">
            <v>EPS</v>
          </cell>
          <cell r="F30" t="str">
            <v>LTG</v>
          </cell>
          <cell r="G30">
            <v>0</v>
          </cell>
          <cell r="H30">
            <v>16</v>
          </cell>
          <cell r="I30">
            <v>5.45</v>
          </cell>
          <cell r="J30">
            <v>5.58</v>
          </cell>
          <cell r="K30">
            <v>1.61</v>
          </cell>
          <cell r="L30">
            <v>1</v>
          </cell>
        </row>
        <row r="31">
          <cell r="A31" t="str">
            <v>UIL</v>
          </cell>
          <cell r="B31" t="str">
            <v>UIL</v>
          </cell>
          <cell r="C31" t="str">
            <v>UTD ILLUM CO</v>
          </cell>
          <cell r="D31">
            <v>19861218</v>
          </cell>
          <cell r="E31" t="str">
            <v>EPS</v>
          </cell>
          <cell r="F31" t="str">
            <v>LTG</v>
          </cell>
          <cell r="G31">
            <v>0</v>
          </cell>
          <cell r="H31">
            <v>2</v>
          </cell>
          <cell r="I31">
            <v>0.5</v>
          </cell>
          <cell r="J31">
            <v>0.5</v>
          </cell>
          <cell r="K31">
            <v>2.12</v>
          </cell>
          <cell r="L31">
            <v>1</v>
          </cell>
        </row>
        <row r="32">
          <cell r="A32" t="str">
            <v>WPS</v>
          </cell>
          <cell r="B32" t="str">
            <v>WPS</v>
          </cell>
          <cell r="C32" t="str">
            <v>WISC PUB SVC</v>
          </cell>
          <cell r="D32">
            <v>19861218</v>
          </cell>
          <cell r="E32" t="str">
            <v>EPS</v>
          </cell>
          <cell r="F32" t="str">
            <v>LTG</v>
          </cell>
          <cell r="G32">
            <v>0</v>
          </cell>
          <cell r="H32">
            <v>10</v>
          </cell>
          <cell r="I32">
            <v>5</v>
          </cell>
          <cell r="J32">
            <v>4.6500000000000004</v>
          </cell>
          <cell r="K32">
            <v>1.62</v>
          </cell>
          <cell r="L32">
            <v>1</v>
          </cell>
        </row>
        <row r="33">
          <cell r="A33" t="str">
            <v>PPL</v>
          </cell>
          <cell r="B33" t="str">
            <v>PPL1</v>
          </cell>
          <cell r="C33" t="str">
            <v>PEMBINA RES LTD</v>
          </cell>
          <cell r="D33">
            <v>19861218</v>
          </cell>
          <cell r="E33" t="str">
            <v>EPS</v>
          </cell>
          <cell r="F33" t="str">
            <v>LTG</v>
          </cell>
          <cell r="G33">
            <v>0</v>
          </cell>
          <cell r="H33">
            <v>2</v>
          </cell>
          <cell r="I33">
            <v>10.3</v>
          </cell>
          <cell r="J33">
            <v>10.3</v>
          </cell>
          <cell r="K33">
            <v>3.11</v>
          </cell>
          <cell r="L33">
            <v>0</v>
          </cell>
        </row>
      </sheetData>
    </sheetDataSet>
  </externalBook>
</externalLink>
</file>

<file path=xl/externalLinks/externalLink1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hyxourx89ghhy7"/>
    </sheetNames>
    <sheetDataSet>
      <sheetData sheetId="0">
        <row r="1">
          <cell r="B1" t="str">
            <v>Official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Forecast Period End Date (SAS Format)</v>
          </cell>
          <cell r="M1" t="str">
            <v>Actual Value, from the Detail Actuals File</v>
          </cell>
          <cell r="N1" t="str">
            <v>Announce date of the Actual, from the Detail Actuals File</v>
          </cell>
        </row>
        <row r="2">
          <cell r="B2" t="str">
            <v>CGC</v>
          </cell>
          <cell r="C2" t="str">
            <v>CASCADE NAT GAS</v>
          </cell>
          <cell r="D2">
            <v>31764</v>
          </cell>
          <cell r="E2" t="str">
            <v>EPS</v>
          </cell>
          <cell r="F2" t="str">
            <v>ANN</v>
          </cell>
          <cell r="G2" t="str">
            <v>1</v>
          </cell>
          <cell r="H2">
            <v>3</v>
          </cell>
          <cell r="I2">
            <v>0.73</v>
          </cell>
          <cell r="J2">
            <v>0.66</v>
          </cell>
          <cell r="K2">
            <v>0.2</v>
          </cell>
          <cell r="L2">
            <v>31777</v>
          </cell>
          <cell r="M2">
            <v>0.16</v>
          </cell>
          <cell r="N2">
            <v>31819</v>
          </cell>
        </row>
        <row r="3">
          <cell r="B3" t="str">
            <v>GAS</v>
          </cell>
          <cell r="C3" t="str">
            <v>NICOR INC</v>
          </cell>
          <cell r="D3">
            <v>31764</v>
          </cell>
          <cell r="E3" t="str">
            <v>EPS</v>
          </cell>
          <cell r="F3" t="str">
            <v>ANN</v>
          </cell>
          <cell r="G3" t="str">
            <v>1</v>
          </cell>
          <cell r="H3">
            <v>14</v>
          </cell>
          <cell r="I3">
            <v>1.25</v>
          </cell>
          <cell r="J3">
            <v>1.27</v>
          </cell>
          <cell r="K3">
            <v>7.0000000000000007E-2</v>
          </cell>
          <cell r="L3">
            <v>31777</v>
          </cell>
          <cell r="M3">
            <v>1.48</v>
          </cell>
          <cell r="N3">
            <v>31811</v>
          </cell>
        </row>
        <row r="4">
          <cell r="B4" t="str">
            <v>LG</v>
          </cell>
          <cell r="C4" t="str">
            <v>LACLEDE GAS</v>
          </cell>
          <cell r="D4">
            <v>31764</v>
          </cell>
          <cell r="E4" t="str">
            <v>EPS</v>
          </cell>
          <cell r="F4" t="str">
            <v>ANN</v>
          </cell>
          <cell r="G4" t="str">
            <v>1</v>
          </cell>
          <cell r="H4">
            <v>2</v>
          </cell>
          <cell r="I4">
            <v>1.86</v>
          </cell>
          <cell r="J4">
            <v>1.86</v>
          </cell>
          <cell r="K4">
            <v>0.05</v>
          </cell>
          <cell r="L4">
            <v>32050</v>
          </cell>
          <cell r="M4">
            <v>1.44</v>
          </cell>
          <cell r="N4">
            <v>32104</v>
          </cell>
        </row>
        <row r="5">
          <cell r="B5" t="str">
            <v>NI</v>
          </cell>
          <cell r="C5" t="str">
            <v>NORTHN IND PUB</v>
          </cell>
          <cell r="D5">
            <v>31764</v>
          </cell>
          <cell r="E5" t="str">
            <v>EPS</v>
          </cell>
          <cell r="F5" t="str">
            <v>ANN</v>
          </cell>
          <cell r="G5" t="str">
            <v>1</v>
          </cell>
          <cell r="H5">
            <v>25</v>
          </cell>
          <cell r="I5">
            <v>0.55000000000000004</v>
          </cell>
          <cell r="J5">
            <v>0.53</v>
          </cell>
          <cell r="K5">
            <v>0.05</v>
          </cell>
          <cell r="L5">
            <v>31777</v>
          </cell>
          <cell r="M5">
            <v>0.4</v>
          </cell>
          <cell r="N5">
            <v>31807</v>
          </cell>
        </row>
        <row r="6">
          <cell r="B6" t="str">
            <v>PNY</v>
          </cell>
          <cell r="C6" t="str">
            <v>PIEDMONT NAT GAS</v>
          </cell>
          <cell r="D6">
            <v>31764</v>
          </cell>
          <cell r="E6" t="str">
            <v>EPS</v>
          </cell>
          <cell r="F6" t="str">
            <v>ANN</v>
          </cell>
          <cell r="G6" t="str">
            <v>1</v>
          </cell>
          <cell r="H6">
            <v>3</v>
          </cell>
          <cell r="I6">
            <v>0.41</v>
          </cell>
          <cell r="J6">
            <v>0.41</v>
          </cell>
          <cell r="K6">
            <v>0.02</v>
          </cell>
          <cell r="L6">
            <v>31716</v>
          </cell>
          <cell r="M6">
            <v>0.45750000000000002</v>
          </cell>
          <cell r="N6">
            <v>31756</v>
          </cell>
        </row>
        <row r="7">
          <cell r="B7" t="str">
            <v>SJI</v>
          </cell>
          <cell r="C7" t="str">
            <v>SO JERSEY INDS</v>
          </cell>
          <cell r="D7">
            <v>31764</v>
          </cell>
          <cell r="E7" t="str">
            <v>EPS</v>
          </cell>
          <cell r="F7" t="str">
            <v>ANN</v>
          </cell>
          <cell r="G7" t="str">
            <v>1</v>
          </cell>
          <cell r="H7">
            <v>5</v>
          </cell>
          <cell r="I7">
            <v>0.35</v>
          </cell>
          <cell r="J7">
            <v>0.35</v>
          </cell>
          <cell r="K7">
            <v>0.01</v>
          </cell>
          <cell r="L7">
            <v>31777</v>
          </cell>
          <cell r="M7">
            <v>0.3211</v>
          </cell>
          <cell r="N7">
            <v>31806</v>
          </cell>
        </row>
        <row r="8">
          <cell r="B8" t="str">
            <v>SWX</v>
          </cell>
          <cell r="C8" t="str">
            <v>SOUTHWEST GAS</v>
          </cell>
          <cell r="D8">
            <v>31764</v>
          </cell>
          <cell r="E8" t="str">
            <v>EPS</v>
          </cell>
          <cell r="F8" t="str">
            <v>ANN</v>
          </cell>
          <cell r="G8" t="str">
            <v>1</v>
          </cell>
          <cell r="H8">
            <v>6</v>
          </cell>
          <cell r="I8">
            <v>1.88</v>
          </cell>
          <cell r="J8">
            <v>1.88</v>
          </cell>
          <cell r="K8">
            <v>0.13</v>
          </cell>
          <cell r="L8">
            <v>31777</v>
          </cell>
        </row>
        <row r="9">
          <cell r="B9" t="str">
            <v>WGL</v>
          </cell>
          <cell r="C9" t="str">
            <v>WASH GAS LT</v>
          </cell>
          <cell r="D9">
            <v>31764</v>
          </cell>
          <cell r="E9" t="str">
            <v>EPS</v>
          </cell>
          <cell r="F9" t="str">
            <v>ANN</v>
          </cell>
          <cell r="G9" t="str">
            <v>1</v>
          </cell>
          <cell r="H9">
            <v>7</v>
          </cell>
          <cell r="I9">
            <v>1.1299999999999999</v>
          </cell>
          <cell r="J9">
            <v>1.1200000000000001</v>
          </cell>
          <cell r="K9">
            <v>0.02</v>
          </cell>
          <cell r="L9">
            <v>31777</v>
          </cell>
          <cell r="M9">
            <v>1.145</v>
          </cell>
          <cell r="N9">
            <v>31823</v>
          </cell>
        </row>
      </sheetData>
    </sheetDataSet>
  </externalBook>
</externalLink>
</file>

<file path=xl/externalLinks/externalLink1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2fgbes2rkqul1ea"/>
    </sheetNames>
    <sheetDataSet>
      <sheetData sheetId="0">
        <row r="1">
          <cell r="B1" t="str">
            <v>Official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Forecast Period End Date (SAS Format)</v>
          </cell>
          <cell r="M1" t="str">
            <v>Actual Value, from the Detail Actuals File</v>
          </cell>
          <cell r="N1" t="str">
            <v>Announce date of the Actual, from the Detail Actuals File</v>
          </cell>
        </row>
        <row r="2">
          <cell r="B2" t="str">
            <v>CGC</v>
          </cell>
          <cell r="C2" t="str">
            <v>CASCADE NAT GAS</v>
          </cell>
          <cell r="D2">
            <v>31764</v>
          </cell>
          <cell r="E2" t="str">
            <v>EPS</v>
          </cell>
          <cell r="F2" t="str">
            <v>LTG</v>
          </cell>
          <cell r="G2" t="str">
            <v>0</v>
          </cell>
          <cell r="H2">
            <v>2</v>
          </cell>
          <cell r="I2">
            <v>4.25</v>
          </cell>
          <cell r="J2">
            <v>4.25</v>
          </cell>
          <cell r="K2">
            <v>1.06</v>
          </cell>
        </row>
        <row r="3">
          <cell r="B3" t="str">
            <v>GAS</v>
          </cell>
          <cell r="C3" t="str">
            <v>NICOR INC</v>
          </cell>
          <cell r="D3">
            <v>31764</v>
          </cell>
          <cell r="E3" t="str">
            <v>EPS</v>
          </cell>
          <cell r="F3" t="str">
            <v>LTG</v>
          </cell>
          <cell r="G3" t="str">
            <v>0</v>
          </cell>
          <cell r="H3">
            <v>7</v>
          </cell>
          <cell r="I3">
            <v>5</v>
          </cell>
          <cell r="J3">
            <v>4.93</v>
          </cell>
          <cell r="K3">
            <v>2.89</v>
          </cell>
        </row>
        <row r="4">
          <cell r="B4" t="str">
            <v>LG</v>
          </cell>
          <cell r="C4" t="str">
            <v>LACLEDE GAS</v>
          </cell>
          <cell r="D4">
            <v>31764</v>
          </cell>
          <cell r="E4" t="str">
            <v>EPS</v>
          </cell>
          <cell r="F4" t="str">
            <v>LTG</v>
          </cell>
          <cell r="G4" t="str">
            <v>0</v>
          </cell>
          <cell r="H4">
            <v>1</v>
          </cell>
          <cell r="I4">
            <v>8</v>
          </cell>
          <cell r="J4">
            <v>8</v>
          </cell>
        </row>
        <row r="5">
          <cell r="B5" t="str">
            <v>NI</v>
          </cell>
          <cell r="C5" t="str">
            <v>NORTHN IND PUB</v>
          </cell>
          <cell r="D5">
            <v>31764</v>
          </cell>
          <cell r="E5" t="str">
            <v>EPS</v>
          </cell>
          <cell r="F5" t="str">
            <v>LTG</v>
          </cell>
          <cell r="G5" t="str">
            <v>0</v>
          </cell>
          <cell r="H5">
            <v>13</v>
          </cell>
          <cell r="I5">
            <v>3.5</v>
          </cell>
          <cell r="J5">
            <v>5.44</v>
          </cell>
          <cell r="K5">
            <v>3.95</v>
          </cell>
        </row>
        <row r="6">
          <cell r="B6" t="str">
            <v>PNY</v>
          </cell>
          <cell r="C6" t="str">
            <v>PIEDMONT NAT GAS</v>
          </cell>
          <cell r="D6">
            <v>31764</v>
          </cell>
          <cell r="E6" t="str">
            <v>EPS</v>
          </cell>
          <cell r="F6" t="str">
            <v>LTG</v>
          </cell>
          <cell r="G6" t="str">
            <v>0</v>
          </cell>
          <cell r="H6">
            <v>1</v>
          </cell>
          <cell r="I6">
            <v>7</v>
          </cell>
          <cell r="J6">
            <v>7</v>
          </cell>
        </row>
        <row r="7">
          <cell r="B7" t="str">
            <v>SJI</v>
          </cell>
          <cell r="C7" t="str">
            <v>SO JERSEY INDS</v>
          </cell>
          <cell r="D7">
            <v>31764</v>
          </cell>
          <cell r="E7" t="str">
            <v>EPS</v>
          </cell>
          <cell r="F7" t="str">
            <v>LTG</v>
          </cell>
          <cell r="G7" t="str">
            <v>0</v>
          </cell>
          <cell r="H7">
            <v>4</v>
          </cell>
          <cell r="I7">
            <v>5</v>
          </cell>
          <cell r="J7">
            <v>5.13</v>
          </cell>
          <cell r="K7">
            <v>1.03</v>
          </cell>
        </row>
        <row r="8">
          <cell r="B8" t="str">
            <v>SWX</v>
          </cell>
          <cell r="C8" t="str">
            <v>SOUTHWEST GAS</v>
          </cell>
          <cell r="D8">
            <v>31764</v>
          </cell>
          <cell r="E8" t="str">
            <v>EPS</v>
          </cell>
          <cell r="F8" t="str">
            <v>LTG</v>
          </cell>
          <cell r="G8" t="str">
            <v>0</v>
          </cell>
          <cell r="H8">
            <v>4</v>
          </cell>
          <cell r="I8">
            <v>7</v>
          </cell>
          <cell r="J8">
            <v>7.13</v>
          </cell>
          <cell r="K8">
            <v>3.61</v>
          </cell>
        </row>
        <row r="9">
          <cell r="B9" t="str">
            <v>WGL</v>
          </cell>
          <cell r="C9" t="str">
            <v>WASH GAS LT</v>
          </cell>
          <cell r="D9">
            <v>31764</v>
          </cell>
          <cell r="E9" t="str">
            <v>EPS</v>
          </cell>
          <cell r="F9" t="str">
            <v>LTG</v>
          </cell>
          <cell r="G9" t="str">
            <v>0</v>
          </cell>
          <cell r="H9">
            <v>5</v>
          </cell>
          <cell r="I9">
            <v>4</v>
          </cell>
          <cell r="J9">
            <v>5.4</v>
          </cell>
          <cell r="K9">
            <v>2.41</v>
          </cell>
        </row>
      </sheetData>
    </sheetDataSet>
  </externalBook>
</externalLink>
</file>

<file path=xl/externalLinks/externalLink1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RDS"/>
    </sheetNames>
    <sheetDataSet>
      <sheetData sheetId="0">
        <row r="1">
          <cell r="A1" t="str">
            <v>OFTIC</v>
          </cell>
          <cell r="B1" t="str">
            <v>IBES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USFIRM=0 if from .INT file and USFIRM=1 if from .US file</v>
          </cell>
          <cell r="L1" t="str">
            <v>Forecast Period End Date (SAS Format)</v>
          </cell>
          <cell r="M1" t="str">
            <v>Actual Value, from the Detail Actuals File</v>
          </cell>
          <cell r="N1" t="str">
            <v>Announce date of the Actual, from the Detail Actuals File</v>
          </cell>
        </row>
        <row r="2">
          <cell r="A2" t="str">
            <v>AEE</v>
          </cell>
          <cell r="B2" t="str">
            <v>AEE</v>
          </cell>
          <cell r="C2" t="str">
            <v>AILEEN INC</v>
          </cell>
          <cell r="D2">
            <v>19851219</v>
          </cell>
          <cell r="E2" t="str">
            <v>EPS</v>
          </cell>
          <cell r="F2" t="str">
            <v>ANN</v>
          </cell>
          <cell r="G2">
            <v>1</v>
          </cell>
          <cell r="H2">
            <v>1</v>
          </cell>
          <cell r="I2">
            <v>-0.15</v>
          </cell>
          <cell r="J2">
            <v>-0.15</v>
          </cell>
          <cell r="K2">
            <v>1</v>
          </cell>
          <cell r="L2">
            <v>19851031</v>
          </cell>
          <cell r="M2">
            <v>0.02</v>
          </cell>
          <cell r="N2">
            <v>19860114</v>
          </cell>
        </row>
        <row r="3">
          <cell r="A3" t="str">
            <v>AVA</v>
          </cell>
          <cell r="B3" t="str">
            <v>AVDO</v>
          </cell>
          <cell r="C3" t="str">
            <v>AUDIO VIDEO AFFI</v>
          </cell>
          <cell r="D3">
            <v>19851219</v>
          </cell>
          <cell r="E3" t="str">
            <v>EPS</v>
          </cell>
          <cell r="F3" t="str">
            <v>ANN</v>
          </cell>
          <cell r="G3">
            <v>1</v>
          </cell>
          <cell r="H3">
            <v>9</v>
          </cell>
          <cell r="I3">
            <v>0.31</v>
          </cell>
          <cell r="J3">
            <v>0.31</v>
          </cell>
          <cell r="K3">
            <v>1</v>
          </cell>
          <cell r="L3">
            <v>19860131</v>
          </cell>
          <cell r="M3">
            <v>0.25779999999999997</v>
          </cell>
          <cell r="N3">
            <v>19860424</v>
          </cell>
        </row>
        <row r="4">
          <cell r="A4" t="str">
            <v>CIN</v>
          </cell>
          <cell r="B4" t="str">
            <v>CIN</v>
          </cell>
          <cell r="C4" t="str">
            <v>CINN GAS &amp; EL</v>
          </cell>
          <cell r="D4">
            <v>19851219</v>
          </cell>
          <cell r="E4" t="str">
            <v>EPS</v>
          </cell>
          <cell r="F4" t="str">
            <v>ANN</v>
          </cell>
          <cell r="G4">
            <v>1</v>
          </cell>
          <cell r="H4">
            <v>19</v>
          </cell>
          <cell r="I4">
            <v>1.9</v>
          </cell>
          <cell r="J4">
            <v>1.9</v>
          </cell>
          <cell r="K4">
            <v>1</v>
          </cell>
          <cell r="L4">
            <v>19851231</v>
          </cell>
          <cell r="M4">
            <v>2.2000000000000002</v>
          </cell>
          <cell r="N4">
            <v>19860129</v>
          </cell>
        </row>
        <row r="5">
          <cell r="A5" t="str">
            <v>CMS</v>
          </cell>
          <cell r="B5" t="str">
            <v>CMS</v>
          </cell>
          <cell r="C5" t="str">
            <v>CONSUMERS PWR</v>
          </cell>
          <cell r="D5">
            <v>19851219</v>
          </cell>
          <cell r="E5" t="str">
            <v>EPS</v>
          </cell>
          <cell r="F5" t="str">
            <v>ANN</v>
          </cell>
          <cell r="G5">
            <v>1</v>
          </cell>
          <cell r="H5">
            <v>15</v>
          </cell>
          <cell r="I5">
            <v>0.25</v>
          </cell>
          <cell r="J5">
            <v>0.35</v>
          </cell>
          <cell r="K5">
            <v>1</v>
          </cell>
          <cell r="L5">
            <v>19851231</v>
          </cell>
          <cell r="M5">
            <v>-0.43</v>
          </cell>
          <cell r="N5">
            <v>19860124</v>
          </cell>
        </row>
        <row r="6">
          <cell r="A6" t="str">
            <v>CNL</v>
          </cell>
          <cell r="B6" t="str">
            <v>CNL</v>
          </cell>
          <cell r="C6" t="str">
            <v>CENT LA ELEC INC</v>
          </cell>
          <cell r="D6">
            <v>19851219</v>
          </cell>
          <cell r="E6" t="str">
            <v>EPS</v>
          </cell>
          <cell r="F6" t="str">
            <v>ANN</v>
          </cell>
          <cell r="G6">
            <v>1</v>
          </cell>
          <cell r="H6">
            <v>7</v>
          </cell>
          <cell r="I6">
            <v>0.9</v>
          </cell>
          <cell r="J6">
            <v>0.88</v>
          </cell>
          <cell r="K6">
            <v>1</v>
          </cell>
          <cell r="L6">
            <v>19851231</v>
          </cell>
          <cell r="M6">
            <v>0.91249999999999998</v>
          </cell>
          <cell r="N6">
            <v>19860211</v>
          </cell>
        </row>
        <row r="7">
          <cell r="A7" t="str">
            <v>CNP</v>
          </cell>
          <cell r="B7" t="str">
            <v>CNP</v>
          </cell>
          <cell r="C7" t="str">
            <v>CROWN CENT PETE</v>
          </cell>
          <cell r="D7">
            <v>19851219</v>
          </cell>
          <cell r="E7" t="str">
            <v>EPS</v>
          </cell>
          <cell r="F7" t="str">
            <v>ANN</v>
          </cell>
          <cell r="G7">
            <v>1</v>
          </cell>
          <cell r="H7">
            <v>1</v>
          </cell>
          <cell r="I7">
            <v>0.5</v>
          </cell>
          <cell r="J7">
            <v>0.5</v>
          </cell>
          <cell r="K7">
            <v>1</v>
          </cell>
          <cell r="L7">
            <v>19851231</v>
          </cell>
          <cell r="M7">
            <v>0.46</v>
          </cell>
        </row>
        <row r="8">
          <cell r="A8" t="str">
            <v>CV</v>
          </cell>
          <cell r="B8" t="str">
            <v>CV</v>
          </cell>
          <cell r="C8" t="str">
            <v>CNTRL VT PUB SVC</v>
          </cell>
          <cell r="D8">
            <v>19851219</v>
          </cell>
          <cell r="E8" t="str">
            <v>EPS</v>
          </cell>
          <cell r="F8" t="str">
            <v>ANN</v>
          </cell>
          <cell r="G8">
            <v>1</v>
          </cell>
          <cell r="H8">
            <v>1</v>
          </cell>
          <cell r="I8">
            <v>2.17</v>
          </cell>
          <cell r="J8">
            <v>2.17</v>
          </cell>
          <cell r="K8">
            <v>1</v>
          </cell>
          <cell r="L8">
            <v>19851231</v>
          </cell>
          <cell r="M8">
            <v>2.2599999999999998</v>
          </cell>
          <cell r="N8">
            <v>19860228</v>
          </cell>
        </row>
        <row r="9">
          <cell r="A9" t="str">
            <v>D</v>
          </cell>
          <cell r="B9" t="str">
            <v>D</v>
          </cell>
          <cell r="C9" t="str">
            <v>DOMINION RES INC</v>
          </cell>
          <cell r="D9">
            <v>19851219</v>
          </cell>
          <cell r="E9" t="str">
            <v>EPS</v>
          </cell>
          <cell r="F9" t="str">
            <v>ANN</v>
          </cell>
          <cell r="G9">
            <v>1</v>
          </cell>
          <cell r="H9">
            <v>27</v>
          </cell>
          <cell r="I9">
            <v>1.19</v>
          </cell>
          <cell r="J9">
            <v>1.19</v>
          </cell>
          <cell r="K9">
            <v>1</v>
          </cell>
          <cell r="L9">
            <v>19851231</v>
          </cell>
          <cell r="M9">
            <v>1.2</v>
          </cell>
          <cell r="N9">
            <v>19860127</v>
          </cell>
        </row>
        <row r="10">
          <cell r="A10" t="str">
            <v>DPL</v>
          </cell>
          <cell r="B10" t="str">
            <v>DPL</v>
          </cell>
          <cell r="C10" t="str">
            <v>DAYTON P &amp; L</v>
          </cell>
          <cell r="D10">
            <v>19851219</v>
          </cell>
          <cell r="E10" t="str">
            <v>EPS</v>
          </cell>
          <cell r="F10" t="str">
            <v>ANN</v>
          </cell>
          <cell r="G10">
            <v>1</v>
          </cell>
          <cell r="H10">
            <v>14</v>
          </cell>
          <cell r="I10">
            <v>0.7</v>
          </cell>
          <cell r="J10">
            <v>0.7</v>
          </cell>
          <cell r="K10">
            <v>1</v>
          </cell>
          <cell r="L10">
            <v>19851231</v>
          </cell>
          <cell r="M10">
            <v>0.94810000000000005</v>
          </cell>
          <cell r="N10">
            <v>19860127</v>
          </cell>
        </row>
        <row r="11">
          <cell r="A11" t="str">
            <v>DTE</v>
          </cell>
          <cell r="B11" t="str">
            <v>DTE</v>
          </cell>
          <cell r="C11" t="str">
            <v>DETROIT EDISON</v>
          </cell>
          <cell r="D11">
            <v>19851219</v>
          </cell>
          <cell r="E11" t="str">
            <v>EPS</v>
          </cell>
          <cell r="F11" t="str">
            <v>ANN</v>
          </cell>
          <cell r="G11">
            <v>1</v>
          </cell>
          <cell r="H11">
            <v>17</v>
          </cell>
          <cell r="I11">
            <v>2.25</v>
          </cell>
          <cell r="J11">
            <v>2.25</v>
          </cell>
          <cell r="K11">
            <v>1</v>
          </cell>
          <cell r="L11">
            <v>19851231</v>
          </cell>
          <cell r="M11">
            <v>2.33</v>
          </cell>
          <cell r="N11">
            <v>19860128</v>
          </cell>
        </row>
        <row r="12">
          <cell r="A12" t="str">
            <v>DUK</v>
          </cell>
          <cell r="B12" t="str">
            <v>DUK</v>
          </cell>
          <cell r="C12" t="str">
            <v>DUKE POWER CO</v>
          </cell>
          <cell r="D12">
            <v>19851219</v>
          </cell>
          <cell r="E12" t="str">
            <v>EPS</v>
          </cell>
          <cell r="F12" t="str">
            <v>ANN</v>
          </cell>
          <cell r="G12">
            <v>1</v>
          </cell>
          <cell r="H12">
            <v>25</v>
          </cell>
          <cell r="I12">
            <v>2.96</v>
          </cell>
          <cell r="J12">
            <v>2.98</v>
          </cell>
          <cell r="K12">
            <v>1</v>
          </cell>
          <cell r="L12">
            <v>19851231</v>
          </cell>
          <cell r="M12">
            <v>2.79</v>
          </cell>
          <cell r="N12">
            <v>19860127</v>
          </cell>
        </row>
        <row r="13">
          <cell r="A13" t="str">
            <v>ED</v>
          </cell>
          <cell r="B13" t="str">
            <v>ED</v>
          </cell>
          <cell r="C13" t="str">
            <v>CONSOL EDISON</v>
          </cell>
          <cell r="D13">
            <v>19851219</v>
          </cell>
          <cell r="E13" t="str">
            <v>EPS</v>
          </cell>
          <cell r="F13" t="str">
            <v>ANN</v>
          </cell>
          <cell r="G13">
            <v>1</v>
          </cell>
          <cell r="H13">
            <v>25</v>
          </cell>
          <cell r="I13">
            <v>2.15</v>
          </cell>
          <cell r="J13">
            <v>2.16</v>
          </cell>
          <cell r="K13">
            <v>1</v>
          </cell>
          <cell r="L13">
            <v>19851231</v>
          </cell>
          <cell r="M13">
            <v>2.13</v>
          </cell>
          <cell r="N13">
            <v>19860129</v>
          </cell>
        </row>
        <row r="14">
          <cell r="A14" t="str">
            <v>EDE</v>
          </cell>
          <cell r="B14" t="str">
            <v>EDE</v>
          </cell>
          <cell r="C14" t="str">
            <v>EMPIRE DIST ELEC</v>
          </cell>
          <cell r="D14">
            <v>19851219</v>
          </cell>
          <cell r="E14" t="str">
            <v>EPS</v>
          </cell>
          <cell r="F14" t="str">
            <v>ANN</v>
          </cell>
          <cell r="G14">
            <v>1</v>
          </cell>
          <cell r="H14">
            <v>3</v>
          </cell>
          <cell r="I14">
            <v>1.34</v>
          </cell>
          <cell r="J14">
            <v>1.32</v>
          </cell>
          <cell r="K14">
            <v>1</v>
          </cell>
          <cell r="L14">
            <v>19851231</v>
          </cell>
          <cell r="M14">
            <v>1.375</v>
          </cell>
          <cell r="N14">
            <v>19860124</v>
          </cell>
        </row>
        <row r="15">
          <cell r="A15" t="str">
            <v>EXC</v>
          </cell>
          <cell r="B15" t="str">
            <v>EXC</v>
          </cell>
          <cell r="C15" t="str">
            <v>EXCEL INDS INC</v>
          </cell>
          <cell r="D15">
            <v>19851219</v>
          </cell>
          <cell r="E15" t="str">
            <v>EPS</v>
          </cell>
          <cell r="F15" t="str">
            <v>ANN</v>
          </cell>
          <cell r="G15">
            <v>1</v>
          </cell>
          <cell r="H15">
            <v>1</v>
          </cell>
          <cell r="I15">
            <v>1.53</v>
          </cell>
          <cell r="J15">
            <v>1.53</v>
          </cell>
          <cell r="K15">
            <v>1</v>
          </cell>
          <cell r="L15">
            <v>19851231</v>
          </cell>
          <cell r="M15">
            <v>0.68179999999999996</v>
          </cell>
          <cell r="N15">
            <v>19860220</v>
          </cell>
        </row>
        <row r="16">
          <cell r="A16" t="str">
            <v>FE</v>
          </cell>
          <cell r="B16" t="str">
            <v>FE</v>
          </cell>
          <cell r="C16" t="str">
            <v>FRIES ENTMT INC</v>
          </cell>
          <cell r="D16">
            <v>19851219</v>
          </cell>
          <cell r="E16" t="str">
            <v>EPS</v>
          </cell>
          <cell r="F16" t="str">
            <v>ANN</v>
          </cell>
          <cell r="G16">
            <v>1</v>
          </cell>
          <cell r="H16">
            <v>5</v>
          </cell>
          <cell r="I16">
            <v>0.75</v>
          </cell>
          <cell r="J16">
            <v>0.75</v>
          </cell>
          <cell r="K16">
            <v>1</v>
          </cell>
          <cell r="L16">
            <v>19860531</v>
          </cell>
          <cell r="M16">
            <v>0.56999999999999995</v>
          </cell>
        </row>
        <row r="17">
          <cell r="A17" t="str">
            <v>FPL</v>
          </cell>
          <cell r="B17" t="str">
            <v>FPL</v>
          </cell>
          <cell r="C17" t="str">
            <v>FPL GROUP</v>
          </cell>
          <cell r="D17">
            <v>19851219</v>
          </cell>
          <cell r="E17" t="str">
            <v>EPS</v>
          </cell>
          <cell r="F17" t="str">
            <v>ANN</v>
          </cell>
          <cell r="G17">
            <v>1</v>
          </cell>
          <cell r="H17">
            <v>27</v>
          </cell>
          <cell r="I17">
            <v>0.41</v>
          </cell>
          <cell r="J17">
            <v>0.41</v>
          </cell>
          <cell r="K17">
            <v>1</v>
          </cell>
          <cell r="L17">
            <v>19851231</v>
          </cell>
          <cell r="M17">
            <v>0.38879999999999998</v>
          </cell>
          <cell r="N17">
            <v>19860127</v>
          </cell>
        </row>
        <row r="18">
          <cell r="A18" t="str">
            <v>HE</v>
          </cell>
          <cell r="B18" t="str">
            <v>HE</v>
          </cell>
          <cell r="C18" t="str">
            <v>HAWAIIAN ELEC</v>
          </cell>
          <cell r="D18">
            <v>19851219</v>
          </cell>
          <cell r="E18" t="str">
            <v>EPS</v>
          </cell>
          <cell r="F18" t="str">
            <v>ANN</v>
          </cell>
          <cell r="G18">
            <v>1</v>
          </cell>
          <cell r="H18">
            <v>14</v>
          </cell>
          <cell r="I18">
            <v>1.21</v>
          </cell>
          <cell r="J18">
            <v>1.21</v>
          </cell>
          <cell r="K18">
            <v>1</v>
          </cell>
          <cell r="L18">
            <v>19851231</v>
          </cell>
          <cell r="M18">
            <v>1.2</v>
          </cell>
          <cell r="N18">
            <v>19860215</v>
          </cell>
        </row>
        <row r="19">
          <cell r="A19" t="str">
            <v>IDA</v>
          </cell>
          <cell r="B19" t="str">
            <v>IDA</v>
          </cell>
          <cell r="C19" t="str">
            <v>IDAHO POWER CO</v>
          </cell>
          <cell r="D19">
            <v>19851219</v>
          </cell>
          <cell r="E19" t="str">
            <v>EPS</v>
          </cell>
          <cell r="F19" t="str">
            <v>ANN</v>
          </cell>
          <cell r="G19">
            <v>1</v>
          </cell>
          <cell r="H19">
            <v>18</v>
          </cell>
          <cell r="I19">
            <v>2.2200000000000002</v>
          </cell>
          <cell r="J19">
            <v>2.2200000000000002</v>
          </cell>
          <cell r="K19">
            <v>1</v>
          </cell>
          <cell r="L19">
            <v>19851231</v>
          </cell>
          <cell r="M19">
            <v>2.16</v>
          </cell>
          <cell r="N19">
            <v>19860203</v>
          </cell>
        </row>
        <row r="20">
          <cell r="A20" t="str">
            <v>NU</v>
          </cell>
          <cell r="B20" t="str">
            <v>NU</v>
          </cell>
          <cell r="C20" t="str">
            <v>NORTHEAST UTILS</v>
          </cell>
          <cell r="D20">
            <v>19851219</v>
          </cell>
          <cell r="E20" t="str">
            <v>EPS</v>
          </cell>
          <cell r="F20" t="str">
            <v>ANN</v>
          </cell>
          <cell r="G20">
            <v>1</v>
          </cell>
          <cell r="H20">
            <v>20</v>
          </cell>
          <cell r="I20">
            <v>2.7</v>
          </cell>
          <cell r="J20">
            <v>2.68</v>
          </cell>
          <cell r="K20">
            <v>1</v>
          </cell>
          <cell r="L20">
            <v>19851231</v>
          </cell>
          <cell r="M20">
            <v>2.72</v>
          </cell>
          <cell r="N20">
            <v>19860129</v>
          </cell>
        </row>
        <row r="21">
          <cell r="A21" t="str">
            <v>OGE</v>
          </cell>
          <cell r="B21" t="str">
            <v>OGE</v>
          </cell>
          <cell r="C21" t="str">
            <v>OKLAHOMA G&amp;E</v>
          </cell>
          <cell r="D21">
            <v>19851219</v>
          </cell>
          <cell r="E21" t="str">
            <v>EPS</v>
          </cell>
          <cell r="F21" t="str">
            <v>ANN</v>
          </cell>
          <cell r="G21">
            <v>1</v>
          </cell>
          <cell r="H21">
            <v>25</v>
          </cell>
          <cell r="I21">
            <v>0.6</v>
          </cell>
          <cell r="J21">
            <v>0.59</v>
          </cell>
          <cell r="K21">
            <v>1</v>
          </cell>
          <cell r="L21">
            <v>19851231</v>
          </cell>
          <cell r="M21">
            <v>0.57499999999999996</v>
          </cell>
          <cell r="N21">
            <v>19860129</v>
          </cell>
        </row>
        <row r="22">
          <cell r="A22" t="str">
            <v>OTTR</v>
          </cell>
          <cell r="B22" t="str">
            <v>OTTR</v>
          </cell>
          <cell r="C22" t="str">
            <v>OTTER TAIL PWR</v>
          </cell>
          <cell r="D22">
            <v>19851219</v>
          </cell>
          <cell r="E22" t="str">
            <v>EPS</v>
          </cell>
          <cell r="F22" t="str">
            <v>ANN</v>
          </cell>
          <cell r="G22">
            <v>1</v>
          </cell>
          <cell r="H22">
            <v>5</v>
          </cell>
          <cell r="I22">
            <v>0.88</v>
          </cell>
          <cell r="J22">
            <v>0.88</v>
          </cell>
          <cell r="K22">
            <v>1</v>
          </cell>
          <cell r="L22">
            <v>19851231</v>
          </cell>
          <cell r="M22">
            <v>0.88749999999999996</v>
          </cell>
        </row>
        <row r="23">
          <cell r="A23" t="str">
            <v>PCG</v>
          </cell>
          <cell r="B23" t="str">
            <v>PCG</v>
          </cell>
          <cell r="C23" t="str">
            <v>PACIFIC G&amp;E</v>
          </cell>
          <cell r="D23">
            <v>19851219</v>
          </cell>
          <cell r="E23" t="str">
            <v>EPS</v>
          </cell>
          <cell r="F23" t="str">
            <v>ANN</v>
          </cell>
          <cell r="G23">
            <v>1</v>
          </cell>
          <cell r="H23">
            <v>24</v>
          </cell>
          <cell r="I23">
            <v>2.7</v>
          </cell>
          <cell r="J23">
            <v>2.71</v>
          </cell>
          <cell r="K23">
            <v>1</v>
          </cell>
          <cell r="L23">
            <v>19851231</v>
          </cell>
          <cell r="M23">
            <v>2.65</v>
          </cell>
          <cell r="N23">
            <v>19860123</v>
          </cell>
        </row>
        <row r="24">
          <cell r="A24" t="str">
            <v>PEG</v>
          </cell>
          <cell r="B24" t="str">
            <v>PEG</v>
          </cell>
          <cell r="C24" t="str">
            <v>PUB SVC E&amp;G</v>
          </cell>
          <cell r="D24">
            <v>19851219</v>
          </cell>
          <cell r="E24" t="str">
            <v>EPS</v>
          </cell>
          <cell r="F24" t="str">
            <v>ANN</v>
          </cell>
          <cell r="G24">
            <v>1</v>
          </cell>
          <cell r="H24">
            <v>25</v>
          </cell>
          <cell r="I24">
            <v>1.3</v>
          </cell>
          <cell r="J24">
            <v>1.29</v>
          </cell>
          <cell r="K24">
            <v>1</v>
          </cell>
          <cell r="L24">
            <v>19851231</v>
          </cell>
          <cell r="M24">
            <v>1.32</v>
          </cell>
          <cell r="N24">
            <v>19860122</v>
          </cell>
        </row>
        <row r="25">
          <cell r="A25" t="str">
            <v>PGN</v>
          </cell>
          <cell r="B25" t="str">
            <v>PGN</v>
          </cell>
          <cell r="C25" t="str">
            <v>PORTLD GEN ELEC</v>
          </cell>
          <cell r="D25">
            <v>19851219</v>
          </cell>
          <cell r="E25" t="str">
            <v>EPS</v>
          </cell>
          <cell r="F25" t="str">
            <v>ANN</v>
          </cell>
          <cell r="G25">
            <v>1</v>
          </cell>
          <cell r="H25">
            <v>12</v>
          </cell>
          <cell r="I25">
            <v>2.42</v>
          </cell>
          <cell r="J25">
            <v>2.46</v>
          </cell>
          <cell r="K25">
            <v>1</v>
          </cell>
          <cell r="L25">
            <v>19851231</v>
          </cell>
          <cell r="M25">
            <v>1.1399999999999999</v>
          </cell>
          <cell r="N25">
            <v>19860207</v>
          </cell>
        </row>
        <row r="26">
          <cell r="A26" t="str">
            <v>PNM</v>
          </cell>
          <cell r="B26" t="str">
            <v>PNM</v>
          </cell>
          <cell r="C26" t="str">
            <v>PUB SVC N MEX</v>
          </cell>
          <cell r="D26">
            <v>19851219</v>
          </cell>
          <cell r="E26" t="str">
            <v>EPS</v>
          </cell>
          <cell r="F26" t="str">
            <v>ANN</v>
          </cell>
          <cell r="G26">
            <v>1</v>
          </cell>
          <cell r="H26">
            <v>15</v>
          </cell>
          <cell r="I26">
            <v>2.1</v>
          </cell>
          <cell r="J26">
            <v>2.12</v>
          </cell>
          <cell r="K26">
            <v>1</v>
          </cell>
          <cell r="L26">
            <v>19851231</v>
          </cell>
          <cell r="M26">
            <v>2.2000000000000002</v>
          </cell>
          <cell r="N26">
            <v>19860220</v>
          </cell>
        </row>
        <row r="27">
          <cell r="A27" t="str">
            <v>POM</v>
          </cell>
          <cell r="B27" t="str">
            <v>POM</v>
          </cell>
          <cell r="C27" t="str">
            <v>POTOMAC ELEC</v>
          </cell>
          <cell r="D27">
            <v>19851219</v>
          </cell>
          <cell r="E27" t="str">
            <v>EPS</v>
          </cell>
          <cell r="F27" t="str">
            <v>ANN</v>
          </cell>
          <cell r="G27">
            <v>1</v>
          </cell>
          <cell r="H27">
            <v>25</v>
          </cell>
          <cell r="I27">
            <v>1.75</v>
          </cell>
          <cell r="J27">
            <v>1.72</v>
          </cell>
          <cell r="K27">
            <v>1</v>
          </cell>
          <cell r="L27">
            <v>19851231</v>
          </cell>
          <cell r="M27">
            <v>1.79</v>
          </cell>
          <cell r="N27">
            <v>19860124</v>
          </cell>
        </row>
        <row r="28">
          <cell r="A28" t="str">
            <v>POR</v>
          </cell>
          <cell r="B28" t="str">
            <v>POR</v>
          </cell>
          <cell r="C28" t="str">
            <v>PORTEC INC</v>
          </cell>
          <cell r="D28">
            <v>19851219</v>
          </cell>
          <cell r="E28" t="str">
            <v>EPS</v>
          </cell>
          <cell r="F28" t="str">
            <v>ANN</v>
          </cell>
          <cell r="G28">
            <v>1</v>
          </cell>
          <cell r="H28">
            <v>3</v>
          </cell>
          <cell r="I28">
            <v>0.83</v>
          </cell>
          <cell r="J28">
            <v>0.68</v>
          </cell>
          <cell r="K28">
            <v>1</v>
          </cell>
          <cell r="L28">
            <v>19851231</v>
          </cell>
          <cell r="M28">
            <v>0.4733</v>
          </cell>
          <cell r="N28">
            <v>19860130</v>
          </cell>
        </row>
        <row r="29">
          <cell r="A29" t="str">
            <v>PPL</v>
          </cell>
          <cell r="B29" t="str">
            <v>PPL</v>
          </cell>
          <cell r="C29" t="str">
            <v>PENNA P&amp;L</v>
          </cell>
          <cell r="D29">
            <v>19851219</v>
          </cell>
          <cell r="E29" t="str">
            <v>EPS</v>
          </cell>
          <cell r="F29" t="str">
            <v>ANN</v>
          </cell>
          <cell r="G29">
            <v>1</v>
          </cell>
          <cell r="H29">
            <v>20</v>
          </cell>
          <cell r="I29">
            <v>0.65</v>
          </cell>
          <cell r="J29">
            <v>0.65</v>
          </cell>
          <cell r="K29">
            <v>1</v>
          </cell>
          <cell r="L29">
            <v>19851231</v>
          </cell>
          <cell r="M29">
            <v>0.67</v>
          </cell>
          <cell r="N29">
            <v>19860123</v>
          </cell>
        </row>
        <row r="30">
          <cell r="A30" t="str">
            <v>PSD</v>
          </cell>
          <cell r="B30" t="str">
            <v>PSD</v>
          </cell>
          <cell r="C30" t="str">
            <v>PUGET SOUND P&amp;L</v>
          </cell>
          <cell r="D30">
            <v>19851219</v>
          </cell>
          <cell r="E30" t="str">
            <v>EPS</v>
          </cell>
          <cell r="F30" t="str">
            <v>ANN</v>
          </cell>
          <cell r="G30">
            <v>1</v>
          </cell>
          <cell r="H30">
            <v>13</v>
          </cell>
          <cell r="I30">
            <v>2</v>
          </cell>
          <cell r="J30">
            <v>2</v>
          </cell>
          <cell r="K30">
            <v>1</v>
          </cell>
          <cell r="L30">
            <v>19851231</v>
          </cell>
          <cell r="M30">
            <v>2.0699999999999998</v>
          </cell>
          <cell r="N30">
            <v>19860213</v>
          </cell>
        </row>
        <row r="31">
          <cell r="A31" t="str">
            <v>SCG</v>
          </cell>
          <cell r="B31" t="str">
            <v>SCG</v>
          </cell>
          <cell r="C31" t="str">
            <v>SCANA CP</v>
          </cell>
          <cell r="D31">
            <v>19851219</v>
          </cell>
          <cell r="E31" t="str">
            <v>EPS</v>
          </cell>
          <cell r="F31" t="str">
            <v>ANN</v>
          </cell>
          <cell r="G31">
            <v>1</v>
          </cell>
          <cell r="H31">
            <v>19</v>
          </cell>
          <cell r="I31">
            <v>1.45</v>
          </cell>
          <cell r="J31">
            <v>1.46</v>
          </cell>
          <cell r="K31">
            <v>1</v>
          </cell>
          <cell r="L31">
            <v>19851231</v>
          </cell>
          <cell r="M31">
            <v>1.41</v>
          </cell>
          <cell r="N31">
            <v>19860123</v>
          </cell>
        </row>
        <row r="32">
          <cell r="A32" t="str">
            <v>SO</v>
          </cell>
          <cell r="B32" t="str">
            <v>SO</v>
          </cell>
          <cell r="C32" t="str">
            <v>SOUTHN CO</v>
          </cell>
          <cell r="D32">
            <v>19851219</v>
          </cell>
          <cell r="E32" t="str">
            <v>EPS</v>
          </cell>
          <cell r="F32" t="str">
            <v>ANN</v>
          </cell>
          <cell r="G32">
            <v>1</v>
          </cell>
          <cell r="H32">
            <v>24</v>
          </cell>
          <cell r="I32">
            <v>1.6</v>
          </cell>
          <cell r="J32">
            <v>1.59</v>
          </cell>
          <cell r="K32">
            <v>1</v>
          </cell>
          <cell r="L32">
            <v>19851231</v>
          </cell>
          <cell r="M32">
            <v>1.6</v>
          </cell>
          <cell r="N32">
            <v>19860131</v>
          </cell>
        </row>
        <row r="33">
          <cell r="A33" t="str">
            <v>TE</v>
          </cell>
          <cell r="B33" t="str">
            <v>TE</v>
          </cell>
          <cell r="C33" t="str">
            <v>TECO ENERGY INC</v>
          </cell>
          <cell r="D33">
            <v>19851219</v>
          </cell>
          <cell r="E33" t="str">
            <v>EPS</v>
          </cell>
          <cell r="F33" t="str">
            <v>ANN</v>
          </cell>
          <cell r="G33">
            <v>1</v>
          </cell>
          <cell r="H33">
            <v>22</v>
          </cell>
          <cell r="I33">
            <v>0.9</v>
          </cell>
          <cell r="J33">
            <v>0.9</v>
          </cell>
          <cell r="K33">
            <v>1</v>
          </cell>
          <cell r="L33">
            <v>19851231</v>
          </cell>
          <cell r="M33">
            <v>0.89500000000000002</v>
          </cell>
          <cell r="N33">
            <v>19860116</v>
          </cell>
        </row>
        <row r="34">
          <cell r="A34" t="str">
            <v>UIL</v>
          </cell>
          <cell r="B34" t="str">
            <v>UIL</v>
          </cell>
          <cell r="C34" t="str">
            <v>UTD ILLUM CO</v>
          </cell>
          <cell r="D34">
            <v>19851219</v>
          </cell>
          <cell r="E34" t="str">
            <v>EPS</v>
          </cell>
          <cell r="F34" t="str">
            <v>ANN</v>
          </cell>
          <cell r="G34">
            <v>1</v>
          </cell>
          <cell r="H34">
            <v>2</v>
          </cell>
          <cell r="I34">
            <v>3.15</v>
          </cell>
          <cell r="J34">
            <v>3.15</v>
          </cell>
          <cell r="K34">
            <v>1</v>
          </cell>
          <cell r="L34">
            <v>19851231</v>
          </cell>
          <cell r="M34">
            <v>3.492</v>
          </cell>
          <cell r="N34">
            <v>19860215</v>
          </cell>
        </row>
        <row r="35">
          <cell r="A35" t="str">
            <v>WPS</v>
          </cell>
          <cell r="B35" t="str">
            <v>WPS</v>
          </cell>
          <cell r="C35" t="str">
            <v>WISC PUB SVC</v>
          </cell>
          <cell r="D35">
            <v>19851219</v>
          </cell>
          <cell r="E35" t="str">
            <v>EPS</v>
          </cell>
          <cell r="F35" t="str">
            <v>ANN</v>
          </cell>
          <cell r="G35">
            <v>1</v>
          </cell>
          <cell r="H35">
            <v>16</v>
          </cell>
          <cell r="I35">
            <v>2.13</v>
          </cell>
          <cell r="J35">
            <v>2.12</v>
          </cell>
          <cell r="K35">
            <v>1</v>
          </cell>
          <cell r="L35">
            <v>19851231</v>
          </cell>
          <cell r="M35">
            <v>2.2200000000000002</v>
          </cell>
          <cell r="N35">
            <v>19860214</v>
          </cell>
        </row>
        <row r="36">
          <cell r="A36" t="str">
            <v>PPL</v>
          </cell>
          <cell r="B36" t="str">
            <v>PPL1</v>
          </cell>
          <cell r="C36" t="str">
            <v>PEMBINA RES LTD</v>
          </cell>
          <cell r="D36">
            <v>19851219</v>
          </cell>
          <cell r="E36" t="str">
            <v>EPS</v>
          </cell>
          <cell r="F36" t="str">
            <v>ANN</v>
          </cell>
          <cell r="G36">
            <v>1</v>
          </cell>
          <cell r="H36">
            <v>4</v>
          </cell>
          <cell r="I36">
            <v>0.97</v>
          </cell>
          <cell r="J36">
            <v>1.01</v>
          </cell>
          <cell r="K36">
            <v>0</v>
          </cell>
          <cell r="L36">
            <v>19851231</v>
          </cell>
          <cell r="M36">
            <v>0.81</v>
          </cell>
          <cell r="N36">
            <v>19860408</v>
          </cell>
        </row>
      </sheetData>
    </sheetDataSet>
  </externalBook>
</externalLink>
</file>

<file path=xl/externalLinks/externalLink1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RDS"/>
    </sheetNames>
    <sheetDataSet>
      <sheetData sheetId="0">
        <row r="1">
          <cell r="A1" t="str">
            <v>OFTIC</v>
          </cell>
          <cell r="B1" t="str">
            <v>IBES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USFIRM=0 if from .INT file and USFIRM=1 if from .US file</v>
          </cell>
          <cell r="M1" t="str">
            <v>Forecast Period End Date (SAS Format)</v>
          </cell>
          <cell r="N1" t="str">
            <v>Actual Value, from the Detail Actuals File</v>
          </cell>
          <cell r="O1" t="str">
            <v>Announce date of the Actual, from the Detail Actuals File</v>
          </cell>
        </row>
        <row r="2">
          <cell r="A2" t="str">
            <v>AVA</v>
          </cell>
          <cell r="B2" t="str">
            <v>AVDO</v>
          </cell>
          <cell r="C2" t="str">
            <v>AUDIO VIDEO AFFI</v>
          </cell>
          <cell r="D2">
            <v>19851219</v>
          </cell>
          <cell r="E2" t="str">
            <v>EPS</v>
          </cell>
          <cell r="F2" t="str">
            <v>LTG</v>
          </cell>
          <cell r="G2">
            <v>0</v>
          </cell>
          <cell r="H2">
            <v>2</v>
          </cell>
          <cell r="I2">
            <v>17.5</v>
          </cell>
          <cell r="J2">
            <v>17.5</v>
          </cell>
          <cell r="K2">
            <v>3.54</v>
          </cell>
          <cell r="L2">
            <v>1</v>
          </cell>
        </row>
        <row r="3">
          <cell r="A3" t="str">
            <v>CIN</v>
          </cell>
          <cell r="B3" t="str">
            <v>CIN</v>
          </cell>
          <cell r="C3" t="str">
            <v>CINN GAS &amp; EL</v>
          </cell>
          <cell r="D3">
            <v>19851219</v>
          </cell>
          <cell r="E3" t="str">
            <v>EPS</v>
          </cell>
          <cell r="F3" t="str">
            <v>LTG</v>
          </cell>
          <cell r="G3">
            <v>0</v>
          </cell>
          <cell r="H3">
            <v>13</v>
          </cell>
          <cell r="I3">
            <v>2</v>
          </cell>
          <cell r="J3">
            <v>1.99</v>
          </cell>
          <cell r="K3">
            <v>2.0299999999999998</v>
          </cell>
          <cell r="L3">
            <v>1</v>
          </cell>
        </row>
        <row r="4">
          <cell r="A4" t="str">
            <v>CMS</v>
          </cell>
          <cell r="B4" t="str">
            <v>CMS</v>
          </cell>
          <cell r="C4" t="str">
            <v>CONSUMERS PWR</v>
          </cell>
          <cell r="D4">
            <v>19851219</v>
          </cell>
          <cell r="E4" t="str">
            <v>EPS</v>
          </cell>
          <cell r="F4" t="str">
            <v>LTG</v>
          </cell>
          <cell r="G4">
            <v>0</v>
          </cell>
          <cell r="H4">
            <v>10</v>
          </cell>
          <cell r="I4">
            <v>0</v>
          </cell>
          <cell r="J4">
            <v>-0.05</v>
          </cell>
          <cell r="K4">
            <v>9.84</v>
          </cell>
          <cell r="L4">
            <v>1</v>
          </cell>
        </row>
        <row r="5">
          <cell r="A5" t="str">
            <v>CNL</v>
          </cell>
          <cell r="B5" t="str">
            <v>CNL</v>
          </cell>
          <cell r="C5" t="str">
            <v>CENT LA ELEC INC</v>
          </cell>
          <cell r="D5">
            <v>19851219</v>
          </cell>
          <cell r="E5" t="str">
            <v>EPS</v>
          </cell>
          <cell r="F5" t="str">
            <v>LTG</v>
          </cell>
          <cell r="G5">
            <v>0</v>
          </cell>
          <cell r="H5">
            <v>3</v>
          </cell>
          <cell r="I5">
            <v>4.5</v>
          </cell>
          <cell r="J5">
            <v>2</v>
          </cell>
          <cell r="K5">
            <v>5.22</v>
          </cell>
          <cell r="L5">
            <v>1</v>
          </cell>
        </row>
        <row r="6">
          <cell r="A6" t="str">
            <v>CV</v>
          </cell>
          <cell r="B6" t="str">
            <v>CV</v>
          </cell>
          <cell r="C6" t="str">
            <v>CNTRL VT PUB SVC</v>
          </cell>
          <cell r="D6">
            <v>19851219</v>
          </cell>
          <cell r="E6" t="str">
            <v>EPS</v>
          </cell>
          <cell r="F6" t="str">
            <v>LTG</v>
          </cell>
          <cell r="G6">
            <v>0</v>
          </cell>
          <cell r="H6">
            <v>1</v>
          </cell>
          <cell r="I6">
            <v>4</v>
          </cell>
          <cell r="J6">
            <v>4</v>
          </cell>
          <cell r="L6">
            <v>1</v>
          </cell>
        </row>
        <row r="7">
          <cell r="A7" t="str">
            <v>D</v>
          </cell>
          <cell r="B7" t="str">
            <v>D</v>
          </cell>
          <cell r="C7" t="str">
            <v>DOMINION RES INC</v>
          </cell>
          <cell r="D7">
            <v>19851219</v>
          </cell>
          <cell r="E7" t="str">
            <v>EPS</v>
          </cell>
          <cell r="F7" t="str">
            <v>LTG</v>
          </cell>
          <cell r="G7">
            <v>0</v>
          </cell>
          <cell r="H7">
            <v>18</v>
          </cell>
          <cell r="I7">
            <v>5</v>
          </cell>
          <cell r="J7">
            <v>5.14</v>
          </cell>
          <cell r="K7">
            <v>1.2</v>
          </cell>
          <cell r="L7">
            <v>1</v>
          </cell>
        </row>
        <row r="8">
          <cell r="A8" t="str">
            <v>DPL</v>
          </cell>
          <cell r="B8" t="str">
            <v>DPL</v>
          </cell>
          <cell r="C8" t="str">
            <v>DAYTON P &amp; L</v>
          </cell>
          <cell r="D8">
            <v>19851219</v>
          </cell>
          <cell r="E8" t="str">
            <v>EPS</v>
          </cell>
          <cell r="F8" t="str">
            <v>LTG</v>
          </cell>
          <cell r="G8">
            <v>0</v>
          </cell>
          <cell r="H8">
            <v>9</v>
          </cell>
          <cell r="I8">
            <v>2.8</v>
          </cell>
          <cell r="J8">
            <v>2.09</v>
          </cell>
          <cell r="K8">
            <v>1.62</v>
          </cell>
          <cell r="L8">
            <v>1</v>
          </cell>
        </row>
        <row r="9">
          <cell r="A9" t="str">
            <v>DTE</v>
          </cell>
          <cell r="B9" t="str">
            <v>DTE</v>
          </cell>
          <cell r="C9" t="str">
            <v>DETROIT EDISON</v>
          </cell>
          <cell r="D9">
            <v>19851219</v>
          </cell>
          <cell r="E9" t="str">
            <v>EPS</v>
          </cell>
          <cell r="F9" t="str">
            <v>LTG</v>
          </cell>
          <cell r="G9">
            <v>0</v>
          </cell>
          <cell r="H9">
            <v>13</v>
          </cell>
          <cell r="I9">
            <v>3.8</v>
          </cell>
          <cell r="J9">
            <v>3.42</v>
          </cell>
          <cell r="K9">
            <v>1.1499999999999999</v>
          </cell>
          <cell r="L9">
            <v>1</v>
          </cell>
        </row>
        <row r="10">
          <cell r="A10" t="str">
            <v>DUK</v>
          </cell>
          <cell r="B10" t="str">
            <v>DUK</v>
          </cell>
          <cell r="C10" t="str">
            <v>DUKE POWER CO</v>
          </cell>
          <cell r="D10">
            <v>19851219</v>
          </cell>
          <cell r="E10" t="str">
            <v>EPS</v>
          </cell>
          <cell r="F10" t="str">
            <v>LTG</v>
          </cell>
          <cell r="G10">
            <v>0</v>
          </cell>
          <cell r="H10">
            <v>16</v>
          </cell>
          <cell r="I10">
            <v>5.2</v>
          </cell>
          <cell r="J10">
            <v>5.71</v>
          </cell>
          <cell r="K10">
            <v>1.25</v>
          </cell>
          <cell r="L10">
            <v>1</v>
          </cell>
        </row>
        <row r="11">
          <cell r="A11" t="str">
            <v>ED</v>
          </cell>
          <cell r="B11" t="str">
            <v>ED</v>
          </cell>
          <cell r="C11" t="str">
            <v>CONSOL EDISON</v>
          </cell>
          <cell r="D11">
            <v>19851219</v>
          </cell>
          <cell r="E11" t="str">
            <v>EPS</v>
          </cell>
          <cell r="F11" t="str">
            <v>LTG</v>
          </cell>
          <cell r="G11">
            <v>0</v>
          </cell>
          <cell r="H11">
            <v>15</v>
          </cell>
          <cell r="I11">
            <v>6</v>
          </cell>
          <cell r="J11">
            <v>5.82</v>
          </cell>
          <cell r="K11">
            <v>1.79</v>
          </cell>
          <cell r="L11">
            <v>1</v>
          </cell>
        </row>
        <row r="12">
          <cell r="A12" t="str">
            <v>EDE</v>
          </cell>
          <cell r="B12" t="str">
            <v>EDE</v>
          </cell>
          <cell r="C12" t="str">
            <v>EMPIRE DIST ELEC</v>
          </cell>
          <cell r="D12">
            <v>19851219</v>
          </cell>
          <cell r="E12" t="str">
            <v>EPS</v>
          </cell>
          <cell r="F12" t="str">
            <v>LTG</v>
          </cell>
          <cell r="G12">
            <v>0</v>
          </cell>
          <cell r="H12">
            <v>2</v>
          </cell>
          <cell r="I12">
            <v>1.25</v>
          </cell>
          <cell r="J12">
            <v>1.25</v>
          </cell>
          <cell r="K12">
            <v>0.35</v>
          </cell>
          <cell r="L12">
            <v>1</v>
          </cell>
        </row>
        <row r="13">
          <cell r="A13" t="str">
            <v>FE</v>
          </cell>
          <cell r="B13" t="str">
            <v>FE</v>
          </cell>
          <cell r="C13" t="str">
            <v>FRIES ENTMT INC</v>
          </cell>
          <cell r="D13">
            <v>19851219</v>
          </cell>
          <cell r="E13" t="str">
            <v>EPS</v>
          </cell>
          <cell r="F13" t="str">
            <v>LTG</v>
          </cell>
          <cell r="G13">
            <v>0</v>
          </cell>
          <cell r="H13">
            <v>1</v>
          </cell>
          <cell r="I13">
            <v>35</v>
          </cell>
          <cell r="J13">
            <v>35</v>
          </cell>
          <cell r="L13">
            <v>1</v>
          </cell>
        </row>
        <row r="14">
          <cell r="A14" t="str">
            <v>FPL</v>
          </cell>
          <cell r="B14" t="str">
            <v>FPL</v>
          </cell>
          <cell r="C14" t="str">
            <v>FPL GROUP</v>
          </cell>
          <cell r="D14">
            <v>19851219</v>
          </cell>
          <cell r="E14" t="str">
            <v>EPS</v>
          </cell>
          <cell r="F14" t="str">
            <v>LTG</v>
          </cell>
          <cell r="G14">
            <v>0</v>
          </cell>
          <cell r="H14">
            <v>18</v>
          </cell>
          <cell r="I14">
            <v>6</v>
          </cell>
          <cell r="J14">
            <v>6.14</v>
          </cell>
          <cell r="K14">
            <v>1.62</v>
          </cell>
          <cell r="L14">
            <v>1</v>
          </cell>
        </row>
        <row r="15">
          <cell r="A15" t="str">
            <v>HE</v>
          </cell>
          <cell r="B15" t="str">
            <v>HE</v>
          </cell>
          <cell r="C15" t="str">
            <v>HAWAIIAN ELEC</v>
          </cell>
          <cell r="D15">
            <v>19851219</v>
          </cell>
          <cell r="E15" t="str">
            <v>EPS</v>
          </cell>
          <cell r="F15" t="str">
            <v>LTG</v>
          </cell>
          <cell r="G15">
            <v>0</v>
          </cell>
          <cell r="H15">
            <v>10</v>
          </cell>
          <cell r="I15">
            <v>5.5</v>
          </cell>
          <cell r="J15">
            <v>6.3</v>
          </cell>
          <cell r="K15">
            <v>2.5</v>
          </cell>
          <cell r="L15">
            <v>1</v>
          </cell>
        </row>
        <row r="16">
          <cell r="A16" t="str">
            <v>IDA</v>
          </cell>
          <cell r="B16" t="str">
            <v>IDA</v>
          </cell>
          <cell r="C16" t="str">
            <v>IDAHO POWER CO</v>
          </cell>
          <cell r="D16">
            <v>19851219</v>
          </cell>
          <cell r="E16" t="str">
            <v>EPS</v>
          </cell>
          <cell r="F16" t="str">
            <v>LTG</v>
          </cell>
          <cell r="G16">
            <v>0</v>
          </cell>
          <cell r="H16">
            <v>9</v>
          </cell>
          <cell r="I16">
            <v>4</v>
          </cell>
          <cell r="J16">
            <v>4.1399999999999997</v>
          </cell>
          <cell r="K16">
            <v>0.93</v>
          </cell>
          <cell r="L16">
            <v>1</v>
          </cell>
        </row>
        <row r="17">
          <cell r="A17" t="str">
            <v>NU</v>
          </cell>
          <cell r="B17" t="str">
            <v>NU</v>
          </cell>
          <cell r="C17" t="str">
            <v>NORTHEAST UTILS</v>
          </cell>
          <cell r="D17">
            <v>19851219</v>
          </cell>
          <cell r="E17" t="str">
            <v>EPS</v>
          </cell>
          <cell r="F17" t="str">
            <v>LTG</v>
          </cell>
          <cell r="G17">
            <v>0</v>
          </cell>
          <cell r="H17">
            <v>14</v>
          </cell>
          <cell r="I17">
            <v>4.5</v>
          </cell>
          <cell r="J17">
            <v>4.17</v>
          </cell>
          <cell r="K17">
            <v>1.97</v>
          </cell>
          <cell r="L17">
            <v>1</v>
          </cell>
        </row>
        <row r="18">
          <cell r="A18" t="str">
            <v>OGE</v>
          </cell>
          <cell r="B18" t="str">
            <v>OGE</v>
          </cell>
          <cell r="C18" t="str">
            <v>OKLAHOMA G&amp;E</v>
          </cell>
          <cell r="D18">
            <v>19851219</v>
          </cell>
          <cell r="E18" t="str">
            <v>EPS</v>
          </cell>
          <cell r="F18" t="str">
            <v>LTG</v>
          </cell>
          <cell r="G18">
            <v>0</v>
          </cell>
          <cell r="H18">
            <v>17</v>
          </cell>
          <cell r="I18">
            <v>5</v>
          </cell>
          <cell r="J18">
            <v>5.21</v>
          </cell>
          <cell r="K18">
            <v>1.42</v>
          </cell>
          <cell r="L18">
            <v>1</v>
          </cell>
        </row>
        <row r="19">
          <cell r="A19" t="str">
            <v>OTTR</v>
          </cell>
          <cell r="B19" t="str">
            <v>OTTR</v>
          </cell>
          <cell r="C19" t="str">
            <v>OTTER TAIL PWR</v>
          </cell>
          <cell r="D19">
            <v>19851219</v>
          </cell>
          <cell r="E19" t="str">
            <v>EPS</v>
          </cell>
          <cell r="F19" t="str">
            <v>LTG</v>
          </cell>
          <cell r="G19">
            <v>0</v>
          </cell>
          <cell r="H19">
            <v>4</v>
          </cell>
          <cell r="I19">
            <v>4</v>
          </cell>
          <cell r="J19">
            <v>3.88</v>
          </cell>
          <cell r="K19">
            <v>1.65</v>
          </cell>
          <cell r="L19">
            <v>1</v>
          </cell>
        </row>
        <row r="20">
          <cell r="A20" t="str">
            <v>PCG</v>
          </cell>
          <cell r="B20" t="str">
            <v>PCG</v>
          </cell>
          <cell r="C20" t="str">
            <v>PACIFIC G&amp;E</v>
          </cell>
          <cell r="D20">
            <v>19851219</v>
          </cell>
          <cell r="E20" t="str">
            <v>EPS</v>
          </cell>
          <cell r="F20" t="str">
            <v>LTG</v>
          </cell>
          <cell r="G20">
            <v>0</v>
          </cell>
          <cell r="H20">
            <v>16</v>
          </cell>
          <cell r="I20">
            <v>5.05</v>
          </cell>
          <cell r="J20">
            <v>4.7699999999999996</v>
          </cell>
          <cell r="K20">
            <v>1.59</v>
          </cell>
          <cell r="L20">
            <v>1</v>
          </cell>
        </row>
        <row r="21">
          <cell r="A21" t="str">
            <v>PEG</v>
          </cell>
          <cell r="B21" t="str">
            <v>PEG</v>
          </cell>
          <cell r="C21" t="str">
            <v>PUB SVC E&amp;G</v>
          </cell>
          <cell r="D21">
            <v>19851219</v>
          </cell>
          <cell r="E21" t="str">
            <v>EPS</v>
          </cell>
          <cell r="F21" t="str">
            <v>LTG</v>
          </cell>
          <cell r="G21">
            <v>0</v>
          </cell>
          <cell r="H21">
            <v>18</v>
          </cell>
          <cell r="I21">
            <v>4</v>
          </cell>
          <cell r="J21">
            <v>4.3099999999999996</v>
          </cell>
          <cell r="K21">
            <v>1.24</v>
          </cell>
          <cell r="L21">
            <v>1</v>
          </cell>
        </row>
        <row r="22">
          <cell r="A22" t="str">
            <v>PGN</v>
          </cell>
          <cell r="B22" t="str">
            <v>PGN</v>
          </cell>
          <cell r="C22" t="str">
            <v>PORTLD GEN ELEC</v>
          </cell>
          <cell r="D22">
            <v>19851219</v>
          </cell>
          <cell r="E22" t="str">
            <v>EPS</v>
          </cell>
          <cell r="F22" t="str">
            <v>LTG</v>
          </cell>
          <cell r="G22">
            <v>0</v>
          </cell>
          <cell r="H22">
            <v>8</v>
          </cell>
          <cell r="I22">
            <v>4.3</v>
          </cell>
          <cell r="J22">
            <v>4.58</v>
          </cell>
          <cell r="K22">
            <v>1.01</v>
          </cell>
          <cell r="L22">
            <v>1</v>
          </cell>
        </row>
        <row r="23">
          <cell r="A23" t="str">
            <v>PNM</v>
          </cell>
          <cell r="B23" t="str">
            <v>PNM</v>
          </cell>
          <cell r="C23" t="str">
            <v>PUB SVC N MEX</v>
          </cell>
          <cell r="D23">
            <v>19851219</v>
          </cell>
          <cell r="E23" t="str">
            <v>EPS</v>
          </cell>
          <cell r="F23" t="str">
            <v>LTG</v>
          </cell>
          <cell r="G23">
            <v>0</v>
          </cell>
          <cell r="H23">
            <v>11</v>
          </cell>
          <cell r="I23">
            <v>4.5</v>
          </cell>
          <cell r="J23">
            <v>4.43</v>
          </cell>
          <cell r="K23">
            <v>1.74</v>
          </cell>
          <cell r="L23">
            <v>1</v>
          </cell>
        </row>
        <row r="24">
          <cell r="A24" t="str">
            <v>POM</v>
          </cell>
          <cell r="B24" t="str">
            <v>POM</v>
          </cell>
          <cell r="C24" t="str">
            <v>POTOMAC ELEC</v>
          </cell>
          <cell r="D24">
            <v>19851219</v>
          </cell>
          <cell r="E24" t="str">
            <v>EPS</v>
          </cell>
          <cell r="F24" t="str">
            <v>LTG</v>
          </cell>
          <cell r="G24">
            <v>0</v>
          </cell>
          <cell r="H24">
            <v>16</v>
          </cell>
          <cell r="I24">
            <v>6</v>
          </cell>
          <cell r="J24">
            <v>6.36</v>
          </cell>
          <cell r="K24">
            <v>1.72</v>
          </cell>
          <cell r="L24">
            <v>1</v>
          </cell>
        </row>
        <row r="25">
          <cell r="A25" t="str">
            <v>POR</v>
          </cell>
          <cell r="B25" t="str">
            <v>POR</v>
          </cell>
          <cell r="C25" t="str">
            <v>PORTEC INC</v>
          </cell>
          <cell r="D25">
            <v>19851219</v>
          </cell>
          <cell r="E25" t="str">
            <v>EPS</v>
          </cell>
          <cell r="F25" t="str">
            <v>LTG</v>
          </cell>
          <cell r="G25">
            <v>0</v>
          </cell>
          <cell r="H25">
            <v>1</v>
          </cell>
          <cell r="I25">
            <v>10</v>
          </cell>
          <cell r="J25">
            <v>10</v>
          </cell>
          <cell r="L25">
            <v>1</v>
          </cell>
        </row>
        <row r="26">
          <cell r="A26" t="str">
            <v>PPL</v>
          </cell>
          <cell r="B26" t="str">
            <v>PPL</v>
          </cell>
          <cell r="C26" t="str">
            <v>PENNA P&amp;L</v>
          </cell>
          <cell r="D26">
            <v>19851219</v>
          </cell>
          <cell r="E26" t="str">
            <v>EPS</v>
          </cell>
          <cell r="F26" t="str">
            <v>LTG</v>
          </cell>
          <cell r="G26">
            <v>0</v>
          </cell>
          <cell r="H26">
            <v>15</v>
          </cell>
          <cell r="I26">
            <v>3</v>
          </cell>
          <cell r="J26">
            <v>3.35</v>
          </cell>
          <cell r="K26">
            <v>2.46</v>
          </cell>
          <cell r="L26">
            <v>1</v>
          </cell>
        </row>
        <row r="27">
          <cell r="A27" t="str">
            <v>PSD</v>
          </cell>
          <cell r="B27" t="str">
            <v>PSD</v>
          </cell>
          <cell r="C27" t="str">
            <v>PUGET SOUND P&amp;L</v>
          </cell>
          <cell r="D27">
            <v>19851219</v>
          </cell>
          <cell r="E27" t="str">
            <v>EPS</v>
          </cell>
          <cell r="F27" t="str">
            <v>LTG</v>
          </cell>
          <cell r="G27">
            <v>0</v>
          </cell>
          <cell r="H27">
            <v>8</v>
          </cell>
          <cell r="I27">
            <v>3.5</v>
          </cell>
          <cell r="J27">
            <v>5.0599999999999996</v>
          </cell>
          <cell r="K27">
            <v>3.8</v>
          </cell>
          <cell r="L27">
            <v>1</v>
          </cell>
        </row>
        <row r="28">
          <cell r="A28" t="str">
            <v>SCG</v>
          </cell>
          <cell r="B28" t="str">
            <v>SCG</v>
          </cell>
          <cell r="C28" t="str">
            <v>SCANA CP</v>
          </cell>
          <cell r="D28">
            <v>19851219</v>
          </cell>
          <cell r="E28" t="str">
            <v>EPS</v>
          </cell>
          <cell r="F28" t="str">
            <v>LTG</v>
          </cell>
          <cell r="G28">
            <v>0</v>
          </cell>
          <cell r="H28">
            <v>14</v>
          </cell>
          <cell r="I28">
            <v>4.4000000000000004</v>
          </cell>
          <cell r="J28">
            <v>4.8499999999999996</v>
          </cell>
          <cell r="K28">
            <v>1.61</v>
          </cell>
          <cell r="L28">
            <v>1</v>
          </cell>
        </row>
        <row r="29">
          <cell r="A29" t="str">
            <v>SO</v>
          </cell>
          <cell r="B29" t="str">
            <v>SO</v>
          </cell>
          <cell r="C29" t="str">
            <v>SOUTHN CO</v>
          </cell>
          <cell r="D29">
            <v>19851219</v>
          </cell>
          <cell r="E29" t="str">
            <v>EPS</v>
          </cell>
          <cell r="F29" t="str">
            <v>LTG</v>
          </cell>
          <cell r="G29">
            <v>0</v>
          </cell>
          <cell r="H29">
            <v>18</v>
          </cell>
          <cell r="I29">
            <v>4.9000000000000004</v>
          </cell>
          <cell r="J29">
            <v>4.76</v>
          </cell>
          <cell r="K29">
            <v>1.02</v>
          </cell>
          <cell r="L29">
            <v>1</v>
          </cell>
        </row>
        <row r="30">
          <cell r="A30" t="str">
            <v>TE</v>
          </cell>
          <cell r="B30" t="str">
            <v>TE</v>
          </cell>
          <cell r="C30" t="str">
            <v>TECO ENERGY INC</v>
          </cell>
          <cell r="D30">
            <v>19851219</v>
          </cell>
          <cell r="E30" t="str">
            <v>EPS</v>
          </cell>
          <cell r="F30" t="str">
            <v>LTG</v>
          </cell>
          <cell r="G30">
            <v>0</v>
          </cell>
          <cell r="H30">
            <v>16</v>
          </cell>
          <cell r="I30">
            <v>6</v>
          </cell>
          <cell r="J30">
            <v>6.29</v>
          </cell>
          <cell r="K30">
            <v>1.5</v>
          </cell>
          <cell r="L30">
            <v>1</v>
          </cell>
        </row>
        <row r="31">
          <cell r="A31" t="str">
            <v>UIL</v>
          </cell>
          <cell r="B31" t="str">
            <v>UIL</v>
          </cell>
          <cell r="C31" t="str">
            <v>UTD ILLUM CO</v>
          </cell>
          <cell r="D31">
            <v>19851219</v>
          </cell>
          <cell r="E31" t="str">
            <v>EPS</v>
          </cell>
          <cell r="F31" t="str">
            <v>LTG</v>
          </cell>
          <cell r="G31">
            <v>0</v>
          </cell>
          <cell r="H31">
            <v>1</v>
          </cell>
          <cell r="I31">
            <v>1</v>
          </cell>
          <cell r="J31">
            <v>1</v>
          </cell>
          <cell r="L31">
            <v>1</v>
          </cell>
        </row>
        <row r="32">
          <cell r="A32" t="str">
            <v>WPS</v>
          </cell>
          <cell r="B32" t="str">
            <v>WPS</v>
          </cell>
          <cell r="C32" t="str">
            <v>WISC PUB SVC</v>
          </cell>
          <cell r="D32">
            <v>19851219</v>
          </cell>
          <cell r="E32" t="str">
            <v>EPS</v>
          </cell>
          <cell r="F32" t="str">
            <v>LTG</v>
          </cell>
          <cell r="G32">
            <v>0</v>
          </cell>
          <cell r="H32">
            <v>10</v>
          </cell>
          <cell r="I32">
            <v>5</v>
          </cell>
          <cell r="J32">
            <v>4.97</v>
          </cell>
          <cell r="K32">
            <v>1.1100000000000001</v>
          </cell>
          <cell r="L32">
            <v>1</v>
          </cell>
        </row>
        <row r="33">
          <cell r="A33" t="str">
            <v>PPL</v>
          </cell>
          <cell r="B33" t="str">
            <v>PPL1</v>
          </cell>
          <cell r="C33" t="str">
            <v>PEMBINA RES LTD</v>
          </cell>
          <cell r="D33">
            <v>19851219</v>
          </cell>
          <cell r="E33" t="str">
            <v>EPS</v>
          </cell>
          <cell r="F33" t="str">
            <v>LTG</v>
          </cell>
          <cell r="G33">
            <v>0</v>
          </cell>
          <cell r="H33">
            <v>1</v>
          </cell>
          <cell r="I33">
            <v>12.5</v>
          </cell>
          <cell r="J33">
            <v>12.5</v>
          </cell>
          <cell r="L33">
            <v>0</v>
          </cell>
        </row>
      </sheetData>
    </sheetDataSet>
  </externalBook>
</externalLink>
</file>

<file path=xl/externalLinks/externalLink1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1hycsy2zx65yqqs"/>
    </sheetNames>
    <sheetDataSet>
      <sheetData sheetId="0">
        <row r="1">
          <cell r="B1" t="str">
            <v>Official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Forecast Period End Date (SAS Format)</v>
          </cell>
          <cell r="M1" t="str">
            <v>Actual Value, from the Detail Actuals File</v>
          </cell>
          <cell r="N1" t="str">
            <v>Announce date of the Actual, from the Detail Actuals File</v>
          </cell>
        </row>
        <row r="2">
          <cell r="B2" t="str">
            <v>CGC</v>
          </cell>
          <cell r="C2" t="str">
            <v>CASCADE NAT GAS</v>
          </cell>
          <cell r="D2">
            <v>31400</v>
          </cell>
          <cell r="E2" t="str">
            <v>EPS</v>
          </cell>
          <cell r="F2" t="str">
            <v>ANN</v>
          </cell>
          <cell r="G2" t="str">
            <v>1</v>
          </cell>
          <cell r="H2">
            <v>4</v>
          </cell>
          <cell r="I2">
            <v>1.33</v>
          </cell>
          <cell r="J2">
            <v>1.32</v>
          </cell>
          <cell r="K2">
            <v>0.12</v>
          </cell>
          <cell r="L2">
            <v>31412</v>
          </cell>
          <cell r="M2">
            <v>1.2533000000000001</v>
          </cell>
          <cell r="N2">
            <v>31463</v>
          </cell>
        </row>
        <row r="3">
          <cell r="B3" t="str">
            <v>GAS</v>
          </cell>
          <cell r="C3" t="str">
            <v>NICOR INC</v>
          </cell>
          <cell r="D3">
            <v>31400</v>
          </cell>
          <cell r="E3" t="str">
            <v>EPS</v>
          </cell>
          <cell r="F3" t="str">
            <v>ANN</v>
          </cell>
          <cell r="G3" t="str">
            <v>1</v>
          </cell>
          <cell r="H3">
            <v>15</v>
          </cell>
          <cell r="I3">
            <v>1.05</v>
          </cell>
          <cell r="J3">
            <v>1.07</v>
          </cell>
          <cell r="K3">
            <v>0.09</v>
          </cell>
          <cell r="L3">
            <v>31412</v>
          </cell>
          <cell r="M3">
            <v>1.36</v>
          </cell>
          <cell r="N3">
            <v>31446</v>
          </cell>
        </row>
        <row r="4">
          <cell r="B4" t="str">
            <v>LG</v>
          </cell>
          <cell r="C4" t="str">
            <v>LACLEDE GAS</v>
          </cell>
          <cell r="D4">
            <v>31400</v>
          </cell>
          <cell r="E4" t="str">
            <v>EPS</v>
          </cell>
          <cell r="F4" t="str">
            <v>ANN</v>
          </cell>
          <cell r="G4" t="str">
            <v>1</v>
          </cell>
          <cell r="H4">
            <v>1</v>
          </cell>
          <cell r="I4">
            <v>1.83</v>
          </cell>
          <cell r="J4">
            <v>1.83</v>
          </cell>
          <cell r="L4">
            <v>31685</v>
          </cell>
          <cell r="M4">
            <v>1.87</v>
          </cell>
          <cell r="N4">
            <v>31737</v>
          </cell>
        </row>
        <row r="5">
          <cell r="B5" t="str">
            <v>NI</v>
          </cell>
          <cell r="C5" t="str">
            <v>NORTHN IND PUB</v>
          </cell>
          <cell r="D5">
            <v>31400</v>
          </cell>
          <cell r="E5" t="str">
            <v>EPS</v>
          </cell>
          <cell r="F5" t="str">
            <v>ANN</v>
          </cell>
          <cell r="G5" t="str">
            <v>1</v>
          </cell>
          <cell r="H5">
            <v>23</v>
          </cell>
          <cell r="I5">
            <v>0.6</v>
          </cell>
          <cell r="J5">
            <v>0.6</v>
          </cell>
          <cell r="K5">
            <v>0.05</v>
          </cell>
          <cell r="L5">
            <v>31412</v>
          </cell>
          <cell r="M5">
            <v>0.55000000000000004</v>
          </cell>
          <cell r="N5">
            <v>31442</v>
          </cell>
        </row>
        <row r="6">
          <cell r="B6" t="str">
            <v>PNY</v>
          </cell>
          <cell r="C6" t="str">
            <v>PIEDMONT NAT GAS</v>
          </cell>
          <cell r="D6">
            <v>31400</v>
          </cell>
          <cell r="E6" t="str">
            <v>EPS</v>
          </cell>
          <cell r="F6" t="str">
            <v>ANN</v>
          </cell>
          <cell r="G6" t="str">
            <v>1</v>
          </cell>
          <cell r="H6">
            <v>2</v>
          </cell>
          <cell r="I6">
            <v>0.49</v>
          </cell>
          <cell r="J6">
            <v>0.49</v>
          </cell>
          <cell r="K6">
            <v>0.01</v>
          </cell>
          <cell r="L6">
            <v>31716</v>
          </cell>
          <cell r="M6">
            <v>0.45750000000000002</v>
          </cell>
          <cell r="N6">
            <v>31756</v>
          </cell>
        </row>
        <row r="7">
          <cell r="B7" t="str">
            <v>SJI</v>
          </cell>
          <cell r="C7" t="str">
            <v>SO JERSEY INDS</v>
          </cell>
          <cell r="D7">
            <v>31400</v>
          </cell>
          <cell r="E7" t="str">
            <v>EPS</v>
          </cell>
          <cell r="F7" t="str">
            <v>ANN</v>
          </cell>
          <cell r="G7" t="str">
            <v>1</v>
          </cell>
          <cell r="H7">
            <v>5</v>
          </cell>
          <cell r="I7">
            <v>0.33</v>
          </cell>
          <cell r="J7">
            <v>0.32</v>
          </cell>
          <cell r="K7">
            <v>0.03</v>
          </cell>
          <cell r="L7">
            <v>31412</v>
          </cell>
          <cell r="M7">
            <v>0.29899999999999999</v>
          </cell>
          <cell r="N7">
            <v>31440</v>
          </cell>
        </row>
        <row r="8">
          <cell r="B8" t="str">
            <v>SWX</v>
          </cell>
          <cell r="C8" t="str">
            <v>SOUTHWEST GAS</v>
          </cell>
          <cell r="D8">
            <v>31400</v>
          </cell>
          <cell r="E8" t="str">
            <v>EPS</v>
          </cell>
          <cell r="F8" t="str">
            <v>ANN</v>
          </cell>
          <cell r="G8" t="str">
            <v>1</v>
          </cell>
          <cell r="H8">
            <v>8</v>
          </cell>
          <cell r="I8">
            <v>2.1</v>
          </cell>
          <cell r="J8">
            <v>2.11</v>
          </cell>
          <cell r="K8">
            <v>0.06</v>
          </cell>
          <cell r="L8">
            <v>31412</v>
          </cell>
        </row>
        <row r="9">
          <cell r="B9" t="str">
            <v>WGL</v>
          </cell>
          <cell r="C9" t="str">
            <v>WASH GAS LT</v>
          </cell>
          <cell r="D9">
            <v>31400</v>
          </cell>
          <cell r="E9" t="str">
            <v>EPS</v>
          </cell>
          <cell r="F9" t="str">
            <v>ANN</v>
          </cell>
          <cell r="G9" t="str">
            <v>1</v>
          </cell>
          <cell r="H9">
            <v>7</v>
          </cell>
          <cell r="I9">
            <v>1.2</v>
          </cell>
          <cell r="J9">
            <v>1.21</v>
          </cell>
          <cell r="K9">
            <v>0.03</v>
          </cell>
          <cell r="L9">
            <v>31412</v>
          </cell>
          <cell r="M9">
            <v>1.23</v>
          </cell>
          <cell r="N9">
            <v>31458</v>
          </cell>
        </row>
      </sheetData>
    </sheetDataSet>
  </externalBook>
</externalLink>
</file>

<file path=xl/externalLinks/externalLink1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93afwtoovaxadmb"/>
    </sheetNames>
    <sheetDataSet>
      <sheetData sheetId="0">
        <row r="2">
          <cell r="B2" t="str">
            <v>ATO</v>
          </cell>
          <cell r="C2" t="str">
            <v>ALAMITO CO</v>
          </cell>
          <cell r="D2">
            <v>31400</v>
          </cell>
          <cell r="E2" t="str">
            <v>EPS</v>
          </cell>
          <cell r="F2" t="str">
            <v>LTG</v>
          </cell>
          <cell r="G2" t="str">
            <v>0</v>
          </cell>
          <cell r="H2">
            <v>2</v>
          </cell>
          <cell r="I2">
            <v>9.35</v>
          </cell>
          <cell r="J2">
            <v>9.35</v>
          </cell>
          <cell r="K2">
            <v>1.91</v>
          </cell>
        </row>
        <row r="3">
          <cell r="B3" t="str">
            <v>CGC</v>
          </cell>
          <cell r="C3" t="str">
            <v>CASCADE NAT GAS</v>
          </cell>
          <cell r="D3">
            <v>31400</v>
          </cell>
          <cell r="E3" t="str">
            <v>EPS</v>
          </cell>
          <cell r="F3" t="str">
            <v>LTG</v>
          </cell>
          <cell r="G3" t="str">
            <v>0</v>
          </cell>
          <cell r="H3">
            <v>2</v>
          </cell>
          <cell r="I3">
            <v>11.5</v>
          </cell>
          <cell r="J3">
            <v>11.5</v>
          </cell>
          <cell r="K3">
            <v>7.78</v>
          </cell>
        </row>
        <row r="4">
          <cell r="B4" t="str">
            <v>GAS</v>
          </cell>
          <cell r="C4" t="str">
            <v>NICOR INC</v>
          </cell>
          <cell r="D4">
            <v>31400</v>
          </cell>
          <cell r="E4" t="str">
            <v>EPS</v>
          </cell>
          <cell r="F4" t="str">
            <v>LTG</v>
          </cell>
          <cell r="G4" t="str">
            <v>0</v>
          </cell>
          <cell r="H4">
            <v>4</v>
          </cell>
          <cell r="I4">
            <v>7.5</v>
          </cell>
          <cell r="J4">
            <v>8.5</v>
          </cell>
          <cell r="K4">
            <v>5.8</v>
          </cell>
        </row>
        <row r="5">
          <cell r="B5" t="str">
            <v>LG</v>
          </cell>
          <cell r="C5" t="str">
            <v>LACLEDE GAS</v>
          </cell>
          <cell r="D5">
            <v>31400</v>
          </cell>
          <cell r="E5" t="str">
            <v>EPS</v>
          </cell>
          <cell r="F5" t="str">
            <v>LTG</v>
          </cell>
          <cell r="G5" t="str">
            <v>0</v>
          </cell>
          <cell r="H5">
            <v>1</v>
          </cell>
          <cell r="I5">
            <v>10.5</v>
          </cell>
          <cell r="J5">
            <v>10.5</v>
          </cell>
        </row>
        <row r="6">
          <cell r="B6" t="str">
            <v>NI</v>
          </cell>
          <cell r="C6" t="str">
            <v>NORTHN IND PUB</v>
          </cell>
          <cell r="D6">
            <v>31400</v>
          </cell>
          <cell r="E6" t="str">
            <v>EPS</v>
          </cell>
          <cell r="F6" t="str">
            <v>LTG</v>
          </cell>
          <cell r="G6" t="str">
            <v>0</v>
          </cell>
          <cell r="H6">
            <v>15</v>
          </cell>
          <cell r="I6">
            <v>3.5</v>
          </cell>
          <cell r="J6">
            <v>4.45</v>
          </cell>
          <cell r="K6">
            <v>2.25</v>
          </cell>
        </row>
        <row r="7">
          <cell r="B7" t="str">
            <v>PNY</v>
          </cell>
          <cell r="C7" t="str">
            <v>PIEDMONT NAT GAS</v>
          </cell>
          <cell r="D7">
            <v>31400</v>
          </cell>
          <cell r="E7" t="str">
            <v>EPS</v>
          </cell>
          <cell r="F7" t="str">
            <v>LTG</v>
          </cell>
          <cell r="G7" t="str">
            <v>0</v>
          </cell>
          <cell r="H7">
            <v>2</v>
          </cell>
          <cell r="I7">
            <v>6</v>
          </cell>
          <cell r="J7">
            <v>6</v>
          </cell>
          <cell r="K7">
            <v>1.41</v>
          </cell>
        </row>
        <row r="8">
          <cell r="B8" t="str">
            <v>SJI</v>
          </cell>
          <cell r="C8" t="str">
            <v>SO JERSEY INDS</v>
          </cell>
          <cell r="D8">
            <v>31400</v>
          </cell>
          <cell r="E8" t="str">
            <v>EPS</v>
          </cell>
          <cell r="F8" t="str">
            <v>LTG</v>
          </cell>
          <cell r="G8" t="str">
            <v>0</v>
          </cell>
          <cell r="H8">
            <v>4</v>
          </cell>
          <cell r="I8">
            <v>6</v>
          </cell>
          <cell r="J8">
            <v>6</v>
          </cell>
          <cell r="K8">
            <v>0.82</v>
          </cell>
        </row>
        <row r="9">
          <cell r="B9" t="str">
            <v>SWX</v>
          </cell>
          <cell r="C9" t="str">
            <v>SOUTHWEST GAS</v>
          </cell>
          <cell r="D9">
            <v>31400</v>
          </cell>
          <cell r="E9" t="str">
            <v>EPS</v>
          </cell>
          <cell r="F9" t="str">
            <v>LTG</v>
          </cell>
          <cell r="G9" t="str">
            <v>0</v>
          </cell>
          <cell r="H9">
            <v>3</v>
          </cell>
          <cell r="I9">
            <v>10</v>
          </cell>
          <cell r="J9">
            <v>10.67</v>
          </cell>
          <cell r="K9">
            <v>7.02</v>
          </cell>
        </row>
        <row r="10">
          <cell r="B10" t="str">
            <v>WGL</v>
          </cell>
          <cell r="C10" t="str">
            <v>WASH GAS LT</v>
          </cell>
          <cell r="D10">
            <v>31400</v>
          </cell>
          <cell r="E10" t="str">
            <v>EPS</v>
          </cell>
          <cell r="F10" t="str">
            <v>LTG</v>
          </cell>
          <cell r="G10" t="str">
            <v>0</v>
          </cell>
          <cell r="H10">
            <v>4</v>
          </cell>
          <cell r="I10">
            <v>5.5</v>
          </cell>
          <cell r="J10">
            <v>5.5</v>
          </cell>
          <cell r="K10">
            <v>2.08</v>
          </cell>
        </row>
      </sheetData>
    </sheetDataSet>
  </externalBook>
</externalLink>
</file>

<file path=xl/externalLinks/externalLink1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RDS"/>
    </sheetNames>
    <sheetDataSet>
      <sheetData sheetId="0">
        <row r="1">
          <cell r="A1" t="str">
            <v>OFTIC</v>
          </cell>
          <cell r="B1" t="str">
            <v>IBES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USFIRM=0 if from .INT file and USFIRM=1 if from .US file</v>
          </cell>
          <cell r="L1" t="str">
            <v>Forecast Period End Date (SAS Format)</v>
          </cell>
          <cell r="M1" t="str">
            <v>Actual Value, from the Detail Actuals File</v>
          </cell>
          <cell r="N1" t="str">
            <v>Announce date of the Actual, from the Detail Actuals File</v>
          </cell>
        </row>
        <row r="2">
          <cell r="A2" t="str">
            <v>AEE</v>
          </cell>
          <cell r="B2" t="str">
            <v>AEE</v>
          </cell>
          <cell r="C2" t="str">
            <v>AILEEN INC</v>
          </cell>
          <cell r="D2">
            <v>19841220</v>
          </cell>
          <cell r="E2" t="str">
            <v>EPS</v>
          </cell>
          <cell r="F2" t="str">
            <v>ANN</v>
          </cell>
          <cell r="G2">
            <v>1</v>
          </cell>
          <cell r="H2">
            <v>1</v>
          </cell>
          <cell r="I2">
            <v>-0.35</v>
          </cell>
          <cell r="J2">
            <v>-0.35</v>
          </cell>
          <cell r="K2">
            <v>1</v>
          </cell>
          <cell r="L2">
            <v>19841031</v>
          </cell>
          <cell r="M2">
            <v>-0.35</v>
          </cell>
          <cell r="N2">
            <v>19850109</v>
          </cell>
        </row>
        <row r="3">
          <cell r="A3" t="str">
            <v>CIN</v>
          </cell>
          <cell r="B3" t="str">
            <v>CIN</v>
          </cell>
          <cell r="C3" t="str">
            <v>CINN GAS &amp; EL</v>
          </cell>
          <cell r="D3">
            <v>19841220</v>
          </cell>
          <cell r="E3" t="str">
            <v>EPS</v>
          </cell>
          <cell r="F3" t="str">
            <v>ANN</v>
          </cell>
          <cell r="G3">
            <v>1</v>
          </cell>
          <cell r="H3">
            <v>14</v>
          </cell>
          <cell r="I3">
            <v>1.58</v>
          </cell>
          <cell r="J3">
            <v>1.58</v>
          </cell>
          <cell r="K3">
            <v>1</v>
          </cell>
          <cell r="L3">
            <v>19841231</v>
          </cell>
          <cell r="M3">
            <v>1.6333</v>
          </cell>
          <cell r="N3">
            <v>19850125</v>
          </cell>
        </row>
        <row r="4">
          <cell r="A4" t="str">
            <v>CMS</v>
          </cell>
          <cell r="B4" t="str">
            <v>CMS</v>
          </cell>
          <cell r="C4" t="str">
            <v>CONSUMERS PWR</v>
          </cell>
          <cell r="D4">
            <v>19841220</v>
          </cell>
          <cell r="E4" t="str">
            <v>EPS</v>
          </cell>
          <cell r="F4" t="str">
            <v>ANN</v>
          </cell>
          <cell r="G4">
            <v>1</v>
          </cell>
          <cell r="H4">
            <v>13</v>
          </cell>
          <cell r="I4">
            <v>2.1</v>
          </cell>
          <cell r="J4">
            <v>2.11</v>
          </cell>
          <cell r="K4">
            <v>1</v>
          </cell>
          <cell r="L4">
            <v>19841231</v>
          </cell>
          <cell r="M4">
            <v>1.66</v>
          </cell>
          <cell r="N4">
            <v>19850125</v>
          </cell>
        </row>
        <row r="5">
          <cell r="A5" t="str">
            <v>CNL</v>
          </cell>
          <cell r="B5" t="str">
            <v>CNL</v>
          </cell>
          <cell r="C5" t="str">
            <v>CENT LA ELEC INC</v>
          </cell>
          <cell r="D5">
            <v>19841220</v>
          </cell>
          <cell r="E5" t="str">
            <v>EPS</v>
          </cell>
          <cell r="F5" t="str">
            <v>ANN</v>
          </cell>
          <cell r="G5">
            <v>1</v>
          </cell>
          <cell r="H5">
            <v>5</v>
          </cell>
          <cell r="I5">
            <v>0.86</v>
          </cell>
          <cell r="J5">
            <v>0.86</v>
          </cell>
          <cell r="K5">
            <v>1</v>
          </cell>
          <cell r="L5">
            <v>19841231</v>
          </cell>
          <cell r="M5">
            <v>0.90500000000000003</v>
          </cell>
        </row>
        <row r="6">
          <cell r="A6" t="str">
            <v>CNP</v>
          </cell>
          <cell r="B6" t="str">
            <v>CNP</v>
          </cell>
          <cell r="C6" t="str">
            <v>CROWN CENT PETE</v>
          </cell>
          <cell r="D6">
            <v>19841220</v>
          </cell>
          <cell r="E6" t="str">
            <v>EPS</v>
          </cell>
          <cell r="F6" t="str">
            <v>ANN</v>
          </cell>
          <cell r="G6">
            <v>1</v>
          </cell>
          <cell r="H6">
            <v>3</v>
          </cell>
          <cell r="I6">
            <v>0.5</v>
          </cell>
          <cell r="J6">
            <v>-0.3</v>
          </cell>
          <cell r="K6">
            <v>1</v>
          </cell>
          <cell r="L6">
            <v>19841231</v>
          </cell>
          <cell r="M6">
            <v>-0.12</v>
          </cell>
        </row>
        <row r="7">
          <cell r="A7" t="str">
            <v>CV</v>
          </cell>
          <cell r="B7" t="str">
            <v>CV</v>
          </cell>
          <cell r="C7" t="str">
            <v>CNTRL VT PUB SVC</v>
          </cell>
          <cell r="D7">
            <v>19841220</v>
          </cell>
          <cell r="E7" t="str">
            <v>EPS</v>
          </cell>
          <cell r="F7" t="str">
            <v>ANN</v>
          </cell>
          <cell r="G7">
            <v>1</v>
          </cell>
          <cell r="H7">
            <v>1</v>
          </cell>
          <cell r="I7">
            <v>2.0699999999999998</v>
          </cell>
          <cell r="J7">
            <v>2.0699999999999998</v>
          </cell>
          <cell r="K7">
            <v>1</v>
          </cell>
          <cell r="L7">
            <v>19841231</v>
          </cell>
          <cell r="M7">
            <v>2.1267</v>
          </cell>
          <cell r="N7">
            <v>19850215</v>
          </cell>
        </row>
        <row r="8">
          <cell r="A8" t="str">
            <v>D</v>
          </cell>
          <cell r="B8" t="str">
            <v>D</v>
          </cell>
          <cell r="C8" t="str">
            <v>DOMINION RES INC</v>
          </cell>
          <cell r="D8">
            <v>19841220</v>
          </cell>
          <cell r="E8" t="str">
            <v>EPS</v>
          </cell>
          <cell r="F8" t="str">
            <v>ANN</v>
          </cell>
          <cell r="G8">
            <v>1</v>
          </cell>
          <cell r="H8">
            <v>23</v>
          </cell>
          <cell r="I8">
            <v>1.1599999999999999</v>
          </cell>
          <cell r="J8">
            <v>1.1599999999999999</v>
          </cell>
          <cell r="K8">
            <v>1</v>
          </cell>
          <cell r="L8">
            <v>19841231</v>
          </cell>
          <cell r="M8">
            <v>1.1533</v>
          </cell>
          <cell r="N8">
            <v>19850128</v>
          </cell>
        </row>
        <row r="9">
          <cell r="A9" t="str">
            <v>DPL</v>
          </cell>
          <cell r="B9" t="str">
            <v>DPL</v>
          </cell>
          <cell r="C9" t="str">
            <v>DAYTON P &amp; L</v>
          </cell>
          <cell r="D9">
            <v>19841220</v>
          </cell>
          <cell r="E9" t="str">
            <v>EPS</v>
          </cell>
          <cell r="F9" t="str">
            <v>ANN</v>
          </cell>
          <cell r="G9">
            <v>1</v>
          </cell>
          <cell r="H9">
            <v>12</v>
          </cell>
          <cell r="I9">
            <v>0.64</v>
          </cell>
          <cell r="J9">
            <v>0.63</v>
          </cell>
          <cell r="K9">
            <v>1</v>
          </cell>
          <cell r="L9">
            <v>19841231</v>
          </cell>
          <cell r="M9">
            <v>0.65190000000000003</v>
          </cell>
          <cell r="N9">
            <v>19850125</v>
          </cell>
        </row>
        <row r="10">
          <cell r="A10" t="str">
            <v>DTE</v>
          </cell>
          <cell r="B10" t="str">
            <v>DTE</v>
          </cell>
          <cell r="C10" t="str">
            <v>DETROIT EDISON</v>
          </cell>
          <cell r="D10">
            <v>19841220</v>
          </cell>
          <cell r="E10" t="str">
            <v>EPS</v>
          </cell>
          <cell r="F10" t="str">
            <v>ANN</v>
          </cell>
          <cell r="G10">
            <v>1</v>
          </cell>
          <cell r="H10">
            <v>16</v>
          </cell>
          <cell r="I10">
            <v>2.16</v>
          </cell>
          <cell r="J10">
            <v>2.1800000000000002</v>
          </cell>
          <cell r="K10">
            <v>1</v>
          </cell>
          <cell r="L10">
            <v>19841231</v>
          </cell>
          <cell r="M10">
            <v>2.2000000000000002</v>
          </cell>
          <cell r="N10">
            <v>19850129</v>
          </cell>
        </row>
        <row r="11">
          <cell r="A11" t="str">
            <v>DUK</v>
          </cell>
          <cell r="B11" t="str">
            <v>DUK</v>
          </cell>
          <cell r="C11" t="str">
            <v>DUKE POWER CO</v>
          </cell>
          <cell r="D11">
            <v>19841220</v>
          </cell>
          <cell r="E11" t="str">
            <v>EPS</v>
          </cell>
          <cell r="F11" t="str">
            <v>ANN</v>
          </cell>
          <cell r="G11">
            <v>1</v>
          </cell>
          <cell r="H11">
            <v>22</v>
          </cell>
          <cell r="I11">
            <v>2.93</v>
          </cell>
          <cell r="J11">
            <v>2.92</v>
          </cell>
          <cell r="K11">
            <v>1</v>
          </cell>
          <cell r="L11">
            <v>19841231</v>
          </cell>
          <cell r="M11">
            <v>2.9849999999999999</v>
          </cell>
          <cell r="N11">
            <v>19850123</v>
          </cell>
        </row>
        <row r="12">
          <cell r="A12" t="str">
            <v>ED</v>
          </cell>
          <cell r="B12" t="str">
            <v>ED</v>
          </cell>
          <cell r="C12" t="str">
            <v>CONSOL EDISON</v>
          </cell>
          <cell r="D12">
            <v>19841220</v>
          </cell>
          <cell r="E12" t="str">
            <v>EPS</v>
          </cell>
          <cell r="F12" t="str">
            <v>ANN</v>
          </cell>
          <cell r="G12">
            <v>1</v>
          </cell>
          <cell r="H12">
            <v>19</v>
          </cell>
          <cell r="I12">
            <v>2.13</v>
          </cell>
          <cell r="J12">
            <v>2.12</v>
          </cell>
          <cell r="K12">
            <v>1</v>
          </cell>
          <cell r="L12">
            <v>19841231</v>
          </cell>
          <cell r="M12">
            <v>2.2400000000000002</v>
          </cell>
          <cell r="N12">
            <v>19850123</v>
          </cell>
        </row>
        <row r="13">
          <cell r="A13" t="str">
            <v>EDE</v>
          </cell>
          <cell r="B13" t="str">
            <v>EDE</v>
          </cell>
          <cell r="C13" t="str">
            <v>EMPIRE DIST ELEC</v>
          </cell>
          <cell r="D13">
            <v>19841220</v>
          </cell>
          <cell r="E13" t="str">
            <v>EPS</v>
          </cell>
          <cell r="F13" t="str">
            <v>ANN</v>
          </cell>
          <cell r="G13">
            <v>1</v>
          </cell>
          <cell r="H13">
            <v>1</v>
          </cell>
          <cell r="I13">
            <v>1.35</v>
          </cell>
          <cell r="J13">
            <v>1.35</v>
          </cell>
          <cell r="K13">
            <v>1</v>
          </cell>
          <cell r="L13">
            <v>19841231</v>
          </cell>
          <cell r="M13">
            <v>1.48</v>
          </cell>
          <cell r="N13">
            <v>19850128</v>
          </cell>
        </row>
        <row r="14">
          <cell r="A14" t="str">
            <v>FE</v>
          </cell>
          <cell r="B14" t="str">
            <v>FE</v>
          </cell>
          <cell r="C14" t="str">
            <v>FRIES ENTMT INC</v>
          </cell>
          <cell r="D14">
            <v>19841220</v>
          </cell>
          <cell r="E14" t="str">
            <v>EPS</v>
          </cell>
          <cell r="F14" t="str">
            <v>ANN</v>
          </cell>
          <cell r="G14">
            <v>1</v>
          </cell>
          <cell r="H14">
            <v>1</v>
          </cell>
          <cell r="I14">
            <v>0.85</v>
          </cell>
          <cell r="J14">
            <v>0.85</v>
          </cell>
          <cell r="K14">
            <v>1</v>
          </cell>
          <cell r="L14">
            <v>19850531</v>
          </cell>
          <cell r="M14">
            <v>0.36</v>
          </cell>
        </row>
        <row r="15">
          <cell r="A15" t="str">
            <v>FPL</v>
          </cell>
          <cell r="B15" t="str">
            <v>FPL</v>
          </cell>
          <cell r="C15" t="str">
            <v>FLA PWR &amp; LT</v>
          </cell>
          <cell r="D15">
            <v>19841220</v>
          </cell>
          <cell r="E15" t="str">
            <v>EPS</v>
          </cell>
          <cell r="F15" t="str">
            <v>ANN</v>
          </cell>
          <cell r="G15">
            <v>1</v>
          </cell>
          <cell r="H15">
            <v>24</v>
          </cell>
          <cell r="I15">
            <v>0.32</v>
          </cell>
          <cell r="J15">
            <v>0.32</v>
          </cell>
          <cell r="K15">
            <v>1</v>
          </cell>
          <cell r="L15">
            <v>19841231</v>
          </cell>
          <cell r="M15">
            <v>0.32750000000000001</v>
          </cell>
          <cell r="N15">
            <v>19850128</v>
          </cell>
        </row>
        <row r="16">
          <cell r="A16" t="str">
            <v>HE</v>
          </cell>
          <cell r="B16" t="str">
            <v>HE</v>
          </cell>
          <cell r="C16" t="str">
            <v>HAWAIIAN ELEC</v>
          </cell>
          <cell r="D16">
            <v>19841220</v>
          </cell>
          <cell r="E16" t="str">
            <v>EPS</v>
          </cell>
          <cell r="F16" t="str">
            <v>ANN</v>
          </cell>
          <cell r="G16">
            <v>1</v>
          </cell>
          <cell r="H16">
            <v>13</v>
          </cell>
          <cell r="I16">
            <v>1.21</v>
          </cell>
          <cell r="J16">
            <v>1.19</v>
          </cell>
          <cell r="K16">
            <v>1</v>
          </cell>
          <cell r="L16">
            <v>19841231</v>
          </cell>
          <cell r="M16">
            <v>1.2749999999999999</v>
          </cell>
          <cell r="N16">
            <v>19850215</v>
          </cell>
        </row>
        <row r="17">
          <cell r="A17" t="str">
            <v>IDA</v>
          </cell>
          <cell r="B17" t="str">
            <v>IDA</v>
          </cell>
          <cell r="C17" t="str">
            <v>IDAHO POWER CO</v>
          </cell>
          <cell r="D17">
            <v>19841220</v>
          </cell>
          <cell r="E17" t="str">
            <v>EPS</v>
          </cell>
          <cell r="F17" t="str">
            <v>ANN</v>
          </cell>
          <cell r="G17">
            <v>1</v>
          </cell>
          <cell r="H17">
            <v>14</v>
          </cell>
          <cell r="I17">
            <v>2.52</v>
          </cell>
          <cell r="J17">
            <v>2.54</v>
          </cell>
          <cell r="K17">
            <v>1</v>
          </cell>
          <cell r="L17">
            <v>19841231</v>
          </cell>
          <cell r="M17">
            <v>2.62</v>
          </cell>
          <cell r="N17">
            <v>19850128</v>
          </cell>
        </row>
        <row r="18">
          <cell r="A18" t="str">
            <v>NU</v>
          </cell>
          <cell r="B18" t="str">
            <v>NU</v>
          </cell>
          <cell r="C18" t="str">
            <v>NORTHEAST UTILS</v>
          </cell>
          <cell r="D18">
            <v>19841220</v>
          </cell>
          <cell r="E18" t="str">
            <v>EPS</v>
          </cell>
          <cell r="F18" t="str">
            <v>ANN</v>
          </cell>
          <cell r="G18">
            <v>1</v>
          </cell>
          <cell r="H18">
            <v>18</v>
          </cell>
          <cell r="I18">
            <v>2.6</v>
          </cell>
          <cell r="J18">
            <v>2.62</v>
          </cell>
          <cell r="K18">
            <v>1</v>
          </cell>
          <cell r="L18">
            <v>19841231</v>
          </cell>
          <cell r="M18">
            <v>2.85</v>
          </cell>
          <cell r="N18">
            <v>19850123</v>
          </cell>
        </row>
        <row r="19">
          <cell r="A19" t="str">
            <v>OGE</v>
          </cell>
          <cell r="B19" t="str">
            <v>OGE</v>
          </cell>
          <cell r="C19" t="str">
            <v>OKLAHOMA G&amp;E</v>
          </cell>
          <cell r="D19">
            <v>19841220</v>
          </cell>
          <cell r="E19" t="str">
            <v>EPS</v>
          </cell>
          <cell r="F19" t="str">
            <v>ANN</v>
          </cell>
          <cell r="G19">
            <v>1</v>
          </cell>
          <cell r="H19">
            <v>22</v>
          </cell>
          <cell r="I19">
            <v>0.66</v>
          </cell>
          <cell r="J19">
            <v>0.66</v>
          </cell>
          <cell r="K19">
            <v>1</v>
          </cell>
          <cell r="L19">
            <v>19841231</v>
          </cell>
          <cell r="M19">
            <v>0.61750000000000005</v>
          </cell>
          <cell r="N19">
            <v>19850211</v>
          </cell>
        </row>
        <row r="20">
          <cell r="A20" t="str">
            <v>OTTR</v>
          </cell>
          <cell r="B20" t="str">
            <v>OTTR</v>
          </cell>
          <cell r="C20" t="str">
            <v>OTTER TAIL PWR</v>
          </cell>
          <cell r="D20">
            <v>19841220</v>
          </cell>
          <cell r="E20" t="str">
            <v>EPS</v>
          </cell>
          <cell r="F20" t="str">
            <v>ANN</v>
          </cell>
          <cell r="G20">
            <v>1</v>
          </cell>
          <cell r="H20">
            <v>3</v>
          </cell>
          <cell r="I20">
            <v>0.9</v>
          </cell>
          <cell r="J20">
            <v>0.91</v>
          </cell>
          <cell r="K20">
            <v>1</v>
          </cell>
          <cell r="L20">
            <v>19841231</v>
          </cell>
          <cell r="M20">
            <v>0.875</v>
          </cell>
        </row>
        <row r="21">
          <cell r="A21" t="str">
            <v>PCG</v>
          </cell>
          <cell r="B21" t="str">
            <v>PCG</v>
          </cell>
          <cell r="C21" t="str">
            <v>PACIFIC G&amp;E</v>
          </cell>
          <cell r="D21">
            <v>19841220</v>
          </cell>
          <cell r="E21" t="str">
            <v>EPS</v>
          </cell>
          <cell r="F21" t="str">
            <v>ANN</v>
          </cell>
          <cell r="G21">
            <v>1</v>
          </cell>
          <cell r="H21">
            <v>21</v>
          </cell>
          <cell r="I21">
            <v>2.5</v>
          </cell>
          <cell r="J21">
            <v>2.5299999999999998</v>
          </cell>
          <cell r="K21">
            <v>1</v>
          </cell>
          <cell r="L21">
            <v>19841231</v>
          </cell>
        </row>
        <row r="22">
          <cell r="A22" t="str">
            <v>PEG</v>
          </cell>
          <cell r="B22" t="str">
            <v>PEG</v>
          </cell>
          <cell r="C22" t="str">
            <v>PUB SVC E&amp;G</v>
          </cell>
          <cell r="D22">
            <v>19841220</v>
          </cell>
          <cell r="E22" t="str">
            <v>EPS</v>
          </cell>
          <cell r="F22" t="str">
            <v>ANN</v>
          </cell>
          <cell r="G22">
            <v>1</v>
          </cell>
          <cell r="H22">
            <v>21</v>
          </cell>
          <cell r="I22">
            <v>1.32</v>
          </cell>
          <cell r="J22">
            <v>1.29</v>
          </cell>
          <cell r="K22">
            <v>1</v>
          </cell>
          <cell r="L22">
            <v>19841231</v>
          </cell>
          <cell r="M22">
            <v>1.3167</v>
          </cell>
          <cell r="N22">
            <v>19850115</v>
          </cell>
        </row>
        <row r="23">
          <cell r="A23" t="str">
            <v>PGN</v>
          </cell>
          <cell r="B23" t="str">
            <v>PGN</v>
          </cell>
          <cell r="C23" t="str">
            <v>PORTLD GEN ELEC</v>
          </cell>
          <cell r="D23">
            <v>19841220</v>
          </cell>
          <cell r="E23" t="str">
            <v>EPS</v>
          </cell>
          <cell r="F23" t="str">
            <v>ANN</v>
          </cell>
          <cell r="G23">
            <v>1</v>
          </cell>
          <cell r="H23">
            <v>10</v>
          </cell>
          <cell r="I23">
            <v>2.83</v>
          </cell>
          <cell r="J23">
            <v>2.87</v>
          </cell>
          <cell r="K23">
            <v>1</v>
          </cell>
          <cell r="L23">
            <v>19841231</v>
          </cell>
          <cell r="M23">
            <v>2.8</v>
          </cell>
          <cell r="N23">
            <v>19850201</v>
          </cell>
        </row>
        <row r="24">
          <cell r="A24" t="str">
            <v>PNM</v>
          </cell>
          <cell r="B24" t="str">
            <v>PNM</v>
          </cell>
          <cell r="C24" t="str">
            <v>PUB SVC N MEX</v>
          </cell>
          <cell r="D24">
            <v>19841220</v>
          </cell>
          <cell r="E24" t="str">
            <v>EPS</v>
          </cell>
          <cell r="F24" t="str">
            <v>ANN</v>
          </cell>
          <cell r="G24">
            <v>1</v>
          </cell>
          <cell r="H24">
            <v>13</v>
          </cell>
          <cell r="I24">
            <v>2</v>
          </cell>
          <cell r="J24">
            <v>1.96</v>
          </cell>
          <cell r="K24">
            <v>1</v>
          </cell>
          <cell r="L24">
            <v>19841231</v>
          </cell>
          <cell r="M24">
            <v>2.0733000000000001</v>
          </cell>
          <cell r="N24">
            <v>19850207</v>
          </cell>
        </row>
        <row r="25">
          <cell r="A25" t="str">
            <v>POM</v>
          </cell>
          <cell r="B25" t="str">
            <v>POM</v>
          </cell>
          <cell r="C25" t="str">
            <v>POTOMAC ELEC</v>
          </cell>
          <cell r="D25">
            <v>19841220</v>
          </cell>
          <cell r="E25" t="str">
            <v>EPS</v>
          </cell>
          <cell r="F25" t="str">
            <v>ANN</v>
          </cell>
          <cell r="G25">
            <v>1</v>
          </cell>
          <cell r="H25">
            <v>20</v>
          </cell>
          <cell r="I25">
            <v>1.52</v>
          </cell>
          <cell r="J25">
            <v>1.52</v>
          </cell>
          <cell r="K25">
            <v>1</v>
          </cell>
          <cell r="L25">
            <v>19841231</v>
          </cell>
          <cell r="M25">
            <v>1.615</v>
          </cell>
          <cell r="N25">
            <v>19850118</v>
          </cell>
        </row>
        <row r="26">
          <cell r="A26" t="str">
            <v>POR</v>
          </cell>
          <cell r="B26" t="str">
            <v>POR</v>
          </cell>
          <cell r="C26" t="str">
            <v>PORTEC INC</v>
          </cell>
          <cell r="D26">
            <v>19841220</v>
          </cell>
          <cell r="E26" t="str">
            <v>EPS</v>
          </cell>
          <cell r="F26" t="str">
            <v>ANN</v>
          </cell>
          <cell r="G26">
            <v>1</v>
          </cell>
          <cell r="H26">
            <v>2</v>
          </cell>
          <cell r="I26">
            <v>-0.08</v>
          </cell>
          <cell r="J26">
            <v>-0.08</v>
          </cell>
          <cell r="K26">
            <v>1</v>
          </cell>
          <cell r="L26">
            <v>19841231</v>
          </cell>
          <cell r="M26">
            <v>0.2029</v>
          </cell>
          <cell r="N26">
            <v>19850130</v>
          </cell>
        </row>
        <row r="27">
          <cell r="A27" t="str">
            <v>PPL</v>
          </cell>
          <cell r="B27" t="str">
            <v>PPL</v>
          </cell>
          <cell r="C27" t="str">
            <v>PENNA P&amp;L</v>
          </cell>
          <cell r="D27">
            <v>19841220</v>
          </cell>
          <cell r="E27" t="str">
            <v>EPS</v>
          </cell>
          <cell r="F27" t="str">
            <v>ANN</v>
          </cell>
          <cell r="G27">
            <v>1</v>
          </cell>
          <cell r="H27">
            <v>16</v>
          </cell>
          <cell r="I27">
            <v>0.81</v>
          </cell>
          <cell r="J27">
            <v>0.81</v>
          </cell>
          <cell r="K27">
            <v>1</v>
          </cell>
          <cell r="L27">
            <v>19841231</v>
          </cell>
          <cell r="M27">
            <v>0.78</v>
          </cell>
          <cell r="N27">
            <v>19850124</v>
          </cell>
        </row>
        <row r="28">
          <cell r="A28" t="str">
            <v>PSD</v>
          </cell>
          <cell r="B28" t="str">
            <v>PSD</v>
          </cell>
          <cell r="C28" t="str">
            <v>PUGET SOUND P&amp;L</v>
          </cell>
          <cell r="D28">
            <v>19841220</v>
          </cell>
          <cell r="E28" t="str">
            <v>EPS</v>
          </cell>
          <cell r="F28" t="str">
            <v>ANN</v>
          </cell>
          <cell r="G28">
            <v>1</v>
          </cell>
          <cell r="H28">
            <v>8</v>
          </cell>
          <cell r="I28">
            <v>1.6</v>
          </cell>
          <cell r="J28">
            <v>1.67</v>
          </cell>
          <cell r="K28">
            <v>1</v>
          </cell>
          <cell r="L28">
            <v>19841231</v>
          </cell>
          <cell r="M28">
            <v>1.52</v>
          </cell>
          <cell r="N28">
            <v>19850214</v>
          </cell>
        </row>
        <row r="29">
          <cell r="A29" t="str">
            <v>SCG</v>
          </cell>
          <cell r="B29" t="str">
            <v>SCG</v>
          </cell>
          <cell r="C29" t="str">
            <v>SO CAROLINA EG</v>
          </cell>
          <cell r="D29">
            <v>19841220</v>
          </cell>
          <cell r="E29" t="str">
            <v>EPS</v>
          </cell>
          <cell r="F29" t="str">
            <v>ANN</v>
          </cell>
          <cell r="G29">
            <v>1</v>
          </cell>
          <cell r="H29">
            <v>14</v>
          </cell>
          <cell r="I29">
            <v>1.4</v>
          </cell>
          <cell r="J29">
            <v>1.4</v>
          </cell>
          <cell r="K29">
            <v>1</v>
          </cell>
          <cell r="L29">
            <v>19841231</v>
          </cell>
          <cell r="M29">
            <v>1.5</v>
          </cell>
          <cell r="N29">
            <v>19850124</v>
          </cell>
        </row>
        <row r="30">
          <cell r="A30" t="str">
            <v>SO</v>
          </cell>
          <cell r="B30" t="str">
            <v>SO</v>
          </cell>
          <cell r="C30" t="str">
            <v>SOUTHN CO</v>
          </cell>
          <cell r="D30">
            <v>19841220</v>
          </cell>
          <cell r="E30" t="str">
            <v>EPS</v>
          </cell>
          <cell r="F30" t="str">
            <v>ANN</v>
          </cell>
          <cell r="G30">
            <v>1</v>
          </cell>
          <cell r="H30">
            <v>20</v>
          </cell>
          <cell r="I30">
            <v>1.48</v>
          </cell>
          <cell r="J30">
            <v>1.46</v>
          </cell>
          <cell r="K30">
            <v>1</v>
          </cell>
          <cell r="L30">
            <v>19841231</v>
          </cell>
          <cell r="M30">
            <v>1.5</v>
          </cell>
          <cell r="N30">
            <v>19850208</v>
          </cell>
        </row>
        <row r="31">
          <cell r="A31" t="str">
            <v>TE</v>
          </cell>
          <cell r="B31" t="str">
            <v>TE</v>
          </cell>
          <cell r="C31" t="str">
            <v>TECO ENERGY INC</v>
          </cell>
          <cell r="D31">
            <v>19841220</v>
          </cell>
          <cell r="E31" t="str">
            <v>EPS</v>
          </cell>
          <cell r="F31" t="str">
            <v>ANN</v>
          </cell>
          <cell r="G31">
            <v>1</v>
          </cell>
          <cell r="H31">
            <v>20</v>
          </cell>
          <cell r="I31">
            <v>0.89</v>
          </cell>
          <cell r="J31">
            <v>0.88</v>
          </cell>
          <cell r="K31">
            <v>1</v>
          </cell>
          <cell r="L31">
            <v>19841231</v>
          </cell>
          <cell r="M31">
            <v>0.93</v>
          </cell>
          <cell r="N31">
            <v>19850215</v>
          </cell>
        </row>
        <row r="32">
          <cell r="A32" t="str">
            <v>UIL</v>
          </cell>
          <cell r="B32" t="str">
            <v>UIL</v>
          </cell>
          <cell r="C32" t="str">
            <v>UTD ILLUM CO</v>
          </cell>
          <cell r="D32">
            <v>19841220</v>
          </cell>
          <cell r="E32" t="str">
            <v>EPS</v>
          </cell>
          <cell r="F32" t="str">
            <v>ANN</v>
          </cell>
          <cell r="G32">
            <v>1</v>
          </cell>
          <cell r="H32">
            <v>1</v>
          </cell>
          <cell r="I32">
            <v>2.85</v>
          </cell>
          <cell r="J32">
            <v>2.85</v>
          </cell>
          <cell r="K32">
            <v>1</v>
          </cell>
          <cell r="L32">
            <v>19841231</v>
          </cell>
          <cell r="M32">
            <v>3.24</v>
          </cell>
          <cell r="N32">
            <v>19850201</v>
          </cell>
        </row>
        <row r="33">
          <cell r="A33" t="str">
            <v>WPS</v>
          </cell>
          <cell r="B33" t="str">
            <v>WPS</v>
          </cell>
          <cell r="C33" t="str">
            <v>WISC PUB SVC</v>
          </cell>
          <cell r="D33">
            <v>19841220</v>
          </cell>
          <cell r="E33" t="str">
            <v>EPS</v>
          </cell>
          <cell r="F33" t="str">
            <v>ANN</v>
          </cell>
          <cell r="G33">
            <v>1</v>
          </cell>
          <cell r="H33">
            <v>15</v>
          </cell>
          <cell r="I33">
            <v>2.13</v>
          </cell>
          <cell r="J33">
            <v>2.12</v>
          </cell>
          <cell r="K33">
            <v>1</v>
          </cell>
          <cell r="L33">
            <v>19841231</v>
          </cell>
          <cell r="M33">
            <v>2.1349999999999998</v>
          </cell>
          <cell r="N33">
            <v>19850225</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0y55iec9n1hizi"/>
    </sheetNames>
    <sheetDataSet>
      <sheetData sheetId="0">
        <row r="1">
          <cell r="B1" t="str">
            <v>Official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Forecast Period End Date (SAS Format)</v>
          </cell>
          <cell r="M1" t="str">
            <v>Actual Value, from the Detail Actuals File</v>
          </cell>
          <cell r="N1" t="str">
            <v>Announce date of the Actual, from the Detail Actuals File</v>
          </cell>
        </row>
        <row r="2">
          <cell r="B2" t="str">
            <v>GAS</v>
          </cell>
          <cell r="C2" t="str">
            <v>AGL RESOURCES</v>
          </cell>
          <cell r="D2">
            <v>42355</v>
          </cell>
          <cell r="E2" t="str">
            <v>EPS</v>
          </cell>
          <cell r="F2" t="str">
            <v>LTG</v>
          </cell>
          <cell r="G2" t="str">
            <v>0</v>
          </cell>
          <cell r="H2">
            <v>1</v>
          </cell>
          <cell r="I2">
            <v>-10.6</v>
          </cell>
          <cell r="J2">
            <v>-10.6</v>
          </cell>
        </row>
        <row r="3">
          <cell r="B3" t="str">
            <v>ATO</v>
          </cell>
          <cell r="C3" t="str">
            <v>ATMOS ENERGY CP</v>
          </cell>
          <cell r="D3">
            <v>42355</v>
          </cell>
          <cell r="E3" t="str">
            <v>EPS</v>
          </cell>
          <cell r="F3" t="str">
            <v>LTG</v>
          </cell>
          <cell r="G3" t="str">
            <v>0</v>
          </cell>
          <cell r="H3">
            <v>1</v>
          </cell>
          <cell r="I3">
            <v>7</v>
          </cell>
          <cell r="J3">
            <v>7</v>
          </cell>
        </row>
        <row r="4">
          <cell r="B4" t="str">
            <v>LG</v>
          </cell>
          <cell r="C4" t="str">
            <v>LACLEDE GROUP</v>
          </cell>
          <cell r="D4">
            <v>42355</v>
          </cell>
          <cell r="E4" t="str">
            <v>EPS</v>
          </cell>
          <cell r="F4" t="str">
            <v>LTG</v>
          </cell>
          <cell r="G4" t="str">
            <v>0</v>
          </cell>
          <cell r="H4">
            <v>4</v>
          </cell>
          <cell r="I4">
            <v>4.59</v>
          </cell>
          <cell r="J4">
            <v>4.5</v>
          </cell>
          <cell r="K4">
            <v>0.96</v>
          </cell>
        </row>
        <row r="5">
          <cell r="B5" t="str">
            <v>NI</v>
          </cell>
          <cell r="C5" t="str">
            <v>NISOURCE</v>
          </cell>
          <cell r="D5">
            <v>42355</v>
          </cell>
          <cell r="E5" t="str">
            <v>EPS</v>
          </cell>
          <cell r="F5" t="str">
            <v>LTG</v>
          </cell>
          <cell r="G5" t="str">
            <v>0</v>
          </cell>
          <cell r="H5">
            <v>2</v>
          </cell>
          <cell r="I5">
            <v>-5.91</v>
          </cell>
          <cell r="J5">
            <v>-5.91</v>
          </cell>
          <cell r="K5">
            <v>9.89</v>
          </cell>
        </row>
        <row r="6">
          <cell r="B6" t="str">
            <v>NJR</v>
          </cell>
          <cell r="C6" t="str">
            <v>NEW JERSEY RES</v>
          </cell>
          <cell r="D6">
            <v>42355</v>
          </cell>
          <cell r="E6" t="str">
            <v>EPS</v>
          </cell>
          <cell r="F6" t="str">
            <v>LTG</v>
          </cell>
          <cell r="G6" t="str">
            <v>0</v>
          </cell>
          <cell r="H6">
            <v>1</v>
          </cell>
          <cell r="I6">
            <v>6</v>
          </cell>
          <cell r="J6">
            <v>6</v>
          </cell>
        </row>
        <row r="7">
          <cell r="B7" t="str">
            <v>NWN</v>
          </cell>
          <cell r="C7" t="str">
            <v>NW NATURAL GAS</v>
          </cell>
          <cell r="D7">
            <v>42355</v>
          </cell>
          <cell r="E7" t="str">
            <v>EPS</v>
          </cell>
          <cell r="F7" t="str">
            <v>LTG</v>
          </cell>
          <cell r="G7" t="str">
            <v>0</v>
          </cell>
          <cell r="H7">
            <v>1</v>
          </cell>
          <cell r="I7">
            <v>4</v>
          </cell>
          <cell r="J7">
            <v>4</v>
          </cell>
        </row>
        <row r="8">
          <cell r="B8" t="str">
            <v>OGS</v>
          </cell>
          <cell r="C8" t="str">
            <v>ONE GAS INC</v>
          </cell>
          <cell r="D8">
            <v>42355</v>
          </cell>
          <cell r="E8" t="str">
            <v>EPS</v>
          </cell>
          <cell r="F8" t="str">
            <v>LTG</v>
          </cell>
          <cell r="G8" t="str">
            <v>0</v>
          </cell>
          <cell r="H8">
            <v>1</v>
          </cell>
          <cell r="I8">
            <v>5</v>
          </cell>
          <cell r="J8">
            <v>5</v>
          </cell>
        </row>
        <row r="9">
          <cell r="B9" t="str">
            <v>PNY</v>
          </cell>
          <cell r="C9" t="str">
            <v>PIEDMONT NAT GAS</v>
          </cell>
          <cell r="D9">
            <v>42355</v>
          </cell>
          <cell r="E9" t="str">
            <v>EPS</v>
          </cell>
          <cell r="F9" t="str">
            <v>LTG</v>
          </cell>
          <cell r="G9" t="str">
            <v>0</v>
          </cell>
          <cell r="H9">
            <v>2</v>
          </cell>
          <cell r="I9">
            <v>5</v>
          </cell>
          <cell r="J9">
            <v>5</v>
          </cell>
          <cell r="K9">
            <v>1.41</v>
          </cell>
        </row>
        <row r="10">
          <cell r="B10" t="str">
            <v>SWX</v>
          </cell>
          <cell r="C10" t="str">
            <v>SOUTHWEST GAS</v>
          </cell>
          <cell r="D10">
            <v>42355</v>
          </cell>
          <cell r="E10" t="str">
            <v>EPS</v>
          </cell>
          <cell r="F10" t="str">
            <v>LTG</v>
          </cell>
          <cell r="G10" t="str">
            <v>0</v>
          </cell>
          <cell r="H10">
            <v>1</v>
          </cell>
          <cell r="I10">
            <v>4</v>
          </cell>
          <cell r="J10">
            <v>4</v>
          </cell>
        </row>
        <row r="11">
          <cell r="B11" t="str">
            <v>WGL</v>
          </cell>
          <cell r="C11" t="str">
            <v>WGL HOLDING INC</v>
          </cell>
          <cell r="D11">
            <v>42355</v>
          </cell>
          <cell r="E11" t="str">
            <v>EPS</v>
          </cell>
          <cell r="F11" t="str">
            <v>LTG</v>
          </cell>
          <cell r="G11" t="str">
            <v>0</v>
          </cell>
          <cell r="H11">
            <v>1</v>
          </cell>
          <cell r="I11">
            <v>7</v>
          </cell>
          <cell r="J11">
            <v>7</v>
          </cell>
        </row>
        <row r="12">
          <cell r="B12" t="str">
            <v>SJI</v>
          </cell>
          <cell r="C12" t="str">
            <v>SO JERSEY INDS</v>
          </cell>
          <cell r="D12">
            <v>42355</v>
          </cell>
          <cell r="E12" t="str">
            <v>EPS</v>
          </cell>
          <cell r="F12" t="str">
            <v>LTG</v>
          </cell>
          <cell r="G12" t="str">
            <v>0</v>
          </cell>
          <cell r="H12">
            <v>1</v>
          </cell>
          <cell r="I12">
            <v>7</v>
          </cell>
          <cell r="J12">
            <v>7</v>
          </cell>
        </row>
        <row r="13">
          <cell r="B13" t="str">
            <v>CPK</v>
          </cell>
          <cell r="C13" t="str">
            <v>CHESAPEAKE UTIL</v>
          </cell>
          <cell r="D13">
            <v>41137</v>
          </cell>
          <cell r="E13" t="str">
            <v>EPS</v>
          </cell>
          <cell r="F13" t="str">
            <v>LTG</v>
          </cell>
          <cell r="G13" t="str">
            <v>0</v>
          </cell>
          <cell r="H13">
            <v>1</v>
          </cell>
          <cell r="I13">
            <v>5</v>
          </cell>
          <cell r="J13">
            <v>5</v>
          </cell>
        </row>
      </sheetData>
    </sheetDataSet>
  </externalBook>
</externalLink>
</file>

<file path=xl/externalLinks/externalLink1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RDS"/>
    </sheetNames>
    <sheetDataSet>
      <sheetData sheetId="0">
        <row r="1">
          <cell r="A1" t="str">
            <v>OFTIC</v>
          </cell>
          <cell r="B1" t="str">
            <v>IBES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USFIRM=0 if from .INT file and USFIRM=1 if from .US file</v>
          </cell>
          <cell r="M1" t="str">
            <v>Forecast Period End Date (SAS Format)</v>
          </cell>
          <cell r="N1" t="str">
            <v>Actual Value, from the Detail Actuals File</v>
          </cell>
          <cell r="O1" t="str">
            <v>Announce date of the Actual, from the Detail Actuals File</v>
          </cell>
        </row>
        <row r="2">
          <cell r="A2" t="str">
            <v>CIN</v>
          </cell>
          <cell r="B2" t="str">
            <v>CIN</v>
          </cell>
          <cell r="C2" t="str">
            <v>CINN GAS &amp; EL</v>
          </cell>
          <cell r="D2">
            <v>19841220</v>
          </cell>
          <cell r="E2" t="str">
            <v>EPS</v>
          </cell>
          <cell r="F2" t="str">
            <v>LTG</v>
          </cell>
          <cell r="G2">
            <v>0</v>
          </cell>
          <cell r="H2">
            <v>9</v>
          </cell>
          <cell r="I2">
            <v>1</v>
          </cell>
          <cell r="J2">
            <v>1.21</v>
          </cell>
          <cell r="K2">
            <v>2.09</v>
          </cell>
          <cell r="L2">
            <v>1</v>
          </cell>
        </row>
        <row r="3">
          <cell r="A3" t="str">
            <v>CMS</v>
          </cell>
          <cell r="B3" t="str">
            <v>CMS</v>
          </cell>
          <cell r="C3" t="str">
            <v>CONSUMERS PWR</v>
          </cell>
          <cell r="D3">
            <v>19841220</v>
          </cell>
          <cell r="E3" t="str">
            <v>EPS</v>
          </cell>
          <cell r="F3" t="str">
            <v>LTG</v>
          </cell>
          <cell r="G3">
            <v>0</v>
          </cell>
          <cell r="H3">
            <v>9</v>
          </cell>
          <cell r="I3">
            <v>0</v>
          </cell>
          <cell r="J3">
            <v>-1.18</v>
          </cell>
          <cell r="K3">
            <v>9.83</v>
          </cell>
          <cell r="L3">
            <v>1</v>
          </cell>
        </row>
        <row r="4">
          <cell r="A4" t="str">
            <v>CNL</v>
          </cell>
          <cell r="B4" t="str">
            <v>CNL</v>
          </cell>
          <cell r="C4" t="str">
            <v>CENT LA ELEC INC</v>
          </cell>
          <cell r="D4">
            <v>19841220</v>
          </cell>
          <cell r="E4" t="str">
            <v>EPS</v>
          </cell>
          <cell r="F4" t="str">
            <v>LTG</v>
          </cell>
          <cell r="G4">
            <v>0</v>
          </cell>
          <cell r="H4">
            <v>2</v>
          </cell>
          <cell r="I4">
            <v>4.25</v>
          </cell>
          <cell r="J4">
            <v>4.25</v>
          </cell>
          <cell r="K4">
            <v>0.35</v>
          </cell>
          <cell r="L4">
            <v>1</v>
          </cell>
        </row>
        <row r="5">
          <cell r="A5" t="str">
            <v>CV</v>
          </cell>
          <cell r="B5" t="str">
            <v>CV</v>
          </cell>
          <cell r="C5" t="str">
            <v>CNTRL VT PUB SVC</v>
          </cell>
          <cell r="D5">
            <v>19841220</v>
          </cell>
          <cell r="E5" t="str">
            <v>EPS</v>
          </cell>
          <cell r="F5" t="str">
            <v>LTG</v>
          </cell>
          <cell r="G5">
            <v>0</v>
          </cell>
          <cell r="H5">
            <v>1</v>
          </cell>
          <cell r="I5">
            <v>5</v>
          </cell>
          <cell r="J5">
            <v>5</v>
          </cell>
          <cell r="L5">
            <v>1</v>
          </cell>
        </row>
        <row r="6">
          <cell r="A6" t="str">
            <v>D</v>
          </cell>
          <cell r="B6" t="str">
            <v>D</v>
          </cell>
          <cell r="C6" t="str">
            <v>DOMINION RES INC</v>
          </cell>
          <cell r="D6">
            <v>19841220</v>
          </cell>
          <cell r="E6" t="str">
            <v>EPS</v>
          </cell>
          <cell r="F6" t="str">
            <v>LTG</v>
          </cell>
          <cell r="G6">
            <v>0</v>
          </cell>
          <cell r="H6">
            <v>15</v>
          </cell>
          <cell r="I6">
            <v>4.5</v>
          </cell>
          <cell r="J6">
            <v>4.6500000000000004</v>
          </cell>
          <cell r="K6">
            <v>1.1100000000000001</v>
          </cell>
          <cell r="L6">
            <v>1</v>
          </cell>
        </row>
        <row r="7">
          <cell r="A7" t="str">
            <v>DPL</v>
          </cell>
          <cell r="B7" t="str">
            <v>DPL</v>
          </cell>
          <cell r="C7" t="str">
            <v>DAYTON P &amp; L</v>
          </cell>
          <cell r="D7">
            <v>19841220</v>
          </cell>
          <cell r="E7" t="str">
            <v>EPS</v>
          </cell>
          <cell r="F7" t="str">
            <v>LTG</v>
          </cell>
          <cell r="G7">
            <v>0</v>
          </cell>
          <cell r="H7">
            <v>6</v>
          </cell>
          <cell r="I7">
            <v>0.75</v>
          </cell>
          <cell r="J7">
            <v>1.2</v>
          </cell>
          <cell r="K7">
            <v>1.92</v>
          </cell>
          <cell r="L7">
            <v>1</v>
          </cell>
        </row>
        <row r="8">
          <cell r="A8" t="str">
            <v>DTE</v>
          </cell>
          <cell r="B8" t="str">
            <v>DTE</v>
          </cell>
          <cell r="C8" t="str">
            <v>DETROIT EDISON</v>
          </cell>
          <cell r="D8">
            <v>19841220</v>
          </cell>
          <cell r="E8" t="str">
            <v>EPS</v>
          </cell>
          <cell r="F8" t="str">
            <v>LTG</v>
          </cell>
          <cell r="G8">
            <v>0</v>
          </cell>
          <cell r="H8">
            <v>12</v>
          </cell>
          <cell r="I8">
            <v>3.05</v>
          </cell>
          <cell r="J8">
            <v>3.29</v>
          </cell>
          <cell r="K8">
            <v>0.81</v>
          </cell>
          <cell r="L8">
            <v>1</v>
          </cell>
        </row>
        <row r="9">
          <cell r="A9" t="str">
            <v>DUK</v>
          </cell>
          <cell r="B9" t="str">
            <v>DUK</v>
          </cell>
          <cell r="C9" t="str">
            <v>DUKE POWER CO</v>
          </cell>
          <cell r="D9">
            <v>19841220</v>
          </cell>
          <cell r="E9" t="str">
            <v>EPS</v>
          </cell>
          <cell r="F9" t="str">
            <v>LTG</v>
          </cell>
          <cell r="G9">
            <v>0</v>
          </cell>
          <cell r="H9">
            <v>15</v>
          </cell>
          <cell r="I9">
            <v>5.3</v>
          </cell>
          <cell r="J9">
            <v>5.42</v>
          </cell>
          <cell r="K9">
            <v>0.91</v>
          </cell>
          <cell r="L9">
            <v>1</v>
          </cell>
        </row>
        <row r="10">
          <cell r="A10" t="str">
            <v>ED</v>
          </cell>
          <cell r="B10" t="str">
            <v>ED</v>
          </cell>
          <cell r="C10" t="str">
            <v>CONSOL EDISON</v>
          </cell>
          <cell r="D10">
            <v>19841220</v>
          </cell>
          <cell r="E10" t="str">
            <v>EPS</v>
          </cell>
          <cell r="F10" t="str">
            <v>LTG</v>
          </cell>
          <cell r="G10">
            <v>0</v>
          </cell>
          <cell r="H10">
            <v>13</v>
          </cell>
          <cell r="I10">
            <v>6</v>
          </cell>
          <cell r="J10">
            <v>5.87</v>
          </cell>
          <cell r="K10">
            <v>1.36</v>
          </cell>
          <cell r="L10">
            <v>1</v>
          </cell>
        </row>
        <row r="11">
          <cell r="A11" t="str">
            <v>EDE</v>
          </cell>
          <cell r="B11" t="str">
            <v>EDE</v>
          </cell>
          <cell r="C11" t="str">
            <v>EMPIRE DIST ELEC</v>
          </cell>
          <cell r="D11">
            <v>19841220</v>
          </cell>
          <cell r="E11" t="str">
            <v>EPS</v>
          </cell>
          <cell r="F11" t="str">
            <v>LTG</v>
          </cell>
          <cell r="G11">
            <v>0</v>
          </cell>
          <cell r="H11">
            <v>1</v>
          </cell>
          <cell r="I11">
            <v>3.5</v>
          </cell>
          <cell r="J11">
            <v>3.5</v>
          </cell>
          <cell r="L11">
            <v>1</v>
          </cell>
        </row>
        <row r="12">
          <cell r="A12" t="str">
            <v>FPL</v>
          </cell>
          <cell r="B12" t="str">
            <v>FPL</v>
          </cell>
          <cell r="C12" t="str">
            <v>FLA PWR &amp; LT</v>
          </cell>
          <cell r="D12">
            <v>19841220</v>
          </cell>
          <cell r="E12" t="str">
            <v>EPS</v>
          </cell>
          <cell r="F12" t="str">
            <v>LTG</v>
          </cell>
          <cell r="G12">
            <v>0</v>
          </cell>
          <cell r="H12">
            <v>17</v>
          </cell>
          <cell r="I12">
            <v>6</v>
          </cell>
          <cell r="J12">
            <v>6.07</v>
          </cell>
          <cell r="K12">
            <v>1.29</v>
          </cell>
          <cell r="L12">
            <v>1</v>
          </cell>
        </row>
        <row r="13">
          <cell r="A13" t="str">
            <v>HE</v>
          </cell>
          <cell r="B13" t="str">
            <v>HE</v>
          </cell>
          <cell r="C13" t="str">
            <v>HAWAIIAN ELEC</v>
          </cell>
          <cell r="D13">
            <v>19841220</v>
          </cell>
          <cell r="E13" t="str">
            <v>EPS</v>
          </cell>
          <cell r="F13" t="str">
            <v>LTG</v>
          </cell>
          <cell r="G13">
            <v>0</v>
          </cell>
          <cell r="H13">
            <v>10</v>
          </cell>
          <cell r="I13">
            <v>5</v>
          </cell>
          <cell r="J13">
            <v>6.36</v>
          </cell>
          <cell r="K13">
            <v>3.67</v>
          </cell>
          <cell r="L13">
            <v>1</v>
          </cell>
        </row>
        <row r="14">
          <cell r="A14" t="str">
            <v>IDA</v>
          </cell>
          <cell r="B14" t="str">
            <v>IDA</v>
          </cell>
          <cell r="C14" t="str">
            <v>IDAHO POWER CO</v>
          </cell>
          <cell r="D14">
            <v>19841220</v>
          </cell>
          <cell r="E14" t="str">
            <v>EPS</v>
          </cell>
          <cell r="F14" t="str">
            <v>LTG</v>
          </cell>
          <cell r="G14">
            <v>0</v>
          </cell>
          <cell r="H14">
            <v>10</v>
          </cell>
          <cell r="I14">
            <v>4.6500000000000004</v>
          </cell>
          <cell r="J14">
            <v>4.88</v>
          </cell>
          <cell r="K14">
            <v>1.69</v>
          </cell>
          <cell r="L14">
            <v>1</v>
          </cell>
        </row>
        <row r="15">
          <cell r="A15" t="str">
            <v>NU</v>
          </cell>
          <cell r="B15" t="str">
            <v>NU</v>
          </cell>
          <cell r="C15" t="str">
            <v>NORTHEAST UTILS</v>
          </cell>
          <cell r="D15">
            <v>19841220</v>
          </cell>
          <cell r="E15" t="str">
            <v>EPS</v>
          </cell>
          <cell r="F15" t="str">
            <v>LTG</v>
          </cell>
          <cell r="G15">
            <v>0</v>
          </cell>
          <cell r="H15">
            <v>13</v>
          </cell>
          <cell r="I15">
            <v>5</v>
          </cell>
          <cell r="J15">
            <v>4.6100000000000003</v>
          </cell>
          <cell r="K15">
            <v>1.41</v>
          </cell>
          <cell r="L15">
            <v>1</v>
          </cell>
        </row>
        <row r="16">
          <cell r="A16" t="str">
            <v>OGE</v>
          </cell>
          <cell r="B16" t="str">
            <v>OGE</v>
          </cell>
          <cell r="C16" t="str">
            <v>OKLAHOMA G&amp;E</v>
          </cell>
          <cell r="D16">
            <v>19841220</v>
          </cell>
          <cell r="E16" t="str">
            <v>EPS</v>
          </cell>
          <cell r="F16" t="str">
            <v>LTG</v>
          </cell>
          <cell r="G16">
            <v>0</v>
          </cell>
          <cell r="H16">
            <v>16</v>
          </cell>
          <cell r="I16">
            <v>4.8499999999999996</v>
          </cell>
          <cell r="J16">
            <v>5.01</v>
          </cell>
          <cell r="K16">
            <v>1.48</v>
          </cell>
          <cell r="L16">
            <v>1</v>
          </cell>
        </row>
        <row r="17">
          <cell r="A17" t="str">
            <v>OTTR</v>
          </cell>
          <cell r="B17" t="str">
            <v>OTTR</v>
          </cell>
          <cell r="C17" t="str">
            <v>OTTER TAIL PWR</v>
          </cell>
          <cell r="D17">
            <v>19841220</v>
          </cell>
          <cell r="E17" t="str">
            <v>EPS</v>
          </cell>
          <cell r="F17" t="str">
            <v>LTG</v>
          </cell>
          <cell r="G17">
            <v>0</v>
          </cell>
          <cell r="H17">
            <v>3</v>
          </cell>
          <cell r="I17">
            <v>5</v>
          </cell>
          <cell r="J17">
            <v>5.17</v>
          </cell>
          <cell r="K17">
            <v>2.25</v>
          </cell>
          <cell r="L17">
            <v>1</v>
          </cell>
        </row>
        <row r="18">
          <cell r="A18" t="str">
            <v>PCG</v>
          </cell>
          <cell r="B18" t="str">
            <v>PCG</v>
          </cell>
          <cell r="C18" t="str">
            <v>PACIFIC G&amp;E</v>
          </cell>
          <cell r="D18">
            <v>19841220</v>
          </cell>
          <cell r="E18" t="str">
            <v>EPS</v>
          </cell>
          <cell r="F18" t="str">
            <v>LTG</v>
          </cell>
          <cell r="G18">
            <v>0</v>
          </cell>
          <cell r="H18">
            <v>14</v>
          </cell>
          <cell r="I18">
            <v>6</v>
          </cell>
          <cell r="J18">
            <v>5.54</v>
          </cell>
          <cell r="K18">
            <v>1.21</v>
          </cell>
          <cell r="L18">
            <v>1</v>
          </cell>
        </row>
        <row r="19">
          <cell r="A19" t="str">
            <v>PEG</v>
          </cell>
          <cell r="B19" t="str">
            <v>PEG</v>
          </cell>
          <cell r="C19" t="str">
            <v>PUB SVC E&amp;G</v>
          </cell>
          <cell r="D19">
            <v>19841220</v>
          </cell>
          <cell r="E19" t="str">
            <v>EPS</v>
          </cell>
          <cell r="F19" t="str">
            <v>LTG</v>
          </cell>
          <cell r="G19">
            <v>0</v>
          </cell>
          <cell r="H19">
            <v>15</v>
          </cell>
          <cell r="I19">
            <v>4</v>
          </cell>
          <cell r="J19">
            <v>4.1900000000000004</v>
          </cell>
          <cell r="K19">
            <v>1.06</v>
          </cell>
          <cell r="L19">
            <v>1</v>
          </cell>
        </row>
        <row r="20">
          <cell r="A20" t="str">
            <v>PGN</v>
          </cell>
          <cell r="B20" t="str">
            <v>PGN</v>
          </cell>
          <cell r="C20" t="str">
            <v>PORTLD GEN ELEC</v>
          </cell>
          <cell r="D20">
            <v>19841220</v>
          </cell>
          <cell r="E20" t="str">
            <v>EPS</v>
          </cell>
          <cell r="F20" t="str">
            <v>LTG</v>
          </cell>
          <cell r="G20">
            <v>0</v>
          </cell>
          <cell r="H20">
            <v>8</v>
          </cell>
          <cell r="I20">
            <v>4.05</v>
          </cell>
          <cell r="J20">
            <v>4.51</v>
          </cell>
          <cell r="K20">
            <v>1.62</v>
          </cell>
          <cell r="L20">
            <v>1</v>
          </cell>
        </row>
        <row r="21">
          <cell r="A21" t="str">
            <v>PNM</v>
          </cell>
          <cell r="B21" t="str">
            <v>PNM</v>
          </cell>
          <cell r="C21" t="str">
            <v>PUB SVC N MEX</v>
          </cell>
          <cell r="D21">
            <v>19841220</v>
          </cell>
          <cell r="E21" t="str">
            <v>EPS</v>
          </cell>
          <cell r="F21" t="str">
            <v>LTG</v>
          </cell>
          <cell r="G21">
            <v>0</v>
          </cell>
          <cell r="H21">
            <v>10</v>
          </cell>
          <cell r="I21">
            <v>3.75</v>
          </cell>
          <cell r="J21">
            <v>4.22</v>
          </cell>
          <cell r="K21">
            <v>1.36</v>
          </cell>
          <cell r="L21">
            <v>1</v>
          </cell>
        </row>
        <row r="22">
          <cell r="A22" t="str">
            <v>POM</v>
          </cell>
          <cell r="B22" t="str">
            <v>POM</v>
          </cell>
          <cell r="C22" t="str">
            <v>POTOMAC ELEC</v>
          </cell>
          <cell r="D22">
            <v>19841220</v>
          </cell>
          <cell r="E22" t="str">
            <v>EPS</v>
          </cell>
          <cell r="F22" t="str">
            <v>LTG</v>
          </cell>
          <cell r="G22">
            <v>0</v>
          </cell>
          <cell r="H22">
            <v>14</v>
          </cell>
          <cell r="I22">
            <v>6</v>
          </cell>
          <cell r="J22">
            <v>5.71</v>
          </cell>
          <cell r="K22">
            <v>1.01</v>
          </cell>
          <cell r="L22">
            <v>1</v>
          </cell>
        </row>
        <row r="23">
          <cell r="A23" t="str">
            <v>PPL</v>
          </cell>
          <cell r="B23" t="str">
            <v>PPL</v>
          </cell>
          <cell r="C23" t="str">
            <v>PENNA P&amp;L</v>
          </cell>
          <cell r="D23">
            <v>19841220</v>
          </cell>
          <cell r="E23" t="str">
            <v>EPS</v>
          </cell>
          <cell r="F23" t="str">
            <v>LTG</v>
          </cell>
          <cell r="G23">
            <v>0</v>
          </cell>
          <cell r="H23">
            <v>14</v>
          </cell>
          <cell r="I23">
            <v>4.5</v>
          </cell>
          <cell r="J23">
            <v>4.66</v>
          </cell>
          <cell r="K23">
            <v>1.28</v>
          </cell>
          <cell r="L23">
            <v>1</v>
          </cell>
        </row>
        <row r="24">
          <cell r="A24" t="str">
            <v>PSD</v>
          </cell>
          <cell r="B24" t="str">
            <v>PSD</v>
          </cell>
          <cell r="C24" t="str">
            <v>PUGET SOUND P&amp;L</v>
          </cell>
          <cell r="D24">
            <v>19841220</v>
          </cell>
          <cell r="E24" t="str">
            <v>EPS</v>
          </cell>
          <cell r="F24" t="str">
            <v>LTG</v>
          </cell>
          <cell r="G24">
            <v>0</v>
          </cell>
          <cell r="H24">
            <v>6</v>
          </cell>
          <cell r="I24">
            <v>2</v>
          </cell>
          <cell r="J24">
            <v>1.42</v>
          </cell>
          <cell r="K24">
            <v>4.79</v>
          </cell>
          <cell r="L24">
            <v>1</v>
          </cell>
        </row>
        <row r="25">
          <cell r="A25" t="str">
            <v>SCG</v>
          </cell>
          <cell r="B25" t="str">
            <v>SCG</v>
          </cell>
          <cell r="C25" t="str">
            <v>SO CAROLINA EG</v>
          </cell>
          <cell r="D25">
            <v>19841220</v>
          </cell>
          <cell r="E25" t="str">
            <v>EPS</v>
          </cell>
          <cell r="F25" t="str">
            <v>LTG</v>
          </cell>
          <cell r="G25">
            <v>0</v>
          </cell>
          <cell r="H25">
            <v>12</v>
          </cell>
          <cell r="I25">
            <v>4</v>
          </cell>
          <cell r="J25">
            <v>4.49</v>
          </cell>
          <cell r="K25">
            <v>1.1200000000000001</v>
          </cell>
          <cell r="L25">
            <v>1</v>
          </cell>
        </row>
        <row r="26">
          <cell r="A26" t="str">
            <v>SO</v>
          </cell>
          <cell r="B26" t="str">
            <v>SO</v>
          </cell>
          <cell r="C26" t="str">
            <v>SOUTHN CO</v>
          </cell>
          <cell r="D26">
            <v>19841220</v>
          </cell>
          <cell r="E26" t="str">
            <v>EPS</v>
          </cell>
          <cell r="F26" t="str">
            <v>LTG</v>
          </cell>
          <cell r="G26">
            <v>0</v>
          </cell>
          <cell r="H26">
            <v>15</v>
          </cell>
          <cell r="I26">
            <v>4</v>
          </cell>
          <cell r="J26">
            <v>4.0999999999999996</v>
          </cell>
          <cell r="K26">
            <v>1.1000000000000001</v>
          </cell>
          <cell r="L26">
            <v>1</v>
          </cell>
        </row>
        <row r="27">
          <cell r="A27" t="str">
            <v>TE</v>
          </cell>
          <cell r="B27" t="str">
            <v>TE</v>
          </cell>
          <cell r="C27" t="str">
            <v>TECO ENERGY INC</v>
          </cell>
          <cell r="D27">
            <v>19841220</v>
          </cell>
          <cell r="E27" t="str">
            <v>EPS</v>
          </cell>
          <cell r="F27" t="str">
            <v>LTG</v>
          </cell>
          <cell r="G27">
            <v>0</v>
          </cell>
          <cell r="H27">
            <v>14</v>
          </cell>
          <cell r="I27">
            <v>6</v>
          </cell>
          <cell r="J27">
            <v>6.39</v>
          </cell>
          <cell r="K27">
            <v>1.17</v>
          </cell>
          <cell r="L27">
            <v>1</v>
          </cell>
        </row>
        <row r="28">
          <cell r="A28" t="str">
            <v>UIL</v>
          </cell>
          <cell r="B28" t="str">
            <v>UIL</v>
          </cell>
          <cell r="C28" t="str">
            <v>UTD ILLUM CO</v>
          </cell>
          <cell r="D28">
            <v>19841220</v>
          </cell>
          <cell r="E28" t="str">
            <v>EPS</v>
          </cell>
          <cell r="F28" t="str">
            <v>LTG</v>
          </cell>
          <cell r="G28">
            <v>0</v>
          </cell>
          <cell r="H28">
            <v>1</v>
          </cell>
          <cell r="I28">
            <v>2</v>
          </cell>
          <cell r="J28">
            <v>2</v>
          </cell>
          <cell r="L28">
            <v>1</v>
          </cell>
        </row>
        <row r="29">
          <cell r="A29" t="str">
            <v>WPS</v>
          </cell>
          <cell r="B29" t="str">
            <v>WPS</v>
          </cell>
          <cell r="C29" t="str">
            <v>WISC PUB SVC</v>
          </cell>
          <cell r="D29">
            <v>19841220</v>
          </cell>
          <cell r="E29" t="str">
            <v>EPS</v>
          </cell>
          <cell r="F29" t="str">
            <v>LTG</v>
          </cell>
          <cell r="G29">
            <v>0</v>
          </cell>
          <cell r="H29">
            <v>9</v>
          </cell>
          <cell r="I29">
            <v>5</v>
          </cell>
          <cell r="J29">
            <v>5.52</v>
          </cell>
          <cell r="K29">
            <v>1.39</v>
          </cell>
          <cell r="L29">
            <v>1</v>
          </cell>
        </row>
      </sheetData>
    </sheetDataSet>
  </externalBook>
</externalLink>
</file>

<file path=xl/externalLinks/externalLink1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jqboujxwzv4u9yp"/>
    </sheetNames>
    <sheetDataSet>
      <sheetData sheetId="0">
        <row r="1">
          <cell r="B1" t="str">
            <v>Official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Forecast Period End Date (SAS Format)</v>
          </cell>
          <cell r="M1" t="str">
            <v>Actual Value, from the Detail Actuals File</v>
          </cell>
          <cell r="N1" t="str">
            <v>Announce date of the Actual, from the Detail Actuals File</v>
          </cell>
        </row>
        <row r="2">
          <cell r="B2" t="str">
            <v>CGC</v>
          </cell>
          <cell r="C2" t="str">
            <v>CASCADE NAT GAS</v>
          </cell>
          <cell r="D2">
            <v>31036</v>
          </cell>
          <cell r="E2" t="str">
            <v>EPS</v>
          </cell>
          <cell r="F2" t="str">
            <v>ANN</v>
          </cell>
          <cell r="G2" t="str">
            <v>1</v>
          </cell>
          <cell r="H2">
            <v>2</v>
          </cell>
          <cell r="I2">
            <v>1.18</v>
          </cell>
          <cell r="J2">
            <v>1.18</v>
          </cell>
          <cell r="K2">
            <v>0.06</v>
          </cell>
          <cell r="L2">
            <v>31047</v>
          </cell>
          <cell r="M2">
            <v>1.3867</v>
          </cell>
          <cell r="N2">
            <v>31078</v>
          </cell>
        </row>
        <row r="3">
          <cell r="B3" t="str">
            <v>GAS</v>
          </cell>
          <cell r="C3" t="str">
            <v>NICOR INC</v>
          </cell>
          <cell r="D3">
            <v>31036</v>
          </cell>
          <cell r="E3" t="str">
            <v>EPS</v>
          </cell>
          <cell r="F3" t="str">
            <v>ANN</v>
          </cell>
          <cell r="G3" t="str">
            <v>1</v>
          </cell>
          <cell r="H3">
            <v>9</v>
          </cell>
          <cell r="I3">
            <v>1.08</v>
          </cell>
          <cell r="J3">
            <v>1.07</v>
          </cell>
          <cell r="K3">
            <v>0.06</v>
          </cell>
          <cell r="L3">
            <v>31047</v>
          </cell>
          <cell r="M3">
            <v>1.02</v>
          </cell>
          <cell r="N3">
            <v>31083</v>
          </cell>
        </row>
        <row r="4">
          <cell r="B4" t="str">
            <v>LG</v>
          </cell>
          <cell r="C4" t="str">
            <v>LACLEDE GAS</v>
          </cell>
          <cell r="D4">
            <v>31036</v>
          </cell>
          <cell r="E4" t="str">
            <v>EPS</v>
          </cell>
          <cell r="F4" t="str">
            <v>ANN</v>
          </cell>
          <cell r="G4" t="str">
            <v>1</v>
          </cell>
          <cell r="H4">
            <v>1</v>
          </cell>
          <cell r="I4">
            <v>1.63</v>
          </cell>
          <cell r="J4">
            <v>1.63</v>
          </cell>
          <cell r="L4">
            <v>31320</v>
          </cell>
          <cell r="M4">
            <v>1.64</v>
          </cell>
          <cell r="N4">
            <v>31373</v>
          </cell>
        </row>
        <row r="5">
          <cell r="B5" t="str">
            <v>NI</v>
          </cell>
          <cell r="C5" t="str">
            <v>NORTHN IND PUB</v>
          </cell>
          <cell r="D5">
            <v>31036</v>
          </cell>
          <cell r="E5" t="str">
            <v>EPS</v>
          </cell>
          <cell r="F5" t="str">
            <v>ANN</v>
          </cell>
          <cell r="G5" t="str">
            <v>1</v>
          </cell>
          <cell r="H5">
            <v>17</v>
          </cell>
          <cell r="I5">
            <v>0.92</v>
          </cell>
          <cell r="J5">
            <v>0.93</v>
          </cell>
          <cell r="K5">
            <v>0.03</v>
          </cell>
          <cell r="L5">
            <v>31047</v>
          </cell>
          <cell r="M5">
            <v>0.81</v>
          </cell>
          <cell r="N5">
            <v>31077</v>
          </cell>
        </row>
        <row r="6">
          <cell r="B6" t="str">
            <v>NJR</v>
          </cell>
          <cell r="C6" t="str">
            <v>NEW JERSEY RES</v>
          </cell>
          <cell r="D6">
            <v>31036</v>
          </cell>
          <cell r="E6" t="str">
            <v>EPS</v>
          </cell>
          <cell r="F6" t="str">
            <v>ANN</v>
          </cell>
          <cell r="G6" t="str">
            <v>1</v>
          </cell>
          <cell r="H6">
            <v>1</v>
          </cell>
          <cell r="I6">
            <v>0.28000000000000003</v>
          </cell>
          <cell r="J6">
            <v>0.28000000000000003</v>
          </cell>
          <cell r="L6">
            <v>30955</v>
          </cell>
          <cell r="M6">
            <v>0.3533</v>
          </cell>
        </row>
        <row r="7">
          <cell r="B7" t="str">
            <v>PNY</v>
          </cell>
          <cell r="C7" t="str">
            <v>PIEDMONT NAT GAS</v>
          </cell>
          <cell r="D7">
            <v>31036</v>
          </cell>
          <cell r="E7" t="str">
            <v>EPS</v>
          </cell>
          <cell r="F7" t="str">
            <v>ANN</v>
          </cell>
          <cell r="G7" t="str">
            <v>1</v>
          </cell>
          <cell r="H7">
            <v>4</v>
          </cell>
          <cell r="I7">
            <v>0.53</v>
          </cell>
          <cell r="J7">
            <v>0.53</v>
          </cell>
          <cell r="K7">
            <v>0.04</v>
          </cell>
          <cell r="L7">
            <v>31351</v>
          </cell>
          <cell r="M7">
            <v>0.3</v>
          </cell>
        </row>
        <row r="8">
          <cell r="B8" t="str">
            <v>SJI</v>
          </cell>
          <cell r="C8" t="str">
            <v>SO JERSEY INDS</v>
          </cell>
          <cell r="D8">
            <v>31036</v>
          </cell>
          <cell r="E8" t="str">
            <v>EPS</v>
          </cell>
          <cell r="F8" t="str">
            <v>ANN</v>
          </cell>
          <cell r="G8" t="str">
            <v>1</v>
          </cell>
          <cell r="H8">
            <v>3</v>
          </cell>
          <cell r="I8">
            <v>0.38</v>
          </cell>
          <cell r="J8">
            <v>0.37</v>
          </cell>
          <cell r="K8">
            <v>0.01</v>
          </cell>
          <cell r="L8">
            <v>31047</v>
          </cell>
          <cell r="M8">
            <v>0.35170000000000001</v>
          </cell>
          <cell r="N8">
            <v>31068</v>
          </cell>
        </row>
        <row r="9">
          <cell r="B9" t="str">
            <v>SWX</v>
          </cell>
          <cell r="C9" t="str">
            <v>SOUTHWEST GAS</v>
          </cell>
          <cell r="D9">
            <v>31036</v>
          </cell>
          <cell r="E9" t="str">
            <v>EPS</v>
          </cell>
          <cell r="F9" t="str">
            <v>ANN</v>
          </cell>
          <cell r="G9" t="str">
            <v>1</v>
          </cell>
          <cell r="H9">
            <v>4</v>
          </cell>
          <cell r="I9">
            <v>1.4</v>
          </cell>
          <cell r="J9">
            <v>1.46</v>
          </cell>
          <cell r="K9">
            <v>0.16</v>
          </cell>
          <cell r="L9">
            <v>31047</v>
          </cell>
        </row>
        <row r="10">
          <cell r="B10" t="str">
            <v>WGL</v>
          </cell>
          <cell r="C10" t="str">
            <v>WASH GAS LT</v>
          </cell>
          <cell r="D10">
            <v>31036</v>
          </cell>
          <cell r="E10" t="str">
            <v>EPS</v>
          </cell>
          <cell r="F10" t="str">
            <v>ANN</v>
          </cell>
          <cell r="G10" t="str">
            <v>1</v>
          </cell>
          <cell r="H10">
            <v>4</v>
          </cell>
          <cell r="I10">
            <v>1.24</v>
          </cell>
          <cell r="J10">
            <v>1.25</v>
          </cell>
          <cell r="K10">
            <v>7.0000000000000007E-2</v>
          </cell>
          <cell r="L10">
            <v>31047</v>
          </cell>
          <cell r="M10">
            <v>1.2250000000000001</v>
          </cell>
          <cell r="N10">
            <v>31093</v>
          </cell>
        </row>
      </sheetData>
    </sheetDataSet>
  </externalBook>
</externalLink>
</file>

<file path=xl/externalLinks/externalLink1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b1qmmfxu0y6bxbo"/>
    </sheetNames>
    <sheetDataSet>
      <sheetData sheetId="0">
        <row r="1">
          <cell r="B1" t="str">
            <v>Official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row>
        <row r="2">
          <cell r="B2" t="str">
            <v>CGC</v>
          </cell>
          <cell r="C2" t="str">
            <v>CASCADE NAT GAS</v>
          </cell>
          <cell r="D2">
            <v>31036</v>
          </cell>
          <cell r="E2" t="str">
            <v>EPS</v>
          </cell>
          <cell r="F2" t="str">
            <v>LTG</v>
          </cell>
          <cell r="G2" t="str">
            <v>0</v>
          </cell>
          <cell r="H2">
            <v>1</v>
          </cell>
          <cell r="I2">
            <v>18.5</v>
          </cell>
          <cell r="J2">
            <v>18.5</v>
          </cell>
        </row>
        <row r="3">
          <cell r="B3" t="str">
            <v>GAS</v>
          </cell>
          <cell r="C3" t="str">
            <v>NICOR INC</v>
          </cell>
          <cell r="D3">
            <v>31036</v>
          </cell>
          <cell r="E3" t="str">
            <v>EPS</v>
          </cell>
          <cell r="F3" t="str">
            <v>LTG</v>
          </cell>
          <cell r="G3" t="str">
            <v>0</v>
          </cell>
          <cell r="H3">
            <v>4</v>
          </cell>
          <cell r="I3">
            <v>8</v>
          </cell>
          <cell r="J3">
            <v>8.5</v>
          </cell>
          <cell r="K3">
            <v>6.76</v>
          </cell>
        </row>
        <row r="4">
          <cell r="B4" t="str">
            <v>LG</v>
          </cell>
          <cell r="C4" t="str">
            <v>LACLEDE GAS</v>
          </cell>
          <cell r="D4">
            <v>31036</v>
          </cell>
          <cell r="E4" t="str">
            <v>EPS</v>
          </cell>
          <cell r="F4" t="str">
            <v>LTG</v>
          </cell>
          <cell r="G4" t="str">
            <v>0</v>
          </cell>
          <cell r="H4">
            <v>1</v>
          </cell>
          <cell r="I4">
            <v>10</v>
          </cell>
          <cell r="J4">
            <v>10</v>
          </cell>
        </row>
        <row r="5">
          <cell r="B5" t="str">
            <v>NI</v>
          </cell>
          <cell r="C5" t="str">
            <v>NORTHN IND PUB</v>
          </cell>
          <cell r="D5">
            <v>31036</v>
          </cell>
          <cell r="E5" t="str">
            <v>EPS</v>
          </cell>
          <cell r="F5" t="str">
            <v>LTG</v>
          </cell>
          <cell r="G5" t="str">
            <v>0</v>
          </cell>
          <cell r="H5">
            <v>15</v>
          </cell>
          <cell r="I5">
            <v>4</v>
          </cell>
          <cell r="J5">
            <v>4.87</v>
          </cell>
          <cell r="K5">
            <v>3.03</v>
          </cell>
        </row>
        <row r="6">
          <cell r="B6" t="str">
            <v>PNY</v>
          </cell>
          <cell r="C6" t="str">
            <v>PIEDMONT NAT GAS</v>
          </cell>
          <cell r="D6">
            <v>31036</v>
          </cell>
          <cell r="E6" t="str">
            <v>EPS</v>
          </cell>
          <cell r="F6" t="str">
            <v>LTG</v>
          </cell>
          <cell r="G6" t="str">
            <v>0</v>
          </cell>
          <cell r="H6">
            <v>4</v>
          </cell>
          <cell r="I6">
            <v>7</v>
          </cell>
          <cell r="J6">
            <v>7.5</v>
          </cell>
          <cell r="K6">
            <v>2.65</v>
          </cell>
        </row>
        <row r="7">
          <cell r="B7" t="str">
            <v>SJI</v>
          </cell>
          <cell r="C7" t="str">
            <v>SO JERSEY INDS</v>
          </cell>
          <cell r="D7">
            <v>31036</v>
          </cell>
          <cell r="E7" t="str">
            <v>EPS</v>
          </cell>
          <cell r="F7" t="str">
            <v>LTG</v>
          </cell>
          <cell r="G7" t="str">
            <v>0</v>
          </cell>
          <cell r="H7">
            <v>3</v>
          </cell>
          <cell r="I7">
            <v>5</v>
          </cell>
          <cell r="J7">
            <v>5.5</v>
          </cell>
          <cell r="K7">
            <v>1.32</v>
          </cell>
        </row>
        <row r="8">
          <cell r="B8" t="str">
            <v>SWX</v>
          </cell>
          <cell r="C8" t="str">
            <v>SOUTHWEST GAS</v>
          </cell>
          <cell r="D8">
            <v>31036</v>
          </cell>
          <cell r="E8" t="str">
            <v>EPS</v>
          </cell>
          <cell r="F8" t="str">
            <v>LTG</v>
          </cell>
          <cell r="G8" t="str">
            <v>0</v>
          </cell>
          <cell r="H8">
            <v>4</v>
          </cell>
          <cell r="I8">
            <v>5.5</v>
          </cell>
          <cell r="J8">
            <v>6.25</v>
          </cell>
          <cell r="K8">
            <v>2.63</v>
          </cell>
        </row>
        <row r="9">
          <cell r="B9" t="str">
            <v>WGL</v>
          </cell>
          <cell r="C9" t="str">
            <v>WASH GAS LT</v>
          </cell>
          <cell r="D9">
            <v>31036</v>
          </cell>
          <cell r="E9" t="str">
            <v>EPS</v>
          </cell>
          <cell r="F9" t="str">
            <v>LTG</v>
          </cell>
          <cell r="G9" t="str">
            <v>0</v>
          </cell>
          <cell r="H9">
            <v>3</v>
          </cell>
          <cell r="I9">
            <v>8</v>
          </cell>
          <cell r="J9">
            <v>6.5</v>
          </cell>
          <cell r="K9">
            <v>3.04</v>
          </cell>
        </row>
      </sheetData>
    </sheetDataSet>
  </externalBook>
</externalLink>
</file>

<file path=xl/externalLinks/externalLink1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RDS"/>
    </sheetNames>
    <sheetDataSet>
      <sheetData sheetId="0">
        <row r="1">
          <cell r="A1" t="str">
            <v>OFTIC</v>
          </cell>
          <cell r="B1" t="str">
            <v>IBES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USFIRM=0 if from .INT file and USFIRM=1 if from .US file</v>
          </cell>
          <cell r="L1" t="str">
            <v>Forecast Period End Date (SAS Format)</v>
          </cell>
          <cell r="M1" t="str">
            <v>Actual Value, from the Detail Actuals File</v>
          </cell>
          <cell r="N1" t="str">
            <v>Announce date of the Actual, from the Detail Actuals File</v>
          </cell>
        </row>
        <row r="2">
          <cell r="A2" t="str">
            <v>AEE</v>
          </cell>
          <cell r="B2" t="str">
            <v>AEE</v>
          </cell>
          <cell r="C2" t="str">
            <v>AILEEN INC</v>
          </cell>
          <cell r="D2">
            <v>19831215</v>
          </cell>
          <cell r="E2" t="str">
            <v>EPS</v>
          </cell>
          <cell r="F2" t="str">
            <v>ANN</v>
          </cell>
          <cell r="G2">
            <v>1</v>
          </cell>
          <cell r="H2">
            <v>1</v>
          </cell>
          <cell r="I2">
            <v>-0.05</v>
          </cell>
          <cell r="J2">
            <v>-0.05</v>
          </cell>
          <cell r="K2">
            <v>1</v>
          </cell>
          <cell r="L2">
            <v>19831031</v>
          </cell>
          <cell r="M2">
            <v>-0.04</v>
          </cell>
          <cell r="N2">
            <v>19840106</v>
          </cell>
        </row>
        <row r="3">
          <cell r="A3" t="str">
            <v>BKH</v>
          </cell>
          <cell r="B3" t="str">
            <v>BHP</v>
          </cell>
          <cell r="C3" t="str">
            <v>BLACK HILLS CORP</v>
          </cell>
          <cell r="D3">
            <v>19831215</v>
          </cell>
          <cell r="E3" t="str">
            <v>EPS</v>
          </cell>
          <cell r="F3" t="str">
            <v>ANN</v>
          </cell>
          <cell r="G3">
            <v>1</v>
          </cell>
          <cell r="H3">
            <v>3</v>
          </cell>
          <cell r="I3">
            <v>0.64</v>
          </cell>
          <cell r="J3">
            <v>0.64</v>
          </cell>
          <cell r="K3">
            <v>1</v>
          </cell>
          <cell r="L3">
            <v>19831231</v>
          </cell>
          <cell r="M3">
            <v>0.66439999999999999</v>
          </cell>
          <cell r="N3">
            <v>19840201</v>
          </cell>
        </row>
        <row r="4">
          <cell r="A4" t="str">
            <v>CIN</v>
          </cell>
          <cell r="B4" t="str">
            <v>CIN</v>
          </cell>
          <cell r="C4" t="str">
            <v>CINN GAS &amp; EL</v>
          </cell>
          <cell r="D4">
            <v>19831215</v>
          </cell>
          <cell r="E4" t="str">
            <v>EPS</v>
          </cell>
          <cell r="F4" t="str">
            <v>ANN</v>
          </cell>
          <cell r="G4">
            <v>1</v>
          </cell>
          <cell r="H4">
            <v>17</v>
          </cell>
          <cell r="I4">
            <v>1.83</v>
          </cell>
          <cell r="J4">
            <v>1.85</v>
          </cell>
          <cell r="K4">
            <v>1</v>
          </cell>
          <cell r="L4">
            <v>19831231</v>
          </cell>
          <cell r="M4">
            <v>1.96</v>
          </cell>
          <cell r="N4">
            <v>19840125</v>
          </cell>
        </row>
        <row r="5">
          <cell r="A5" t="str">
            <v>CMS</v>
          </cell>
          <cell r="B5" t="str">
            <v>CMS</v>
          </cell>
          <cell r="C5" t="str">
            <v>CONSUMERS PWR</v>
          </cell>
          <cell r="D5">
            <v>19831215</v>
          </cell>
          <cell r="E5" t="str">
            <v>EPS</v>
          </cell>
          <cell r="F5" t="str">
            <v>ANN</v>
          </cell>
          <cell r="G5">
            <v>1</v>
          </cell>
          <cell r="H5">
            <v>16</v>
          </cell>
          <cell r="I5">
            <v>3.1</v>
          </cell>
          <cell r="J5">
            <v>3.14</v>
          </cell>
          <cell r="K5">
            <v>1</v>
          </cell>
          <cell r="L5">
            <v>19831231</v>
          </cell>
          <cell r="M5">
            <v>3.12</v>
          </cell>
          <cell r="N5">
            <v>19840128</v>
          </cell>
        </row>
        <row r="6">
          <cell r="A6" t="str">
            <v>CNL</v>
          </cell>
          <cell r="B6" t="str">
            <v>CNL</v>
          </cell>
          <cell r="C6" t="str">
            <v>CENT LA ELEC INC</v>
          </cell>
          <cell r="D6">
            <v>19831215</v>
          </cell>
          <cell r="E6" t="str">
            <v>EPS</v>
          </cell>
          <cell r="F6" t="str">
            <v>ANN</v>
          </cell>
          <cell r="G6">
            <v>1</v>
          </cell>
          <cell r="H6">
            <v>6</v>
          </cell>
          <cell r="I6">
            <v>0.6</v>
          </cell>
          <cell r="J6">
            <v>0.61</v>
          </cell>
          <cell r="K6">
            <v>1</v>
          </cell>
          <cell r="L6">
            <v>19831231</v>
          </cell>
          <cell r="M6">
            <v>0.71250000000000002</v>
          </cell>
        </row>
        <row r="7">
          <cell r="A7" t="str">
            <v>CNP</v>
          </cell>
          <cell r="B7" t="str">
            <v>CNP</v>
          </cell>
          <cell r="C7" t="str">
            <v>CROWN CENT PETE</v>
          </cell>
          <cell r="D7">
            <v>19831215</v>
          </cell>
          <cell r="E7" t="str">
            <v>EPS</v>
          </cell>
          <cell r="F7" t="str">
            <v>ANN</v>
          </cell>
          <cell r="G7">
            <v>1</v>
          </cell>
          <cell r="H7">
            <v>2</v>
          </cell>
          <cell r="I7">
            <v>0.6</v>
          </cell>
          <cell r="J7">
            <v>0.6</v>
          </cell>
          <cell r="K7">
            <v>1</v>
          </cell>
          <cell r="L7">
            <v>19831231</v>
          </cell>
          <cell r="M7">
            <v>0.44</v>
          </cell>
        </row>
        <row r="8">
          <cell r="A8" t="str">
            <v>D</v>
          </cell>
          <cell r="B8" t="str">
            <v>D</v>
          </cell>
          <cell r="C8" t="str">
            <v>DOMINION RES INC</v>
          </cell>
          <cell r="D8">
            <v>19831215</v>
          </cell>
          <cell r="E8" t="str">
            <v>EPS</v>
          </cell>
          <cell r="F8" t="str">
            <v>ANN</v>
          </cell>
          <cell r="G8">
            <v>1</v>
          </cell>
          <cell r="H8">
            <v>19</v>
          </cell>
          <cell r="I8">
            <v>1.02</v>
          </cell>
          <cell r="J8">
            <v>1.01</v>
          </cell>
          <cell r="K8">
            <v>1</v>
          </cell>
          <cell r="L8">
            <v>19831231</v>
          </cell>
          <cell r="M8">
            <v>1.0932999999999999</v>
          </cell>
        </row>
        <row r="9">
          <cell r="A9" t="str">
            <v>DPL</v>
          </cell>
          <cell r="B9" t="str">
            <v>DPL</v>
          </cell>
          <cell r="C9" t="str">
            <v>DAYTON P &amp; L</v>
          </cell>
          <cell r="D9">
            <v>19831215</v>
          </cell>
          <cell r="E9" t="str">
            <v>EPS</v>
          </cell>
          <cell r="F9" t="str">
            <v>ANN</v>
          </cell>
          <cell r="G9">
            <v>1</v>
          </cell>
          <cell r="H9">
            <v>12</v>
          </cell>
          <cell r="I9">
            <v>0.79</v>
          </cell>
          <cell r="J9">
            <v>0.79</v>
          </cell>
          <cell r="K9">
            <v>1</v>
          </cell>
          <cell r="L9">
            <v>19831231</v>
          </cell>
          <cell r="M9">
            <v>0.8296</v>
          </cell>
          <cell r="N9">
            <v>19840121</v>
          </cell>
        </row>
        <row r="10">
          <cell r="A10" t="str">
            <v>DTE</v>
          </cell>
          <cell r="B10" t="str">
            <v>DTE</v>
          </cell>
          <cell r="C10" t="str">
            <v>DETROIT EDISON</v>
          </cell>
          <cell r="D10">
            <v>19831215</v>
          </cell>
          <cell r="E10" t="str">
            <v>EPS</v>
          </cell>
          <cell r="F10" t="str">
            <v>ANN</v>
          </cell>
          <cell r="G10">
            <v>1</v>
          </cell>
          <cell r="H10">
            <v>15</v>
          </cell>
          <cell r="I10">
            <v>2.1</v>
          </cell>
          <cell r="J10">
            <v>2.08</v>
          </cell>
          <cell r="K10">
            <v>1</v>
          </cell>
          <cell r="L10">
            <v>19831231</v>
          </cell>
          <cell r="M10">
            <v>2.21</v>
          </cell>
          <cell r="N10">
            <v>19840125</v>
          </cell>
        </row>
        <row r="11">
          <cell r="A11" t="str">
            <v>DUK</v>
          </cell>
          <cell r="B11" t="str">
            <v>DUK</v>
          </cell>
          <cell r="C11" t="str">
            <v>DUKE POWER CO</v>
          </cell>
          <cell r="D11">
            <v>19831215</v>
          </cell>
          <cell r="E11" t="str">
            <v>EPS</v>
          </cell>
          <cell r="F11" t="str">
            <v>ANN</v>
          </cell>
          <cell r="G11">
            <v>1</v>
          </cell>
          <cell r="H11">
            <v>22</v>
          </cell>
          <cell r="I11">
            <v>2.77</v>
          </cell>
          <cell r="J11">
            <v>2.75</v>
          </cell>
          <cell r="K11">
            <v>1</v>
          </cell>
          <cell r="L11">
            <v>19831231</v>
          </cell>
          <cell r="M11">
            <v>2.8275000000000001</v>
          </cell>
          <cell r="N11">
            <v>19840127</v>
          </cell>
        </row>
        <row r="12">
          <cell r="A12" t="str">
            <v>ED</v>
          </cell>
          <cell r="B12" t="str">
            <v>ED</v>
          </cell>
          <cell r="C12" t="str">
            <v>CONSOL EDISON</v>
          </cell>
          <cell r="D12">
            <v>19831215</v>
          </cell>
          <cell r="E12" t="str">
            <v>EPS</v>
          </cell>
          <cell r="F12" t="str">
            <v>ANN</v>
          </cell>
          <cell r="G12">
            <v>1</v>
          </cell>
          <cell r="H12">
            <v>19</v>
          </cell>
          <cell r="I12">
            <v>2</v>
          </cell>
          <cell r="J12">
            <v>1.97</v>
          </cell>
          <cell r="K12">
            <v>1</v>
          </cell>
          <cell r="L12">
            <v>19831231</v>
          </cell>
          <cell r="M12">
            <v>2.08</v>
          </cell>
          <cell r="N12">
            <v>19840127</v>
          </cell>
        </row>
        <row r="13">
          <cell r="A13" t="str">
            <v>EDE</v>
          </cell>
          <cell r="B13" t="str">
            <v>EDE</v>
          </cell>
          <cell r="C13" t="str">
            <v>EMPIRE DIST ELEC</v>
          </cell>
          <cell r="D13">
            <v>19831215</v>
          </cell>
          <cell r="E13" t="str">
            <v>EPS</v>
          </cell>
          <cell r="F13" t="str">
            <v>ANN</v>
          </cell>
          <cell r="G13">
            <v>1</v>
          </cell>
          <cell r="H13">
            <v>2</v>
          </cell>
          <cell r="I13">
            <v>1.25</v>
          </cell>
          <cell r="J13">
            <v>1.25</v>
          </cell>
          <cell r="K13">
            <v>1</v>
          </cell>
          <cell r="L13">
            <v>19831231</v>
          </cell>
          <cell r="M13">
            <v>1.2549999999999999</v>
          </cell>
        </row>
        <row r="14">
          <cell r="A14" t="str">
            <v>FPL</v>
          </cell>
          <cell r="B14" t="str">
            <v>FPL</v>
          </cell>
          <cell r="C14" t="str">
            <v>FLA PWR &amp; LT</v>
          </cell>
          <cell r="D14">
            <v>19831215</v>
          </cell>
          <cell r="E14" t="str">
            <v>EPS</v>
          </cell>
          <cell r="F14" t="str">
            <v>ANN</v>
          </cell>
          <cell r="G14">
            <v>1</v>
          </cell>
          <cell r="H14">
            <v>22</v>
          </cell>
          <cell r="I14">
            <v>0.33</v>
          </cell>
          <cell r="J14">
            <v>0.33</v>
          </cell>
          <cell r="K14">
            <v>1</v>
          </cell>
          <cell r="L14">
            <v>19831231</v>
          </cell>
          <cell r="M14">
            <v>0.31380000000000002</v>
          </cell>
          <cell r="N14">
            <v>19840128</v>
          </cell>
        </row>
        <row r="15">
          <cell r="A15" t="str">
            <v>HE</v>
          </cell>
          <cell r="B15" t="str">
            <v>HE</v>
          </cell>
          <cell r="C15" t="str">
            <v>HAWAIIAN ELEC</v>
          </cell>
          <cell r="D15">
            <v>19831215</v>
          </cell>
          <cell r="E15" t="str">
            <v>EPS</v>
          </cell>
          <cell r="F15" t="str">
            <v>ANN</v>
          </cell>
          <cell r="G15">
            <v>1</v>
          </cell>
          <cell r="H15">
            <v>11</v>
          </cell>
          <cell r="I15">
            <v>0.94</v>
          </cell>
          <cell r="J15">
            <v>0.88</v>
          </cell>
          <cell r="K15">
            <v>1</v>
          </cell>
          <cell r="L15">
            <v>19831231</v>
          </cell>
          <cell r="M15">
            <v>1.03</v>
          </cell>
          <cell r="N15">
            <v>19840214</v>
          </cell>
        </row>
        <row r="16">
          <cell r="A16" t="str">
            <v>IDA</v>
          </cell>
          <cell r="B16" t="str">
            <v>IDA</v>
          </cell>
          <cell r="C16" t="str">
            <v>IDAHO POWER CO</v>
          </cell>
          <cell r="D16">
            <v>19831215</v>
          </cell>
          <cell r="E16" t="str">
            <v>EPS</v>
          </cell>
          <cell r="F16" t="str">
            <v>ANN</v>
          </cell>
          <cell r="G16">
            <v>1</v>
          </cell>
          <cell r="H16">
            <v>12</v>
          </cell>
          <cell r="I16">
            <v>2.11</v>
          </cell>
          <cell r="J16">
            <v>2.1</v>
          </cell>
          <cell r="K16">
            <v>1</v>
          </cell>
          <cell r="L16">
            <v>19831231</v>
          </cell>
          <cell r="M16">
            <v>2.25</v>
          </cell>
          <cell r="N16">
            <v>19840131</v>
          </cell>
        </row>
        <row r="17">
          <cell r="A17" t="str">
            <v>NU</v>
          </cell>
          <cell r="B17" t="str">
            <v>NU</v>
          </cell>
          <cell r="C17" t="str">
            <v>NORTHEAST UTILS</v>
          </cell>
          <cell r="D17">
            <v>19831215</v>
          </cell>
          <cell r="E17" t="str">
            <v>EPS</v>
          </cell>
          <cell r="F17" t="str">
            <v>ANN</v>
          </cell>
          <cell r="G17">
            <v>1</v>
          </cell>
          <cell r="H17">
            <v>17</v>
          </cell>
          <cell r="I17">
            <v>2.2000000000000002</v>
          </cell>
          <cell r="J17">
            <v>2.1800000000000002</v>
          </cell>
          <cell r="K17">
            <v>1</v>
          </cell>
          <cell r="L17">
            <v>19831231</v>
          </cell>
          <cell r="M17">
            <v>2.37</v>
          </cell>
          <cell r="N17">
            <v>19840127</v>
          </cell>
        </row>
        <row r="18">
          <cell r="A18" t="str">
            <v>OGE</v>
          </cell>
          <cell r="B18" t="str">
            <v>OGE</v>
          </cell>
          <cell r="C18" t="str">
            <v>OKLAHOMA G&amp;E</v>
          </cell>
          <cell r="D18">
            <v>19831215</v>
          </cell>
          <cell r="E18" t="str">
            <v>EPS</v>
          </cell>
          <cell r="F18" t="str">
            <v>ANN</v>
          </cell>
          <cell r="G18">
            <v>1</v>
          </cell>
          <cell r="H18">
            <v>21</v>
          </cell>
          <cell r="I18">
            <v>0.65</v>
          </cell>
          <cell r="J18">
            <v>0.64</v>
          </cell>
          <cell r="K18">
            <v>1</v>
          </cell>
          <cell r="L18">
            <v>19831231</v>
          </cell>
          <cell r="M18">
            <v>0.67</v>
          </cell>
          <cell r="N18">
            <v>19840211</v>
          </cell>
        </row>
        <row r="19">
          <cell r="A19" t="str">
            <v>OTTR</v>
          </cell>
          <cell r="B19" t="str">
            <v>OTTR</v>
          </cell>
          <cell r="C19" t="str">
            <v>OTTER TAIL PWR</v>
          </cell>
          <cell r="D19">
            <v>19831215</v>
          </cell>
          <cell r="E19" t="str">
            <v>EPS</v>
          </cell>
          <cell r="F19" t="str">
            <v>ANN</v>
          </cell>
          <cell r="G19">
            <v>1</v>
          </cell>
          <cell r="H19">
            <v>3</v>
          </cell>
          <cell r="I19">
            <v>0.79</v>
          </cell>
          <cell r="J19">
            <v>0.78</v>
          </cell>
          <cell r="K19">
            <v>1</v>
          </cell>
          <cell r="L19">
            <v>19831231</v>
          </cell>
          <cell r="M19">
            <v>0.8</v>
          </cell>
          <cell r="N19">
            <v>19840202</v>
          </cell>
        </row>
        <row r="20">
          <cell r="A20" t="str">
            <v>OTTR</v>
          </cell>
          <cell r="B20" t="str">
            <v>OTU</v>
          </cell>
          <cell r="C20" t="str">
            <v>OUTLET CO</v>
          </cell>
          <cell r="D20">
            <v>19831215</v>
          </cell>
          <cell r="E20" t="str">
            <v>EPS</v>
          </cell>
          <cell r="F20" t="str">
            <v>ANN</v>
          </cell>
          <cell r="G20">
            <v>1</v>
          </cell>
          <cell r="H20">
            <v>1</v>
          </cell>
          <cell r="I20">
            <v>1.85</v>
          </cell>
          <cell r="J20">
            <v>1.85</v>
          </cell>
          <cell r="K20">
            <v>1</v>
          </cell>
          <cell r="L20">
            <v>19840131</v>
          </cell>
        </row>
        <row r="21">
          <cell r="A21" t="str">
            <v>PCG</v>
          </cell>
          <cell r="B21" t="str">
            <v>PCG</v>
          </cell>
          <cell r="C21" t="str">
            <v>PACIFIC G&amp;E</v>
          </cell>
          <cell r="D21">
            <v>19831215</v>
          </cell>
          <cell r="E21" t="str">
            <v>EPS</v>
          </cell>
          <cell r="F21" t="str">
            <v>ANN</v>
          </cell>
          <cell r="G21">
            <v>1</v>
          </cell>
          <cell r="H21">
            <v>19</v>
          </cell>
          <cell r="I21">
            <v>2.2999999999999998</v>
          </cell>
          <cell r="J21">
            <v>2.2999999999999998</v>
          </cell>
          <cell r="K21">
            <v>1</v>
          </cell>
          <cell r="L21">
            <v>19831231</v>
          </cell>
        </row>
        <row r="22">
          <cell r="A22" t="str">
            <v>PEG</v>
          </cell>
          <cell r="B22" t="str">
            <v>PEG</v>
          </cell>
          <cell r="C22" t="str">
            <v>PUB SVC E&amp;G</v>
          </cell>
          <cell r="D22">
            <v>19831215</v>
          </cell>
          <cell r="E22" t="str">
            <v>EPS</v>
          </cell>
          <cell r="F22" t="str">
            <v>ANN</v>
          </cell>
          <cell r="G22">
            <v>1</v>
          </cell>
          <cell r="H22">
            <v>20</v>
          </cell>
          <cell r="I22">
            <v>1.08</v>
          </cell>
          <cell r="J22">
            <v>1.0900000000000001</v>
          </cell>
          <cell r="K22">
            <v>1</v>
          </cell>
          <cell r="L22">
            <v>19831231</v>
          </cell>
          <cell r="M22">
            <v>1.1433</v>
          </cell>
          <cell r="N22">
            <v>19840119</v>
          </cell>
        </row>
        <row r="23">
          <cell r="A23" t="str">
            <v>PGN</v>
          </cell>
          <cell r="B23" t="str">
            <v>PGN</v>
          </cell>
          <cell r="C23" t="str">
            <v>PORTLD GEN ELEC</v>
          </cell>
          <cell r="D23">
            <v>19831215</v>
          </cell>
          <cell r="E23" t="str">
            <v>EPS</v>
          </cell>
          <cell r="F23" t="str">
            <v>ANN</v>
          </cell>
          <cell r="G23">
            <v>1</v>
          </cell>
          <cell r="H23">
            <v>8</v>
          </cell>
          <cell r="I23">
            <v>2.4500000000000002</v>
          </cell>
          <cell r="J23">
            <v>2.52</v>
          </cell>
          <cell r="K23">
            <v>1</v>
          </cell>
          <cell r="L23">
            <v>19831231</v>
          </cell>
          <cell r="M23">
            <v>3.01</v>
          </cell>
          <cell r="N23">
            <v>19840301</v>
          </cell>
        </row>
        <row r="24">
          <cell r="A24" t="str">
            <v>PNM</v>
          </cell>
          <cell r="B24" t="str">
            <v>PNM</v>
          </cell>
          <cell r="C24" t="str">
            <v>PUB SVC N MEX</v>
          </cell>
          <cell r="D24">
            <v>19831215</v>
          </cell>
          <cell r="E24" t="str">
            <v>EPS</v>
          </cell>
          <cell r="F24" t="str">
            <v>ANN</v>
          </cell>
          <cell r="G24">
            <v>1</v>
          </cell>
          <cell r="H24">
            <v>12</v>
          </cell>
          <cell r="I24">
            <v>2.17</v>
          </cell>
          <cell r="J24">
            <v>2.21</v>
          </cell>
          <cell r="K24">
            <v>1</v>
          </cell>
          <cell r="L24">
            <v>19831231</v>
          </cell>
          <cell r="M24">
            <v>2.3532999999999999</v>
          </cell>
          <cell r="N24">
            <v>19840216</v>
          </cell>
        </row>
        <row r="25">
          <cell r="A25" t="str">
            <v>POM</v>
          </cell>
          <cell r="B25" t="str">
            <v>POM</v>
          </cell>
          <cell r="C25" t="str">
            <v>POTOMAC ELEC</v>
          </cell>
          <cell r="D25">
            <v>19831215</v>
          </cell>
          <cell r="E25" t="str">
            <v>EPS</v>
          </cell>
          <cell r="F25" t="str">
            <v>ANN</v>
          </cell>
          <cell r="G25">
            <v>1</v>
          </cell>
          <cell r="H25">
            <v>20</v>
          </cell>
          <cell r="I25">
            <v>1.27</v>
          </cell>
          <cell r="J25">
            <v>1.28</v>
          </cell>
          <cell r="K25">
            <v>1</v>
          </cell>
          <cell r="L25">
            <v>19831231</v>
          </cell>
          <cell r="M25">
            <v>1.33</v>
          </cell>
          <cell r="N25">
            <v>19840120</v>
          </cell>
        </row>
        <row r="26">
          <cell r="A26" t="str">
            <v>POR</v>
          </cell>
          <cell r="B26" t="str">
            <v>POR</v>
          </cell>
          <cell r="C26" t="str">
            <v>PORTEC INC</v>
          </cell>
          <cell r="D26">
            <v>19831215</v>
          </cell>
          <cell r="E26" t="str">
            <v>EPS</v>
          </cell>
          <cell r="F26" t="str">
            <v>ANN</v>
          </cell>
          <cell r="G26">
            <v>1</v>
          </cell>
          <cell r="H26">
            <v>3</v>
          </cell>
          <cell r="I26">
            <v>7.0000000000000007E-2</v>
          </cell>
          <cell r="J26">
            <v>-0.19</v>
          </cell>
          <cell r="K26">
            <v>1</v>
          </cell>
          <cell r="L26">
            <v>19831231</v>
          </cell>
          <cell r="M26">
            <v>-0.77390000000000003</v>
          </cell>
          <cell r="N26">
            <v>19840131</v>
          </cell>
        </row>
        <row r="27">
          <cell r="A27" t="str">
            <v>POR</v>
          </cell>
          <cell r="B27" t="str">
            <v>POS</v>
          </cell>
          <cell r="C27" t="str">
            <v>POST CP</v>
          </cell>
          <cell r="D27">
            <v>19831215</v>
          </cell>
          <cell r="E27" t="str">
            <v>EPS</v>
          </cell>
          <cell r="F27" t="str">
            <v>ANN</v>
          </cell>
          <cell r="G27">
            <v>1</v>
          </cell>
          <cell r="H27">
            <v>1</v>
          </cell>
          <cell r="I27">
            <v>2.75</v>
          </cell>
          <cell r="J27">
            <v>2.75</v>
          </cell>
          <cell r="K27">
            <v>1</v>
          </cell>
          <cell r="L27">
            <v>19831231</v>
          </cell>
          <cell r="M27">
            <v>3.6</v>
          </cell>
        </row>
        <row r="28">
          <cell r="A28" t="str">
            <v>PPL</v>
          </cell>
          <cell r="B28" t="str">
            <v>PPL</v>
          </cell>
          <cell r="C28" t="str">
            <v>PENNA P&amp;L</v>
          </cell>
          <cell r="D28">
            <v>19831215</v>
          </cell>
          <cell r="E28" t="str">
            <v>EPS</v>
          </cell>
          <cell r="F28" t="str">
            <v>ANN</v>
          </cell>
          <cell r="G28">
            <v>1</v>
          </cell>
          <cell r="H28">
            <v>15</v>
          </cell>
          <cell r="I28">
            <v>0.81</v>
          </cell>
          <cell r="J28">
            <v>0.82</v>
          </cell>
          <cell r="K28">
            <v>1</v>
          </cell>
          <cell r="L28">
            <v>19831231</v>
          </cell>
          <cell r="M28">
            <v>0.76500000000000001</v>
          </cell>
          <cell r="N28">
            <v>19840126</v>
          </cell>
        </row>
        <row r="29">
          <cell r="A29" t="str">
            <v>PSD</v>
          </cell>
          <cell r="B29" t="str">
            <v>PSD</v>
          </cell>
          <cell r="C29" t="str">
            <v>PUGET SOUND P&amp;L</v>
          </cell>
          <cell r="D29">
            <v>19831215</v>
          </cell>
          <cell r="E29" t="str">
            <v>EPS</v>
          </cell>
          <cell r="F29" t="str">
            <v>ANN</v>
          </cell>
          <cell r="G29">
            <v>1</v>
          </cell>
          <cell r="H29">
            <v>7</v>
          </cell>
          <cell r="I29">
            <v>1.85</v>
          </cell>
          <cell r="J29">
            <v>1.86</v>
          </cell>
          <cell r="K29">
            <v>1</v>
          </cell>
          <cell r="L29">
            <v>19831231</v>
          </cell>
          <cell r="M29">
            <v>1.93</v>
          </cell>
          <cell r="N29">
            <v>19840214</v>
          </cell>
        </row>
        <row r="30">
          <cell r="A30" t="str">
            <v>SCG</v>
          </cell>
          <cell r="B30" t="str">
            <v>SCG</v>
          </cell>
          <cell r="C30" t="str">
            <v>SO CAROLINA EG</v>
          </cell>
          <cell r="D30">
            <v>19831215</v>
          </cell>
          <cell r="E30" t="str">
            <v>EPS</v>
          </cell>
          <cell r="F30" t="str">
            <v>ANN</v>
          </cell>
          <cell r="G30">
            <v>1</v>
          </cell>
          <cell r="H30">
            <v>13</v>
          </cell>
          <cell r="I30">
            <v>1.2</v>
          </cell>
          <cell r="J30">
            <v>1.21</v>
          </cell>
          <cell r="K30">
            <v>1</v>
          </cell>
          <cell r="L30">
            <v>19831231</v>
          </cell>
          <cell r="M30">
            <v>1.145</v>
          </cell>
          <cell r="N30">
            <v>19840128</v>
          </cell>
        </row>
        <row r="31">
          <cell r="A31" t="str">
            <v>SO</v>
          </cell>
          <cell r="B31" t="str">
            <v>SO</v>
          </cell>
          <cell r="C31" t="str">
            <v>SOUTHN CO</v>
          </cell>
          <cell r="D31">
            <v>19831215</v>
          </cell>
          <cell r="E31" t="str">
            <v>EPS</v>
          </cell>
          <cell r="F31" t="str">
            <v>ANN</v>
          </cell>
          <cell r="G31">
            <v>1</v>
          </cell>
          <cell r="H31">
            <v>20</v>
          </cell>
          <cell r="I31">
            <v>1.17</v>
          </cell>
          <cell r="J31">
            <v>1.18</v>
          </cell>
          <cell r="K31">
            <v>1</v>
          </cell>
          <cell r="L31">
            <v>19831231</v>
          </cell>
          <cell r="M31">
            <v>1.335</v>
          </cell>
          <cell r="N31">
            <v>19840208</v>
          </cell>
        </row>
        <row r="32">
          <cell r="A32" t="str">
            <v>TE</v>
          </cell>
          <cell r="B32" t="str">
            <v>TE</v>
          </cell>
          <cell r="C32" t="str">
            <v>TECO ENERGY INC</v>
          </cell>
          <cell r="D32">
            <v>19831215</v>
          </cell>
          <cell r="E32" t="str">
            <v>EPS</v>
          </cell>
          <cell r="F32" t="str">
            <v>ANN</v>
          </cell>
          <cell r="G32">
            <v>1</v>
          </cell>
          <cell r="H32">
            <v>19</v>
          </cell>
          <cell r="I32">
            <v>0.8</v>
          </cell>
          <cell r="J32">
            <v>0.79</v>
          </cell>
          <cell r="K32">
            <v>1</v>
          </cell>
          <cell r="L32">
            <v>19831231</v>
          </cell>
          <cell r="M32">
            <v>0.78500000000000003</v>
          </cell>
          <cell r="N32">
            <v>19840124</v>
          </cell>
        </row>
        <row r="33">
          <cell r="A33" t="str">
            <v>UIL</v>
          </cell>
          <cell r="B33" t="str">
            <v>UIL</v>
          </cell>
          <cell r="C33" t="str">
            <v>UTD ILLUM CO</v>
          </cell>
          <cell r="D33">
            <v>19831215</v>
          </cell>
          <cell r="E33" t="str">
            <v>EPS</v>
          </cell>
          <cell r="F33" t="str">
            <v>ANN</v>
          </cell>
          <cell r="G33">
            <v>1</v>
          </cell>
          <cell r="H33">
            <v>1</v>
          </cell>
          <cell r="I33">
            <v>3.33</v>
          </cell>
          <cell r="J33">
            <v>3.33</v>
          </cell>
          <cell r="K33">
            <v>1</v>
          </cell>
          <cell r="L33">
            <v>19831231</v>
          </cell>
          <cell r="M33">
            <v>3.4020000000000001</v>
          </cell>
          <cell r="N33">
            <v>19840127</v>
          </cell>
        </row>
        <row r="34">
          <cell r="A34" t="str">
            <v>WPS</v>
          </cell>
          <cell r="B34" t="str">
            <v>WPS</v>
          </cell>
          <cell r="C34" t="str">
            <v>WISC PUB SVC</v>
          </cell>
          <cell r="D34">
            <v>19831215</v>
          </cell>
          <cell r="E34" t="str">
            <v>EPS</v>
          </cell>
          <cell r="F34" t="str">
            <v>ANN</v>
          </cell>
          <cell r="G34">
            <v>1</v>
          </cell>
          <cell r="H34">
            <v>14</v>
          </cell>
          <cell r="I34">
            <v>1.85</v>
          </cell>
          <cell r="J34">
            <v>1.84</v>
          </cell>
          <cell r="K34">
            <v>1</v>
          </cell>
          <cell r="L34">
            <v>19831231</v>
          </cell>
          <cell r="M34">
            <v>1.9450000000000001</v>
          </cell>
        </row>
      </sheetData>
    </sheetDataSet>
  </externalBook>
</externalLink>
</file>

<file path=xl/externalLinks/externalLink1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RDS"/>
    </sheetNames>
    <sheetDataSet>
      <sheetData sheetId="0">
        <row r="1">
          <cell r="A1" t="str">
            <v>OFTIC</v>
          </cell>
          <cell r="B1" t="str">
            <v>IBES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USFIRM=0 if from .INT file and USFIRM=1 if from .US file</v>
          </cell>
          <cell r="M1" t="str">
            <v>Forecast Period End Date (SAS Format)</v>
          </cell>
          <cell r="N1" t="str">
            <v>Actual Value, from the Detail Actuals File</v>
          </cell>
          <cell r="O1" t="str">
            <v>Announce date of the Actual, from the Detail Actuals File</v>
          </cell>
        </row>
        <row r="2">
          <cell r="A2" t="str">
            <v>BKH</v>
          </cell>
          <cell r="B2" t="str">
            <v>BHP</v>
          </cell>
          <cell r="C2" t="str">
            <v>BLACK HILLS CORP</v>
          </cell>
          <cell r="D2">
            <v>19831215</v>
          </cell>
          <cell r="E2" t="str">
            <v>EPS</v>
          </cell>
          <cell r="F2" t="str">
            <v>LTG</v>
          </cell>
          <cell r="G2">
            <v>0</v>
          </cell>
          <cell r="H2">
            <v>1</v>
          </cell>
          <cell r="I2">
            <v>5</v>
          </cell>
          <cell r="J2">
            <v>5</v>
          </cell>
          <cell r="L2">
            <v>1</v>
          </cell>
        </row>
        <row r="3">
          <cell r="A3" t="str">
            <v>CIN</v>
          </cell>
          <cell r="B3" t="str">
            <v>CIN</v>
          </cell>
          <cell r="C3" t="str">
            <v>CINN GAS &amp; EL</v>
          </cell>
          <cell r="D3">
            <v>19831215</v>
          </cell>
          <cell r="E3" t="str">
            <v>EPS</v>
          </cell>
          <cell r="F3" t="str">
            <v>LTG</v>
          </cell>
          <cell r="G3">
            <v>0</v>
          </cell>
          <cell r="H3">
            <v>13</v>
          </cell>
          <cell r="I3">
            <v>4</v>
          </cell>
          <cell r="J3">
            <v>4</v>
          </cell>
          <cell r="K3">
            <v>1</v>
          </cell>
          <cell r="L3">
            <v>1</v>
          </cell>
        </row>
        <row r="4">
          <cell r="A4" t="str">
            <v>CMS</v>
          </cell>
          <cell r="B4" t="str">
            <v>CMS</v>
          </cell>
          <cell r="C4" t="str">
            <v>CONSUMERS PWR</v>
          </cell>
          <cell r="D4">
            <v>19831215</v>
          </cell>
          <cell r="E4" t="str">
            <v>EPS</v>
          </cell>
          <cell r="F4" t="str">
            <v>LTG</v>
          </cell>
          <cell r="G4">
            <v>0</v>
          </cell>
          <cell r="H4">
            <v>11</v>
          </cell>
          <cell r="I4">
            <v>4</v>
          </cell>
          <cell r="J4">
            <v>3.7</v>
          </cell>
          <cell r="K4">
            <v>1.2</v>
          </cell>
          <cell r="L4">
            <v>1</v>
          </cell>
        </row>
        <row r="5">
          <cell r="A5" t="str">
            <v>CNL</v>
          </cell>
          <cell r="B5" t="str">
            <v>CNL</v>
          </cell>
          <cell r="C5" t="str">
            <v>CENT LA ELEC INC</v>
          </cell>
          <cell r="D5">
            <v>19831215</v>
          </cell>
          <cell r="E5" t="str">
            <v>EPS</v>
          </cell>
          <cell r="F5" t="str">
            <v>LTG</v>
          </cell>
          <cell r="G5">
            <v>0</v>
          </cell>
          <cell r="H5">
            <v>2</v>
          </cell>
          <cell r="I5">
            <v>5.25</v>
          </cell>
          <cell r="J5">
            <v>5.25</v>
          </cell>
          <cell r="K5">
            <v>0</v>
          </cell>
          <cell r="L5">
            <v>1</v>
          </cell>
        </row>
        <row r="6">
          <cell r="A6" t="str">
            <v>D</v>
          </cell>
          <cell r="B6" t="str">
            <v>D</v>
          </cell>
          <cell r="C6" t="str">
            <v>DOMINION RES INC</v>
          </cell>
          <cell r="D6">
            <v>19831215</v>
          </cell>
          <cell r="E6" t="str">
            <v>EPS</v>
          </cell>
          <cell r="F6" t="str">
            <v>LTG</v>
          </cell>
          <cell r="G6">
            <v>0</v>
          </cell>
          <cell r="H6">
            <v>14</v>
          </cell>
          <cell r="I6">
            <v>5</v>
          </cell>
          <cell r="J6">
            <v>5</v>
          </cell>
          <cell r="K6">
            <v>0</v>
          </cell>
          <cell r="L6">
            <v>1</v>
          </cell>
        </row>
        <row r="7">
          <cell r="A7" t="str">
            <v>DPL</v>
          </cell>
          <cell r="B7" t="str">
            <v>DPL</v>
          </cell>
          <cell r="C7" t="str">
            <v>DAYTON P &amp; L</v>
          </cell>
          <cell r="D7">
            <v>19831215</v>
          </cell>
          <cell r="E7" t="str">
            <v>EPS</v>
          </cell>
          <cell r="F7" t="str">
            <v>LTG</v>
          </cell>
          <cell r="G7">
            <v>0</v>
          </cell>
          <cell r="H7">
            <v>7</v>
          </cell>
          <cell r="I7">
            <v>4</v>
          </cell>
          <cell r="J7">
            <v>3.7</v>
          </cell>
          <cell r="K7">
            <v>1.4</v>
          </cell>
          <cell r="L7">
            <v>1</v>
          </cell>
        </row>
        <row r="8">
          <cell r="A8" t="str">
            <v>DTE</v>
          </cell>
          <cell r="B8" t="str">
            <v>DTE</v>
          </cell>
          <cell r="C8" t="str">
            <v>DETROIT EDISON</v>
          </cell>
          <cell r="D8">
            <v>19831215</v>
          </cell>
          <cell r="E8" t="str">
            <v>EPS</v>
          </cell>
          <cell r="F8" t="str">
            <v>LTG</v>
          </cell>
          <cell r="G8">
            <v>0</v>
          </cell>
          <cell r="H8">
            <v>10</v>
          </cell>
          <cell r="I8">
            <v>3</v>
          </cell>
          <cell r="J8">
            <v>3.6</v>
          </cell>
          <cell r="K8">
            <v>1</v>
          </cell>
          <cell r="L8">
            <v>1</v>
          </cell>
        </row>
        <row r="9">
          <cell r="A9" t="str">
            <v>DUK</v>
          </cell>
          <cell r="B9" t="str">
            <v>DUK</v>
          </cell>
          <cell r="C9" t="str">
            <v>DUKE POWER CO</v>
          </cell>
          <cell r="D9">
            <v>19831215</v>
          </cell>
          <cell r="E9" t="str">
            <v>EPS</v>
          </cell>
          <cell r="F9" t="str">
            <v>LTG</v>
          </cell>
          <cell r="G9">
            <v>0</v>
          </cell>
          <cell r="H9">
            <v>14</v>
          </cell>
          <cell r="I9">
            <v>5.3</v>
          </cell>
          <cell r="J9">
            <v>5.5</v>
          </cell>
          <cell r="K9">
            <v>1</v>
          </cell>
          <cell r="L9">
            <v>1</v>
          </cell>
        </row>
        <row r="10">
          <cell r="A10" t="str">
            <v>ED</v>
          </cell>
          <cell r="B10" t="str">
            <v>ED</v>
          </cell>
          <cell r="C10" t="str">
            <v>CONSOL EDISON</v>
          </cell>
          <cell r="D10">
            <v>19831215</v>
          </cell>
          <cell r="E10" t="str">
            <v>EPS</v>
          </cell>
          <cell r="F10" t="str">
            <v>LTG</v>
          </cell>
          <cell r="G10">
            <v>0</v>
          </cell>
          <cell r="H10">
            <v>12</v>
          </cell>
          <cell r="I10">
            <v>6</v>
          </cell>
          <cell r="J10">
            <v>6.1</v>
          </cell>
          <cell r="K10">
            <v>1.2</v>
          </cell>
          <cell r="L10">
            <v>1</v>
          </cell>
        </row>
        <row r="11">
          <cell r="A11" t="str">
            <v>EDE</v>
          </cell>
          <cell r="B11" t="str">
            <v>EDE</v>
          </cell>
          <cell r="C11" t="str">
            <v>EMPIRE DIST ELEC</v>
          </cell>
          <cell r="D11">
            <v>19831215</v>
          </cell>
          <cell r="E11" t="str">
            <v>EPS</v>
          </cell>
          <cell r="F11" t="str">
            <v>LTG</v>
          </cell>
          <cell r="G11">
            <v>0</v>
          </cell>
          <cell r="H11">
            <v>1</v>
          </cell>
          <cell r="I11">
            <v>3</v>
          </cell>
          <cell r="J11">
            <v>3</v>
          </cell>
          <cell r="L11">
            <v>1</v>
          </cell>
        </row>
        <row r="12">
          <cell r="A12" t="str">
            <v>FPL</v>
          </cell>
          <cell r="B12" t="str">
            <v>FPL</v>
          </cell>
          <cell r="C12" t="str">
            <v>FLA PWR &amp; LT</v>
          </cell>
          <cell r="D12">
            <v>19831215</v>
          </cell>
          <cell r="E12" t="str">
            <v>EPS</v>
          </cell>
          <cell r="F12" t="str">
            <v>LTG</v>
          </cell>
          <cell r="G12">
            <v>0</v>
          </cell>
          <cell r="H12">
            <v>15</v>
          </cell>
          <cell r="I12">
            <v>6</v>
          </cell>
          <cell r="J12">
            <v>6.4</v>
          </cell>
          <cell r="K12">
            <v>1.4</v>
          </cell>
          <cell r="L12">
            <v>1</v>
          </cell>
        </row>
        <row r="13">
          <cell r="A13" t="str">
            <v>HE</v>
          </cell>
          <cell r="B13" t="str">
            <v>HE</v>
          </cell>
          <cell r="C13" t="str">
            <v>HAWAIIAN ELEC</v>
          </cell>
          <cell r="D13">
            <v>19831215</v>
          </cell>
          <cell r="E13" t="str">
            <v>EPS</v>
          </cell>
          <cell r="F13" t="str">
            <v>LTG</v>
          </cell>
          <cell r="G13">
            <v>0</v>
          </cell>
          <cell r="H13">
            <v>8</v>
          </cell>
          <cell r="I13">
            <v>6.5</v>
          </cell>
          <cell r="J13">
            <v>7.1</v>
          </cell>
          <cell r="K13">
            <v>4.5999999999999996</v>
          </cell>
          <cell r="L13">
            <v>1</v>
          </cell>
        </row>
        <row r="14">
          <cell r="A14" t="str">
            <v>IDA</v>
          </cell>
          <cell r="B14" t="str">
            <v>IDA</v>
          </cell>
          <cell r="C14" t="str">
            <v>IDAHO POWER CO</v>
          </cell>
          <cell r="D14">
            <v>19831215</v>
          </cell>
          <cell r="E14" t="str">
            <v>EPS</v>
          </cell>
          <cell r="F14" t="str">
            <v>LTG</v>
          </cell>
          <cell r="G14">
            <v>0</v>
          </cell>
          <cell r="H14">
            <v>8</v>
          </cell>
          <cell r="I14">
            <v>4.0999999999999996</v>
          </cell>
          <cell r="J14">
            <v>3.7</v>
          </cell>
          <cell r="K14">
            <v>1.6</v>
          </cell>
          <cell r="L14">
            <v>1</v>
          </cell>
        </row>
        <row r="15">
          <cell r="A15" t="str">
            <v>NU</v>
          </cell>
          <cell r="B15" t="str">
            <v>NU</v>
          </cell>
          <cell r="C15" t="str">
            <v>NORTHEAST UTILS</v>
          </cell>
          <cell r="D15">
            <v>19831215</v>
          </cell>
          <cell r="E15" t="str">
            <v>EPS</v>
          </cell>
          <cell r="F15" t="str">
            <v>LTG</v>
          </cell>
          <cell r="G15">
            <v>0</v>
          </cell>
          <cell r="H15">
            <v>11</v>
          </cell>
          <cell r="I15">
            <v>5</v>
          </cell>
          <cell r="J15">
            <v>5.6</v>
          </cell>
          <cell r="K15">
            <v>1.6</v>
          </cell>
          <cell r="L15">
            <v>1</v>
          </cell>
        </row>
        <row r="16">
          <cell r="A16" t="str">
            <v>OGE</v>
          </cell>
          <cell r="B16" t="str">
            <v>OGE</v>
          </cell>
          <cell r="C16" t="str">
            <v>OKLAHOMA G&amp;E</v>
          </cell>
          <cell r="D16">
            <v>19831215</v>
          </cell>
          <cell r="E16" t="str">
            <v>EPS</v>
          </cell>
          <cell r="F16" t="str">
            <v>LTG</v>
          </cell>
          <cell r="G16">
            <v>0</v>
          </cell>
          <cell r="H16">
            <v>14</v>
          </cell>
          <cell r="I16">
            <v>5.5</v>
          </cell>
          <cell r="J16">
            <v>5.5</v>
          </cell>
          <cell r="K16">
            <v>1.3</v>
          </cell>
          <cell r="L16">
            <v>1</v>
          </cell>
        </row>
        <row r="17">
          <cell r="A17" t="str">
            <v>OTTR</v>
          </cell>
          <cell r="B17" t="str">
            <v>OTTR</v>
          </cell>
          <cell r="C17" t="str">
            <v>OTTER TAIL PWR</v>
          </cell>
          <cell r="D17">
            <v>19831215</v>
          </cell>
          <cell r="E17" t="str">
            <v>EPS</v>
          </cell>
          <cell r="F17" t="str">
            <v>LTG</v>
          </cell>
          <cell r="G17">
            <v>0</v>
          </cell>
          <cell r="H17">
            <v>3</v>
          </cell>
          <cell r="I17">
            <v>5</v>
          </cell>
          <cell r="J17">
            <v>4.8</v>
          </cell>
          <cell r="K17">
            <v>1.8</v>
          </cell>
          <cell r="L17">
            <v>1</v>
          </cell>
        </row>
        <row r="18">
          <cell r="A18" t="str">
            <v>PCG</v>
          </cell>
          <cell r="B18" t="str">
            <v>PCG</v>
          </cell>
          <cell r="C18" t="str">
            <v>PACIFIC G&amp;E</v>
          </cell>
          <cell r="D18">
            <v>19831215</v>
          </cell>
          <cell r="E18" t="str">
            <v>EPS</v>
          </cell>
          <cell r="F18" t="str">
            <v>LTG</v>
          </cell>
          <cell r="G18">
            <v>0</v>
          </cell>
          <cell r="H18">
            <v>12</v>
          </cell>
          <cell r="I18">
            <v>6</v>
          </cell>
          <cell r="J18">
            <v>5.8</v>
          </cell>
          <cell r="K18">
            <v>1</v>
          </cell>
          <cell r="L18">
            <v>1</v>
          </cell>
        </row>
        <row r="19">
          <cell r="A19" t="str">
            <v>PEG</v>
          </cell>
          <cell r="B19" t="str">
            <v>PEG</v>
          </cell>
          <cell r="C19" t="str">
            <v>PUB SVC E&amp;G</v>
          </cell>
          <cell r="D19">
            <v>19831215</v>
          </cell>
          <cell r="E19" t="str">
            <v>EPS</v>
          </cell>
          <cell r="F19" t="str">
            <v>LTG</v>
          </cell>
          <cell r="G19">
            <v>0</v>
          </cell>
          <cell r="H19">
            <v>14</v>
          </cell>
          <cell r="I19">
            <v>4.2</v>
          </cell>
          <cell r="J19">
            <v>4.5</v>
          </cell>
          <cell r="K19">
            <v>1</v>
          </cell>
          <cell r="L19">
            <v>1</v>
          </cell>
        </row>
        <row r="20">
          <cell r="A20" t="str">
            <v>PGN</v>
          </cell>
          <cell r="B20" t="str">
            <v>PGN</v>
          </cell>
          <cell r="C20" t="str">
            <v>PORTLD GEN ELEC</v>
          </cell>
          <cell r="D20">
            <v>19831215</v>
          </cell>
          <cell r="E20" t="str">
            <v>EPS</v>
          </cell>
          <cell r="F20" t="str">
            <v>LTG</v>
          </cell>
          <cell r="G20">
            <v>0</v>
          </cell>
          <cell r="H20">
            <v>6</v>
          </cell>
          <cell r="I20">
            <v>3.3</v>
          </cell>
          <cell r="J20">
            <v>3.6</v>
          </cell>
          <cell r="K20">
            <v>0.8</v>
          </cell>
          <cell r="L20">
            <v>1</v>
          </cell>
        </row>
        <row r="21">
          <cell r="A21" t="str">
            <v>PNM</v>
          </cell>
          <cell r="B21" t="str">
            <v>PNM</v>
          </cell>
          <cell r="C21" t="str">
            <v>PUB SVC N MEX</v>
          </cell>
          <cell r="D21">
            <v>19831215</v>
          </cell>
          <cell r="E21" t="str">
            <v>EPS</v>
          </cell>
          <cell r="F21" t="str">
            <v>LTG</v>
          </cell>
          <cell r="G21">
            <v>0</v>
          </cell>
          <cell r="H21">
            <v>8</v>
          </cell>
          <cell r="I21">
            <v>5.2</v>
          </cell>
          <cell r="J21">
            <v>5.3</v>
          </cell>
          <cell r="K21">
            <v>1.4</v>
          </cell>
          <cell r="L21">
            <v>1</v>
          </cell>
        </row>
        <row r="22">
          <cell r="A22" t="str">
            <v>POM</v>
          </cell>
          <cell r="B22" t="str">
            <v>POM</v>
          </cell>
          <cell r="C22" t="str">
            <v>POTOMAC ELEC</v>
          </cell>
          <cell r="D22">
            <v>19831215</v>
          </cell>
          <cell r="E22" t="str">
            <v>EPS</v>
          </cell>
          <cell r="F22" t="str">
            <v>LTG</v>
          </cell>
          <cell r="G22">
            <v>0</v>
          </cell>
          <cell r="H22">
            <v>13</v>
          </cell>
          <cell r="I22">
            <v>6</v>
          </cell>
          <cell r="J22">
            <v>5.5</v>
          </cell>
          <cell r="K22">
            <v>0.6</v>
          </cell>
          <cell r="L22">
            <v>1</v>
          </cell>
        </row>
        <row r="23">
          <cell r="A23" t="str">
            <v>POR</v>
          </cell>
          <cell r="B23" t="str">
            <v>POR</v>
          </cell>
          <cell r="C23" t="str">
            <v>PORTEC INC</v>
          </cell>
          <cell r="D23">
            <v>19831215</v>
          </cell>
          <cell r="E23" t="str">
            <v>EPS</v>
          </cell>
          <cell r="F23" t="str">
            <v>LTG</v>
          </cell>
          <cell r="G23">
            <v>0</v>
          </cell>
          <cell r="H23">
            <v>2</v>
          </cell>
          <cell r="I23">
            <v>8.25</v>
          </cell>
          <cell r="J23">
            <v>8.25</v>
          </cell>
          <cell r="K23">
            <v>4.5999999999999996</v>
          </cell>
          <cell r="L23">
            <v>1</v>
          </cell>
        </row>
        <row r="24">
          <cell r="A24" t="str">
            <v>POR</v>
          </cell>
          <cell r="B24" t="str">
            <v>POS</v>
          </cell>
          <cell r="C24" t="str">
            <v>POST CP</v>
          </cell>
          <cell r="D24">
            <v>19831215</v>
          </cell>
          <cell r="E24" t="str">
            <v>EPS</v>
          </cell>
          <cell r="F24" t="str">
            <v>LTG</v>
          </cell>
          <cell r="G24">
            <v>0</v>
          </cell>
          <cell r="H24">
            <v>1</v>
          </cell>
          <cell r="I24">
            <v>16</v>
          </cell>
          <cell r="J24">
            <v>16</v>
          </cell>
          <cell r="L24">
            <v>1</v>
          </cell>
        </row>
        <row r="25">
          <cell r="A25" t="str">
            <v>PPL</v>
          </cell>
          <cell r="B25" t="str">
            <v>PPL</v>
          </cell>
          <cell r="C25" t="str">
            <v>PENNA P&amp;L</v>
          </cell>
          <cell r="D25">
            <v>19831215</v>
          </cell>
          <cell r="E25" t="str">
            <v>EPS</v>
          </cell>
          <cell r="F25" t="str">
            <v>LTG</v>
          </cell>
          <cell r="G25">
            <v>0</v>
          </cell>
          <cell r="H25">
            <v>12</v>
          </cell>
          <cell r="I25">
            <v>4.4000000000000004</v>
          </cell>
          <cell r="J25">
            <v>4.5999999999999996</v>
          </cell>
          <cell r="K25">
            <v>1.3</v>
          </cell>
          <cell r="L25">
            <v>1</v>
          </cell>
        </row>
        <row r="26">
          <cell r="A26" t="str">
            <v>PSD</v>
          </cell>
          <cell r="B26" t="str">
            <v>PSD</v>
          </cell>
          <cell r="C26" t="str">
            <v>PUGET SOUND P&amp;L</v>
          </cell>
          <cell r="D26">
            <v>19831215</v>
          </cell>
          <cell r="E26" t="str">
            <v>EPS</v>
          </cell>
          <cell r="F26" t="str">
            <v>LTG</v>
          </cell>
          <cell r="G26">
            <v>0</v>
          </cell>
          <cell r="H26">
            <v>4</v>
          </cell>
          <cell r="I26">
            <v>3.7</v>
          </cell>
          <cell r="J26">
            <v>3.8</v>
          </cell>
          <cell r="K26">
            <v>1.5</v>
          </cell>
          <cell r="L26">
            <v>1</v>
          </cell>
        </row>
        <row r="27">
          <cell r="A27" t="str">
            <v>SCG</v>
          </cell>
          <cell r="B27" t="str">
            <v>SCG</v>
          </cell>
          <cell r="C27" t="str">
            <v>SO CAROLINA EG</v>
          </cell>
          <cell r="D27">
            <v>19831215</v>
          </cell>
          <cell r="E27" t="str">
            <v>EPS</v>
          </cell>
          <cell r="F27" t="str">
            <v>LTG</v>
          </cell>
          <cell r="G27">
            <v>0</v>
          </cell>
          <cell r="H27">
            <v>10</v>
          </cell>
          <cell r="I27">
            <v>4.5</v>
          </cell>
          <cell r="J27">
            <v>4.9000000000000004</v>
          </cell>
          <cell r="K27">
            <v>1.3</v>
          </cell>
          <cell r="L27">
            <v>1</v>
          </cell>
        </row>
        <row r="28">
          <cell r="A28" t="str">
            <v>SO</v>
          </cell>
          <cell r="B28" t="str">
            <v>SO</v>
          </cell>
          <cell r="C28" t="str">
            <v>SOUTHN CO</v>
          </cell>
          <cell r="D28">
            <v>19831215</v>
          </cell>
          <cell r="E28" t="str">
            <v>EPS</v>
          </cell>
          <cell r="F28" t="str">
            <v>LTG</v>
          </cell>
          <cell r="G28">
            <v>0</v>
          </cell>
          <cell r="H28">
            <v>14</v>
          </cell>
          <cell r="I28">
            <v>5</v>
          </cell>
          <cell r="J28">
            <v>4.4000000000000004</v>
          </cell>
          <cell r="K28">
            <v>1</v>
          </cell>
          <cell r="L28">
            <v>1</v>
          </cell>
        </row>
        <row r="29">
          <cell r="A29" t="str">
            <v>TE</v>
          </cell>
          <cell r="B29" t="str">
            <v>TE</v>
          </cell>
          <cell r="C29" t="str">
            <v>TECO ENERGY INC</v>
          </cell>
          <cell r="D29">
            <v>19831215</v>
          </cell>
          <cell r="E29" t="str">
            <v>EPS</v>
          </cell>
          <cell r="F29" t="str">
            <v>LTG</v>
          </cell>
          <cell r="G29">
            <v>0</v>
          </cell>
          <cell r="H29">
            <v>12</v>
          </cell>
          <cell r="I29">
            <v>6</v>
          </cell>
          <cell r="J29">
            <v>6.7</v>
          </cell>
          <cell r="K29">
            <v>1.9</v>
          </cell>
          <cell r="L29">
            <v>1</v>
          </cell>
        </row>
        <row r="30">
          <cell r="A30" t="str">
            <v>UIL</v>
          </cell>
          <cell r="B30" t="str">
            <v>UIL</v>
          </cell>
          <cell r="C30" t="str">
            <v>UTD ILLUM CO</v>
          </cell>
          <cell r="D30">
            <v>19831215</v>
          </cell>
          <cell r="E30" t="str">
            <v>EPS</v>
          </cell>
          <cell r="F30" t="str">
            <v>LTG</v>
          </cell>
          <cell r="G30">
            <v>0</v>
          </cell>
          <cell r="H30">
            <v>1</v>
          </cell>
          <cell r="I30">
            <v>3.5</v>
          </cell>
          <cell r="J30">
            <v>3.5</v>
          </cell>
          <cell r="L30">
            <v>1</v>
          </cell>
        </row>
        <row r="31">
          <cell r="A31" t="str">
            <v>WPS</v>
          </cell>
          <cell r="B31" t="str">
            <v>WPS</v>
          </cell>
          <cell r="C31" t="str">
            <v>WISC PUB SVC</v>
          </cell>
          <cell r="D31">
            <v>19831215</v>
          </cell>
          <cell r="E31" t="str">
            <v>EPS</v>
          </cell>
          <cell r="F31" t="str">
            <v>LTG</v>
          </cell>
          <cell r="G31">
            <v>0</v>
          </cell>
          <cell r="H31">
            <v>8</v>
          </cell>
          <cell r="I31">
            <v>5.9</v>
          </cell>
          <cell r="J31">
            <v>6.3</v>
          </cell>
          <cell r="K31">
            <v>1.3</v>
          </cell>
          <cell r="L31">
            <v>1</v>
          </cell>
        </row>
      </sheetData>
    </sheetDataSet>
  </externalBook>
</externalLink>
</file>

<file path=xl/externalLinks/externalLink1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emkkduluqectreq"/>
    </sheetNames>
    <sheetDataSet>
      <sheetData sheetId="0">
        <row r="2">
          <cell r="B2" t="str">
            <v>ATG</v>
          </cell>
          <cell r="C2" t="str">
            <v>ATLANTA GAS LT</v>
          </cell>
          <cell r="D2">
            <v>30665</v>
          </cell>
          <cell r="E2" t="str">
            <v>EPS</v>
          </cell>
          <cell r="F2" t="str">
            <v>ANN</v>
          </cell>
          <cell r="G2" t="str">
            <v>1</v>
          </cell>
          <cell r="H2">
            <v>2</v>
          </cell>
          <cell r="I2">
            <v>0.81</v>
          </cell>
          <cell r="J2">
            <v>0.81</v>
          </cell>
          <cell r="K2">
            <v>0.09</v>
          </cell>
          <cell r="L2">
            <v>30955</v>
          </cell>
          <cell r="M2">
            <v>1.125</v>
          </cell>
          <cell r="N2">
            <v>30993</v>
          </cell>
        </row>
        <row r="3">
          <cell r="B3" t="str">
            <v>CGC</v>
          </cell>
          <cell r="C3" t="str">
            <v>CASCADE NAT GAS</v>
          </cell>
          <cell r="D3">
            <v>30665</v>
          </cell>
          <cell r="E3" t="str">
            <v>EPS</v>
          </cell>
          <cell r="F3" t="str">
            <v>ANN</v>
          </cell>
          <cell r="G3" t="str">
            <v>1</v>
          </cell>
          <cell r="H3">
            <v>3</v>
          </cell>
          <cell r="I3">
            <v>0.5</v>
          </cell>
          <cell r="J3">
            <v>0.56999999999999995</v>
          </cell>
          <cell r="K3">
            <v>0.3</v>
          </cell>
          <cell r="L3">
            <v>30681</v>
          </cell>
          <cell r="M3">
            <v>0.40670000000000001</v>
          </cell>
          <cell r="N3">
            <v>30721</v>
          </cell>
        </row>
        <row r="4">
          <cell r="B4" t="str">
            <v>GAS</v>
          </cell>
          <cell r="C4" t="str">
            <v>NICOR INC</v>
          </cell>
          <cell r="D4">
            <v>30665</v>
          </cell>
          <cell r="E4" t="str">
            <v>EPS</v>
          </cell>
          <cell r="F4" t="str">
            <v>ANN</v>
          </cell>
          <cell r="G4" t="str">
            <v>1</v>
          </cell>
          <cell r="H4">
            <v>10</v>
          </cell>
          <cell r="I4">
            <v>1</v>
          </cell>
          <cell r="J4">
            <v>1.05</v>
          </cell>
          <cell r="K4">
            <v>0.08</v>
          </cell>
          <cell r="L4">
            <v>30681</v>
          </cell>
          <cell r="M4">
            <v>0.83</v>
          </cell>
          <cell r="N4">
            <v>30715</v>
          </cell>
        </row>
        <row r="5">
          <cell r="B5" t="str">
            <v>LG</v>
          </cell>
          <cell r="C5" t="str">
            <v>LACLEDE GAS</v>
          </cell>
          <cell r="D5">
            <v>30665</v>
          </cell>
          <cell r="E5" t="str">
            <v>EPS</v>
          </cell>
          <cell r="F5" t="str">
            <v>ANN</v>
          </cell>
          <cell r="G5" t="str">
            <v>1</v>
          </cell>
          <cell r="H5">
            <v>1</v>
          </cell>
          <cell r="I5">
            <v>1.1499999999999999</v>
          </cell>
          <cell r="J5">
            <v>1.1499999999999999</v>
          </cell>
          <cell r="L5">
            <v>30955</v>
          </cell>
          <cell r="M5">
            <v>1.6950000000000001</v>
          </cell>
          <cell r="N5">
            <v>31003</v>
          </cell>
        </row>
        <row r="6">
          <cell r="B6" t="str">
            <v>NI</v>
          </cell>
          <cell r="C6" t="str">
            <v>NORTHN IND PUB</v>
          </cell>
          <cell r="D6">
            <v>30665</v>
          </cell>
          <cell r="E6" t="str">
            <v>EPS</v>
          </cell>
          <cell r="F6" t="str">
            <v>ANN</v>
          </cell>
          <cell r="G6" t="str">
            <v>1</v>
          </cell>
          <cell r="H6">
            <v>14</v>
          </cell>
          <cell r="I6">
            <v>0.85</v>
          </cell>
          <cell r="J6">
            <v>0.82</v>
          </cell>
          <cell r="K6">
            <v>0.06</v>
          </cell>
          <cell r="L6">
            <v>30681</v>
          </cell>
          <cell r="M6">
            <v>0.86499999999999999</v>
          </cell>
          <cell r="N6">
            <v>30715</v>
          </cell>
        </row>
        <row r="7">
          <cell r="B7" t="str">
            <v>PNY</v>
          </cell>
          <cell r="C7" t="str">
            <v>PIEDMONT NAT GAS</v>
          </cell>
          <cell r="D7">
            <v>30665</v>
          </cell>
          <cell r="E7" t="str">
            <v>EPS</v>
          </cell>
          <cell r="F7" t="str">
            <v>ANN</v>
          </cell>
          <cell r="G7" t="str">
            <v>1</v>
          </cell>
          <cell r="H7">
            <v>5</v>
          </cell>
          <cell r="I7">
            <v>0.44</v>
          </cell>
          <cell r="J7">
            <v>0.42</v>
          </cell>
          <cell r="K7">
            <v>0.05</v>
          </cell>
          <cell r="L7">
            <v>30986</v>
          </cell>
          <cell r="M7">
            <v>0.51749999999999996</v>
          </cell>
          <cell r="N7">
            <v>31020</v>
          </cell>
        </row>
        <row r="8">
          <cell r="B8" t="str">
            <v>SJI</v>
          </cell>
          <cell r="C8" t="str">
            <v>SO JERSEY INDS</v>
          </cell>
          <cell r="D8">
            <v>30665</v>
          </cell>
          <cell r="E8" t="str">
            <v>EPS</v>
          </cell>
          <cell r="F8" t="str">
            <v>ANN</v>
          </cell>
          <cell r="G8" t="str">
            <v>1</v>
          </cell>
          <cell r="H8">
            <v>3</v>
          </cell>
          <cell r="I8">
            <v>0.34</v>
          </cell>
          <cell r="J8">
            <v>0.34</v>
          </cell>
          <cell r="K8">
            <v>0.01</v>
          </cell>
          <cell r="L8">
            <v>30681</v>
          </cell>
          <cell r="M8">
            <v>0.35170000000000001</v>
          </cell>
          <cell r="N8">
            <v>30706</v>
          </cell>
        </row>
        <row r="9">
          <cell r="B9" t="str">
            <v>SWX</v>
          </cell>
          <cell r="C9" t="str">
            <v>SOUTHWEST GAS</v>
          </cell>
          <cell r="D9">
            <v>30665</v>
          </cell>
          <cell r="E9" t="str">
            <v>EPS</v>
          </cell>
          <cell r="F9" t="str">
            <v>ANN</v>
          </cell>
          <cell r="G9" t="str">
            <v>1</v>
          </cell>
          <cell r="H9">
            <v>3</v>
          </cell>
          <cell r="I9">
            <v>1.5</v>
          </cell>
          <cell r="J9">
            <v>1.48</v>
          </cell>
          <cell r="K9">
            <v>0.03</v>
          </cell>
          <cell r="L9">
            <v>30681</v>
          </cell>
        </row>
        <row r="10">
          <cell r="B10" t="str">
            <v>WGL</v>
          </cell>
          <cell r="C10" t="str">
            <v>WASH GAS LT</v>
          </cell>
          <cell r="D10">
            <v>30665</v>
          </cell>
          <cell r="E10" t="str">
            <v>EPS</v>
          </cell>
          <cell r="F10" t="str">
            <v>ANN</v>
          </cell>
          <cell r="G10" t="str">
            <v>1</v>
          </cell>
          <cell r="H10">
            <v>3</v>
          </cell>
          <cell r="I10">
            <v>1.02</v>
          </cell>
          <cell r="J10">
            <v>1.02</v>
          </cell>
          <cell r="K10">
            <v>0.01</v>
          </cell>
          <cell r="L10">
            <v>30681</v>
          </cell>
          <cell r="M10">
            <v>1.0649999999999999</v>
          </cell>
          <cell r="N10">
            <v>30799</v>
          </cell>
        </row>
      </sheetData>
    </sheetDataSet>
  </externalBook>
</externalLink>
</file>

<file path=xl/externalLinks/externalLink1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rkpxlkalu4tnnje"/>
    </sheetNames>
    <sheetDataSet>
      <sheetData sheetId="0">
        <row r="2">
          <cell r="B2" t="str">
            <v>ATG</v>
          </cell>
          <cell r="C2" t="str">
            <v>ATLANTA GAS LT</v>
          </cell>
          <cell r="D2">
            <v>30665</v>
          </cell>
          <cell r="E2" t="str">
            <v>EPS</v>
          </cell>
          <cell r="F2" t="str">
            <v>LTG</v>
          </cell>
          <cell r="G2" t="str">
            <v>0</v>
          </cell>
          <cell r="H2">
            <v>2</v>
          </cell>
          <cell r="I2">
            <v>11.5</v>
          </cell>
          <cell r="J2">
            <v>11.5</v>
          </cell>
          <cell r="K2">
            <v>4.95</v>
          </cell>
        </row>
        <row r="3">
          <cell r="B3" t="str">
            <v>CGC</v>
          </cell>
          <cell r="C3" t="str">
            <v>CASCADE NAT GAS</v>
          </cell>
          <cell r="D3">
            <v>30665</v>
          </cell>
          <cell r="E3" t="str">
            <v>EPS</v>
          </cell>
          <cell r="F3" t="str">
            <v>LTG</v>
          </cell>
          <cell r="G3" t="str">
            <v>0</v>
          </cell>
          <cell r="H3">
            <v>2</v>
          </cell>
          <cell r="I3">
            <v>7.25</v>
          </cell>
          <cell r="J3">
            <v>7.25</v>
          </cell>
          <cell r="K3">
            <v>5.3</v>
          </cell>
        </row>
        <row r="4">
          <cell r="B4" t="str">
            <v>GAS</v>
          </cell>
          <cell r="C4" t="str">
            <v>NICOR INC</v>
          </cell>
          <cell r="D4">
            <v>30665</v>
          </cell>
          <cell r="E4" t="str">
            <v>EPS</v>
          </cell>
          <cell r="F4" t="str">
            <v>LTG</v>
          </cell>
          <cell r="G4" t="str">
            <v>0</v>
          </cell>
          <cell r="H4">
            <v>4</v>
          </cell>
          <cell r="I4">
            <v>5.9</v>
          </cell>
          <cell r="J4">
            <v>5.7</v>
          </cell>
          <cell r="K4">
            <v>3.8</v>
          </cell>
        </row>
        <row r="5">
          <cell r="B5" t="str">
            <v>LG</v>
          </cell>
          <cell r="C5" t="str">
            <v>LACLEDE GAS</v>
          </cell>
          <cell r="D5">
            <v>30665</v>
          </cell>
          <cell r="E5" t="str">
            <v>EPS</v>
          </cell>
          <cell r="F5" t="str">
            <v>LTG</v>
          </cell>
          <cell r="G5" t="str">
            <v>0</v>
          </cell>
          <cell r="H5">
            <v>1</v>
          </cell>
          <cell r="I5">
            <v>7</v>
          </cell>
          <cell r="J5">
            <v>7</v>
          </cell>
        </row>
        <row r="6">
          <cell r="B6" t="str">
            <v>NI</v>
          </cell>
          <cell r="C6" t="str">
            <v>NORTHN IND PUB</v>
          </cell>
          <cell r="D6">
            <v>30665</v>
          </cell>
          <cell r="E6" t="str">
            <v>EPS</v>
          </cell>
          <cell r="F6" t="str">
            <v>LTG</v>
          </cell>
          <cell r="G6" t="str">
            <v>0</v>
          </cell>
          <cell r="H6">
            <v>11</v>
          </cell>
          <cell r="I6">
            <v>6</v>
          </cell>
          <cell r="J6">
            <v>6.8</v>
          </cell>
          <cell r="K6">
            <v>3.9</v>
          </cell>
        </row>
        <row r="7">
          <cell r="B7" t="str">
            <v>PNY</v>
          </cell>
          <cell r="C7" t="str">
            <v>PIEDMONT NAT GAS</v>
          </cell>
          <cell r="D7">
            <v>30665</v>
          </cell>
          <cell r="E7" t="str">
            <v>EPS</v>
          </cell>
          <cell r="F7" t="str">
            <v>LTG</v>
          </cell>
          <cell r="G7" t="str">
            <v>0</v>
          </cell>
          <cell r="H7">
            <v>3</v>
          </cell>
          <cell r="I7">
            <v>7.5</v>
          </cell>
          <cell r="J7">
            <v>6.8</v>
          </cell>
          <cell r="K7">
            <v>1.6</v>
          </cell>
        </row>
        <row r="8">
          <cell r="B8" t="str">
            <v>SJI</v>
          </cell>
          <cell r="C8" t="str">
            <v>SO JERSEY INDS</v>
          </cell>
          <cell r="D8">
            <v>30665</v>
          </cell>
          <cell r="E8" t="str">
            <v>EPS</v>
          </cell>
          <cell r="F8" t="str">
            <v>LTG</v>
          </cell>
          <cell r="G8" t="str">
            <v>0</v>
          </cell>
          <cell r="H8">
            <v>2</v>
          </cell>
          <cell r="I8">
            <v>6.5</v>
          </cell>
          <cell r="J8">
            <v>6.5</v>
          </cell>
          <cell r="K8">
            <v>2.12</v>
          </cell>
        </row>
        <row r="9">
          <cell r="B9" t="str">
            <v>SWX</v>
          </cell>
          <cell r="C9" t="str">
            <v>SOUTHWEST GAS</v>
          </cell>
          <cell r="D9">
            <v>30665</v>
          </cell>
          <cell r="E9" t="str">
            <v>EPS</v>
          </cell>
          <cell r="F9" t="str">
            <v>LTG</v>
          </cell>
          <cell r="G9" t="str">
            <v>0</v>
          </cell>
          <cell r="H9">
            <v>2</v>
          </cell>
          <cell r="I9">
            <v>4.5</v>
          </cell>
          <cell r="J9">
            <v>4.5</v>
          </cell>
          <cell r="K9">
            <v>0.71</v>
          </cell>
        </row>
        <row r="10">
          <cell r="B10" t="str">
            <v>WGL</v>
          </cell>
          <cell r="C10" t="str">
            <v>WASH GAS LT</v>
          </cell>
          <cell r="D10">
            <v>30665</v>
          </cell>
          <cell r="E10" t="str">
            <v>EPS</v>
          </cell>
          <cell r="F10" t="str">
            <v>LTG</v>
          </cell>
          <cell r="G10" t="str">
            <v>0</v>
          </cell>
          <cell r="H10">
            <v>2</v>
          </cell>
          <cell r="I10">
            <v>8</v>
          </cell>
          <cell r="J10">
            <v>8</v>
          </cell>
          <cell r="K10">
            <v>0</v>
          </cell>
        </row>
      </sheetData>
    </sheetDataSet>
  </externalBook>
</externalLink>
</file>

<file path=xl/externalLinks/externalLink1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RDS"/>
    </sheetNames>
    <sheetDataSet>
      <sheetData sheetId="0">
        <row r="1">
          <cell r="A1" t="str">
            <v>OFTIC</v>
          </cell>
          <cell r="B1" t="str">
            <v>IBES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USFIRM=0 if from .INT file and USFIRM=1 if from .US file</v>
          </cell>
          <cell r="L1" t="str">
            <v>Forecast Period End Date (SAS Format)</v>
          </cell>
          <cell r="M1" t="str">
            <v>Actual Value, from the Detail Actuals File</v>
          </cell>
          <cell r="N1" t="str">
            <v>Announce date of the Actual, from the Detail Actuals File</v>
          </cell>
        </row>
        <row r="2">
          <cell r="A2" t="str">
            <v>AEE</v>
          </cell>
          <cell r="B2" t="str">
            <v>AEE</v>
          </cell>
          <cell r="C2" t="str">
            <v>AILEEN INC</v>
          </cell>
          <cell r="D2">
            <v>19821216</v>
          </cell>
          <cell r="E2" t="str">
            <v>EPS</v>
          </cell>
          <cell r="F2" t="str">
            <v>ANN</v>
          </cell>
          <cell r="G2">
            <v>1</v>
          </cell>
          <cell r="H2">
            <v>1</v>
          </cell>
          <cell r="I2">
            <v>-1.1499999999999999</v>
          </cell>
          <cell r="J2">
            <v>-1.1499999999999999</v>
          </cell>
          <cell r="K2">
            <v>1</v>
          </cell>
          <cell r="L2">
            <v>19821031</v>
          </cell>
          <cell r="M2">
            <v>-0.9</v>
          </cell>
        </row>
        <row r="3">
          <cell r="A3" t="str">
            <v>BKH</v>
          </cell>
          <cell r="B3" t="str">
            <v>BHP</v>
          </cell>
          <cell r="C3" t="str">
            <v>BLACK HILLS CORP</v>
          </cell>
          <cell r="D3">
            <v>19821216</v>
          </cell>
          <cell r="E3" t="str">
            <v>EPS</v>
          </cell>
          <cell r="F3" t="str">
            <v>ANN</v>
          </cell>
          <cell r="G3">
            <v>1</v>
          </cell>
          <cell r="H3">
            <v>3</v>
          </cell>
          <cell r="I3">
            <v>0.56999999999999995</v>
          </cell>
          <cell r="J3">
            <v>0.56999999999999995</v>
          </cell>
          <cell r="K3">
            <v>1</v>
          </cell>
          <cell r="L3">
            <v>19821231</v>
          </cell>
          <cell r="M3">
            <v>0.60219999999999996</v>
          </cell>
        </row>
        <row r="4">
          <cell r="A4" t="str">
            <v>CIN</v>
          </cell>
          <cell r="B4" t="str">
            <v>CIN</v>
          </cell>
          <cell r="C4" t="str">
            <v>CINN GAS &amp; EL</v>
          </cell>
          <cell r="D4">
            <v>19821216</v>
          </cell>
          <cell r="E4" t="str">
            <v>EPS</v>
          </cell>
          <cell r="F4" t="str">
            <v>ANN</v>
          </cell>
          <cell r="G4">
            <v>1</v>
          </cell>
          <cell r="H4">
            <v>16</v>
          </cell>
          <cell r="I4">
            <v>1.73</v>
          </cell>
          <cell r="J4">
            <v>1.74</v>
          </cell>
          <cell r="K4">
            <v>1</v>
          </cell>
          <cell r="L4">
            <v>19821231</v>
          </cell>
          <cell r="M4">
            <v>1.8332999999999999</v>
          </cell>
        </row>
        <row r="5">
          <cell r="A5" t="str">
            <v>CMS</v>
          </cell>
          <cell r="B5" t="str">
            <v>CMS</v>
          </cell>
          <cell r="C5" t="str">
            <v>CONSUMERS PWR</v>
          </cell>
          <cell r="D5">
            <v>19821216</v>
          </cell>
          <cell r="E5" t="str">
            <v>EPS</v>
          </cell>
          <cell r="F5" t="str">
            <v>ANN</v>
          </cell>
          <cell r="G5">
            <v>1</v>
          </cell>
          <cell r="H5">
            <v>16</v>
          </cell>
          <cell r="I5">
            <v>3.25</v>
          </cell>
          <cell r="J5">
            <v>3.25</v>
          </cell>
          <cell r="K5">
            <v>1</v>
          </cell>
          <cell r="L5">
            <v>19821231</v>
          </cell>
          <cell r="M5">
            <v>3.16</v>
          </cell>
        </row>
        <row r="6">
          <cell r="A6" t="str">
            <v>CNL</v>
          </cell>
          <cell r="B6" t="str">
            <v>CNL</v>
          </cell>
          <cell r="C6" t="str">
            <v>CENT LA ELEC INC</v>
          </cell>
          <cell r="D6">
            <v>19821216</v>
          </cell>
          <cell r="E6" t="str">
            <v>EPS</v>
          </cell>
          <cell r="F6" t="str">
            <v>ANN</v>
          </cell>
          <cell r="G6">
            <v>1</v>
          </cell>
          <cell r="H6">
            <v>3</v>
          </cell>
          <cell r="I6">
            <v>0.52</v>
          </cell>
          <cell r="J6">
            <v>0.52</v>
          </cell>
          <cell r="K6">
            <v>1</v>
          </cell>
          <cell r="L6">
            <v>19821231</v>
          </cell>
          <cell r="M6">
            <v>0.61750000000000005</v>
          </cell>
        </row>
        <row r="7">
          <cell r="A7" t="str">
            <v>CV</v>
          </cell>
          <cell r="B7" t="str">
            <v>CV</v>
          </cell>
          <cell r="C7" t="str">
            <v>CNTRL VT PUB SVC</v>
          </cell>
          <cell r="D7">
            <v>19821216</v>
          </cell>
          <cell r="E7" t="str">
            <v>EPS</v>
          </cell>
          <cell r="F7" t="str">
            <v>ANN</v>
          </cell>
          <cell r="G7">
            <v>1</v>
          </cell>
          <cell r="H7">
            <v>1</v>
          </cell>
          <cell r="I7">
            <v>2</v>
          </cell>
          <cell r="J7">
            <v>2</v>
          </cell>
          <cell r="K7">
            <v>1</v>
          </cell>
          <cell r="L7">
            <v>19821231</v>
          </cell>
          <cell r="M7">
            <v>1.8933</v>
          </cell>
        </row>
        <row r="8">
          <cell r="A8" t="str">
            <v>D</v>
          </cell>
          <cell r="B8" t="str">
            <v>D</v>
          </cell>
          <cell r="C8" t="str">
            <v>DOMINION RES INC</v>
          </cell>
          <cell r="D8">
            <v>19821216</v>
          </cell>
          <cell r="E8" t="str">
            <v>EPS</v>
          </cell>
          <cell r="F8" t="str">
            <v>ANN</v>
          </cell>
          <cell r="G8">
            <v>1</v>
          </cell>
          <cell r="H8">
            <v>23</v>
          </cell>
          <cell r="I8">
            <v>1.05</v>
          </cell>
          <cell r="J8">
            <v>1.04</v>
          </cell>
          <cell r="K8">
            <v>1</v>
          </cell>
          <cell r="L8">
            <v>19821231</v>
          </cell>
          <cell r="M8">
            <v>0.97</v>
          </cell>
        </row>
        <row r="9">
          <cell r="A9" t="str">
            <v>DPL</v>
          </cell>
          <cell r="B9" t="str">
            <v>DPL</v>
          </cell>
          <cell r="C9" t="str">
            <v>DAYTON P &amp; L</v>
          </cell>
          <cell r="D9">
            <v>19821216</v>
          </cell>
          <cell r="E9" t="str">
            <v>EPS</v>
          </cell>
          <cell r="F9" t="str">
            <v>ANN</v>
          </cell>
          <cell r="G9">
            <v>1</v>
          </cell>
          <cell r="H9">
            <v>10</v>
          </cell>
          <cell r="I9">
            <v>0.77</v>
          </cell>
          <cell r="J9">
            <v>0.76</v>
          </cell>
          <cell r="K9">
            <v>1</v>
          </cell>
          <cell r="L9">
            <v>19821231</v>
          </cell>
          <cell r="M9">
            <v>0.78520000000000001</v>
          </cell>
        </row>
        <row r="10">
          <cell r="A10" t="str">
            <v>DTE</v>
          </cell>
          <cell r="B10" t="str">
            <v>DTE</v>
          </cell>
          <cell r="C10" t="str">
            <v>DETROIT EDISON</v>
          </cell>
          <cell r="D10">
            <v>19821216</v>
          </cell>
          <cell r="E10" t="str">
            <v>EPS</v>
          </cell>
          <cell r="F10" t="str">
            <v>ANN</v>
          </cell>
          <cell r="G10">
            <v>1</v>
          </cell>
          <cell r="H10">
            <v>17</v>
          </cell>
          <cell r="I10">
            <v>1.85</v>
          </cell>
          <cell r="J10">
            <v>1.85</v>
          </cell>
          <cell r="K10">
            <v>1</v>
          </cell>
          <cell r="L10">
            <v>19821231</v>
          </cell>
          <cell r="M10">
            <v>1.75</v>
          </cell>
        </row>
        <row r="11">
          <cell r="A11" t="str">
            <v>DUK</v>
          </cell>
          <cell r="B11" t="str">
            <v>DUK</v>
          </cell>
          <cell r="C11" t="str">
            <v>DUKE POWER CO</v>
          </cell>
          <cell r="D11">
            <v>19821216</v>
          </cell>
          <cell r="E11" t="str">
            <v>EPS</v>
          </cell>
          <cell r="F11" t="str">
            <v>ANN</v>
          </cell>
          <cell r="G11">
            <v>1</v>
          </cell>
          <cell r="H11">
            <v>23</v>
          </cell>
          <cell r="I11">
            <v>2.5099999999999998</v>
          </cell>
          <cell r="J11">
            <v>2.52</v>
          </cell>
          <cell r="K11">
            <v>1</v>
          </cell>
          <cell r="L11">
            <v>19821231</v>
          </cell>
          <cell r="M11">
            <v>2.3025000000000002</v>
          </cell>
        </row>
        <row r="12">
          <cell r="A12" t="str">
            <v>ED</v>
          </cell>
          <cell r="B12" t="str">
            <v>ED</v>
          </cell>
          <cell r="C12" t="str">
            <v>CONSOL EDISON</v>
          </cell>
          <cell r="D12">
            <v>19821216</v>
          </cell>
          <cell r="E12" t="str">
            <v>EPS</v>
          </cell>
          <cell r="F12" t="str">
            <v>ANN</v>
          </cell>
          <cell r="G12">
            <v>1</v>
          </cell>
          <cell r="H12">
            <v>19</v>
          </cell>
          <cell r="I12">
            <v>1.67</v>
          </cell>
          <cell r="J12">
            <v>1.67</v>
          </cell>
          <cell r="K12">
            <v>1</v>
          </cell>
          <cell r="L12">
            <v>19821231</v>
          </cell>
          <cell r="M12">
            <v>1.7749999999999999</v>
          </cell>
        </row>
        <row r="13">
          <cell r="A13" t="str">
            <v>EDE</v>
          </cell>
          <cell r="B13" t="str">
            <v>EDE</v>
          </cell>
          <cell r="C13" t="str">
            <v>EMPIRE DIST ELEC</v>
          </cell>
          <cell r="D13">
            <v>19821216</v>
          </cell>
          <cell r="E13" t="str">
            <v>EPS</v>
          </cell>
          <cell r="F13" t="str">
            <v>ANN</v>
          </cell>
          <cell r="G13">
            <v>1</v>
          </cell>
          <cell r="H13">
            <v>1</v>
          </cell>
          <cell r="I13">
            <v>0.9</v>
          </cell>
          <cell r="J13">
            <v>0.9</v>
          </cell>
          <cell r="K13">
            <v>1</v>
          </cell>
          <cell r="L13">
            <v>19821231</v>
          </cell>
          <cell r="M13">
            <v>1.0549999999999999</v>
          </cell>
        </row>
        <row r="14">
          <cell r="A14" t="str">
            <v>FPL</v>
          </cell>
          <cell r="B14" t="str">
            <v>FPL</v>
          </cell>
          <cell r="C14" t="str">
            <v>FLA PWR &amp; LT</v>
          </cell>
          <cell r="D14">
            <v>19821216</v>
          </cell>
          <cell r="E14" t="str">
            <v>EPS</v>
          </cell>
          <cell r="F14" t="str">
            <v>ANN</v>
          </cell>
          <cell r="G14">
            <v>1</v>
          </cell>
          <cell r="H14">
            <v>23</v>
          </cell>
          <cell r="I14">
            <v>0.31</v>
          </cell>
          <cell r="J14">
            <v>0.32</v>
          </cell>
          <cell r="K14">
            <v>1</v>
          </cell>
          <cell r="L14">
            <v>19821231</v>
          </cell>
          <cell r="M14">
            <v>0.29809999999999998</v>
          </cell>
        </row>
        <row r="15">
          <cell r="A15" t="str">
            <v>HE</v>
          </cell>
          <cell r="B15" t="str">
            <v>HE</v>
          </cell>
          <cell r="C15" t="str">
            <v>HAWAIIAN ELEC</v>
          </cell>
          <cell r="D15">
            <v>19821216</v>
          </cell>
          <cell r="E15" t="str">
            <v>EPS</v>
          </cell>
          <cell r="F15" t="str">
            <v>ANN</v>
          </cell>
          <cell r="G15">
            <v>1</v>
          </cell>
          <cell r="H15">
            <v>10</v>
          </cell>
          <cell r="I15">
            <v>0.81</v>
          </cell>
          <cell r="J15">
            <v>0.86</v>
          </cell>
          <cell r="K15">
            <v>1</v>
          </cell>
          <cell r="L15">
            <v>19821231</v>
          </cell>
          <cell r="M15">
            <v>0.58499999999999996</v>
          </cell>
        </row>
        <row r="16">
          <cell r="A16" t="str">
            <v>IDA</v>
          </cell>
          <cell r="B16" t="str">
            <v>IDA</v>
          </cell>
          <cell r="C16" t="str">
            <v>IDAHO POWER CO</v>
          </cell>
          <cell r="D16">
            <v>19821216</v>
          </cell>
          <cell r="E16" t="str">
            <v>EPS</v>
          </cell>
          <cell r="F16" t="str">
            <v>ANN</v>
          </cell>
          <cell r="G16">
            <v>1</v>
          </cell>
          <cell r="H16">
            <v>8</v>
          </cell>
          <cell r="I16">
            <v>1.97</v>
          </cell>
          <cell r="J16">
            <v>2</v>
          </cell>
          <cell r="K16">
            <v>1</v>
          </cell>
          <cell r="L16">
            <v>19821231</v>
          </cell>
          <cell r="M16">
            <v>2.355</v>
          </cell>
        </row>
        <row r="17">
          <cell r="A17" t="str">
            <v>NU</v>
          </cell>
          <cell r="B17" t="str">
            <v>NU</v>
          </cell>
          <cell r="C17" t="str">
            <v>NORTHEAST UTILS</v>
          </cell>
          <cell r="D17">
            <v>19821216</v>
          </cell>
          <cell r="E17" t="str">
            <v>EPS</v>
          </cell>
          <cell r="F17" t="str">
            <v>ANN</v>
          </cell>
          <cell r="G17">
            <v>1</v>
          </cell>
          <cell r="H17">
            <v>17</v>
          </cell>
          <cell r="I17">
            <v>1.75</v>
          </cell>
          <cell r="J17">
            <v>1.76</v>
          </cell>
          <cell r="K17">
            <v>1</v>
          </cell>
          <cell r="L17">
            <v>19821231</v>
          </cell>
          <cell r="M17">
            <v>1.76</v>
          </cell>
        </row>
        <row r="18">
          <cell r="A18" t="str">
            <v>OGE</v>
          </cell>
          <cell r="B18" t="str">
            <v>OGE</v>
          </cell>
          <cell r="C18" t="str">
            <v>OKLAHOMA G&amp;E</v>
          </cell>
          <cell r="D18">
            <v>19821216</v>
          </cell>
          <cell r="E18" t="str">
            <v>EPS</v>
          </cell>
          <cell r="F18" t="str">
            <v>ANN</v>
          </cell>
          <cell r="G18">
            <v>1</v>
          </cell>
          <cell r="H18">
            <v>18</v>
          </cell>
          <cell r="I18">
            <v>0.63</v>
          </cell>
          <cell r="J18">
            <v>0.62</v>
          </cell>
          <cell r="K18">
            <v>1</v>
          </cell>
          <cell r="L18">
            <v>19821231</v>
          </cell>
          <cell r="M18">
            <v>0.64249999999999996</v>
          </cell>
        </row>
        <row r="19">
          <cell r="A19" t="str">
            <v>OTTR</v>
          </cell>
          <cell r="B19" t="str">
            <v>OTTR</v>
          </cell>
          <cell r="C19" t="str">
            <v>OTTER TAIL PWR</v>
          </cell>
          <cell r="D19">
            <v>19821216</v>
          </cell>
          <cell r="E19" t="str">
            <v>EPS</v>
          </cell>
          <cell r="F19" t="str">
            <v>ANN</v>
          </cell>
          <cell r="G19">
            <v>1</v>
          </cell>
          <cell r="H19">
            <v>4</v>
          </cell>
          <cell r="I19">
            <v>0.75</v>
          </cell>
          <cell r="J19">
            <v>0.73</v>
          </cell>
          <cell r="K19">
            <v>1</v>
          </cell>
          <cell r="L19">
            <v>19821231</v>
          </cell>
          <cell r="M19">
            <v>0.73</v>
          </cell>
        </row>
        <row r="20">
          <cell r="A20" t="str">
            <v>OTTR</v>
          </cell>
          <cell r="B20" t="str">
            <v>OTU</v>
          </cell>
          <cell r="C20" t="str">
            <v>OUTLET CO</v>
          </cell>
          <cell r="D20">
            <v>19821216</v>
          </cell>
          <cell r="E20" t="str">
            <v>EPS</v>
          </cell>
          <cell r="F20" t="str">
            <v>ANN</v>
          </cell>
          <cell r="G20">
            <v>1</v>
          </cell>
          <cell r="H20">
            <v>1</v>
          </cell>
          <cell r="I20">
            <v>1.87</v>
          </cell>
          <cell r="J20">
            <v>1.87</v>
          </cell>
          <cell r="K20">
            <v>1</v>
          </cell>
          <cell r="L20">
            <v>19830131</v>
          </cell>
          <cell r="M20">
            <v>2.38</v>
          </cell>
        </row>
        <row r="21">
          <cell r="A21" t="str">
            <v>PCG</v>
          </cell>
          <cell r="B21" t="str">
            <v>PCG</v>
          </cell>
          <cell r="C21" t="str">
            <v>PACIFIC G&amp;E</v>
          </cell>
          <cell r="D21">
            <v>19821216</v>
          </cell>
          <cell r="E21" t="str">
            <v>EPS</v>
          </cell>
          <cell r="F21" t="str">
            <v>ANN</v>
          </cell>
          <cell r="G21">
            <v>1</v>
          </cell>
          <cell r="H21">
            <v>18</v>
          </cell>
          <cell r="I21">
            <v>2.4</v>
          </cell>
          <cell r="J21">
            <v>2.39</v>
          </cell>
          <cell r="K21">
            <v>1</v>
          </cell>
          <cell r="L21">
            <v>19821231</v>
          </cell>
          <cell r="M21">
            <v>2.4500000000000002</v>
          </cell>
        </row>
        <row r="22">
          <cell r="A22" t="str">
            <v>PEG</v>
          </cell>
          <cell r="B22" t="str">
            <v>PEG</v>
          </cell>
          <cell r="C22" t="str">
            <v>PUB SVC E&amp;G</v>
          </cell>
          <cell r="D22">
            <v>19821216</v>
          </cell>
          <cell r="E22" t="str">
            <v>EPS</v>
          </cell>
          <cell r="F22" t="str">
            <v>ANN</v>
          </cell>
          <cell r="G22">
            <v>1</v>
          </cell>
          <cell r="H22">
            <v>20</v>
          </cell>
          <cell r="I22">
            <v>1.07</v>
          </cell>
          <cell r="J22">
            <v>1.07</v>
          </cell>
          <cell r="K22">
            <v>1</v>
          </cell>
          <cell r="L22">
            <v>19821231</v>
          </cell>
          <cell r="M22">
            <v>1.08</v>
          </cell>
        </row>
        <row r="23">
          <cell r="A23" t="str">
            <v>PGN</v>
          </cell>
          <cell r="B23" t="str">
            <v>PGN</v>
          </cell>
          <cell r="C23" t="str">
            <v>PORTLD GEN ELEC</v>
          </cell>
          <cell r="D23">
            <v>19821216</v>
          </cell>
          <cell r="E23" t="str">
            <v>EPS</v>
          </cell>
          <cell r="F23" t="str">
            <v>ANN</v>
          </cell>
          <cell r="G23">
            <v>1</v>
          </cell>
          <cell r="H23">
            <v>8</v>
          </cell>
          <cell r="I23">
            <v>2.52</v>
          </cell>
          <cell r="J23">
            <v>2.62</v>
          </cell>
          <cell r="K23">
            <v>1</v>
          </cell>
          <cell r="L23">
            <v>19821231</v>
          </cell>
          <cell r="M23">
            <v>3.02</v>
          </cell>
        </row>
        <row r="24">
          <cell r="A24" t="str">
            <v>PNM</v>
          </cell>
          <cell r="B24" t="str">
            <v>PNM</v>
          </cell>
          <cell r="C24" t="str">
            <v>PUB SVC N MEX</v>
          </cell>
          <cell r="D24">
            <v>19821216</v>
          </cell>
          <cell r="E24" t="str">
            <v>EPS</v>
          </cell>
          <cell r="F24" t="str">
            <v>ANN</v>
          </cell>
          <cell r="G24">
            <v>1</v>
          </cell>
          <cell r="H24">
            <v>10</v>
          </cell>
          <cell r="I24">
            <v>2.12</v>
          </cell>
          <cell r="J24">
            <v>2.14</v>
          </cell>
          <cell r="K24">
            <v>1</v>
          </cell>
          <cell r="L24">
            <v>19821231</v>
          </cell>
          <cell r="M24">
            <v>2.1467000000000001</v>
          </cell>
        </row>
        <row r="25">
          <cell r="A25" t="str">
            <v>POM</v>
          </cell>
          <cell r="B25" t="str">
            <v>POM</v>
          </cell>
          <cell r="C25" t="str">
            <v>POTOMAC ELEC</v>
          </cell>
          <cell r="D25">
            <v>19821216</v>
          </cell>
          <cell r="E25" t="str">
            <v>EPS</v>
          </cell>
          <cell r="F25" t="str">
            <v>ANN</v>
          </cell>
          <cell r="G25">
            <v>1</v>
          </cell>
          <cell r="H25">
            <v>19</v>
          </cell>
          <cell r="I25">
            <v>1.1499999999999999</v>
          </cell>
          <cell r="J25">
            <v>1.1499999999999999</v>
          </cell>
          <cell r="K25">
            <v>1</v>
          </cell>
          <cell r="L25">
            <v>19821231</v>
          </cell>
          <cell r="M25">
            <v>1.1399999999999999</v>
          </cell>
        </row>
        <row r="26">
          <cell r="A26" t="str">
            <v>POR</v>
          </cell>
          <cell r="B26" t="str">
            <v>POR</v>
          </cell>
          <cell r="C26" t="str">
            <v>PORTEC INC</v>
          </cell>
          <cell r="D26">
            <v>19821216</v>
          </cell>
          <cell r="E26" t="str">
            <v>EPS</v>
          </cell>
          <cell r="F26" t="str">
            <v>ANN</v>
          </cell>
          <cell r="G26">
            <v>1</v>
          </cell>
          <cell r="H26">
            <v>2</v>
          </cell>
          <cell r="I26">
            <v>0.6</v>
          </cell>
          <cell r="J26">
            <v>0.6</v>
          </cell>
          <cell r="K26">
            <v>1</v>
          </cell>
          <cell r="L26">
            <v>19821231</v>
          </cell>
          <cell r="M26">
            <v>0.2404</v>
          </cell>
        </row>
        <row r="27">
          <cell r="A27" t="str">
            <v>POR</v>
          </cell>
          <cell r="B27" t="str">
            <v>POS</v>
          </cell>
          <cell r="C27" t="str">
            <v>POST CP</v>
          </cell>
          <cell r="D27">
            <v>19821216</v>
          </cell>
          <cell r="E27" t="str">
            <v>EPS</v>
          </cell>
          <cell r="F27" t="str">
            <v>ANN</v>
          </cell>
          <cell r="G27">
            <v>1</v>
          </cell>
          <cell r="H27">
            <v>1</v>
          </cell>
          <cell r="I27">
            <v>2.2000000000000002</v>
          </cell>
          <cell r="J27">
            <v>2.2000000000000002</v>
          </cell>
          <cell r="K27">
            <v>1</v>
          </cell>
          <cell r="L27">
            <v>19821231</v>
          </cell>
          <cell r="M27">
            <v>2.0699999999999998</v>
          </cell>
        </row>
        <row r="28">
          <cell r="A28" t="str">
            <v>PPL</v>
          </cell>
          <cell r="B28" t="str">
            <v>PPL</v>
          </cell>
          <cell r="C28" t="str">
            <v>PENNA P&amp;L</v>
          </cell>
          <cell r="D28">
            <v>19821216</v>
          </cell>
          <cell r="E28" t="str">
            <v>EPS</v>
          </cell>
          <cell r="F28" t="str">
            <v>ANN</v>
          </cell>
          <cell r="G28">
            <v>1</v>
          </cell>
          <cell r="H28">
            <v>15</v>
          </cell>
          <cell r="I28">
            <v>0.84</v>
          </cell>
          <cell r="J28">
            <v>0.84</v>
          </cell>
          <cell r="K28">
            <v>1</v>
          </cell>
          <cell r="L28">
            <v>19821231</v>
          </cell>
          <cell r="M28">
            <v>0.83750000000000002</v>
          </cell>
        </row>
        <row r="29">
          <cell r="A29" t="str">
            <v>PSD</v>
          </cell>
          <cell r="B29" t="str">
            <v>PSD</v>
          </cell>
          <cell r="C29" t="str">
            <v>PUGET SOUND P&amp;L</v>
          </cell>
          <cell r="D29">
            <v>19821216</v>
          </cell>
          <cell r="E29" t="str">
            <v>EPS</v>
          </cell>
          <cell r="F29" t="str">
            <v>ANN</v>
          </cell>
          <cell r="G29">
            <v>1</v>
          </cell>
          <cell r="H29">
            <v>6</v>
          </cell>
          <cell r="I29">
            <v>2.35</v>
          </cell>
          <cell r="J29">
            <v>2.39</v>
          </cell>
          <cell r="K29">
            <v>1</v>
          </cell>
          <cell r="L29">
            <v>19821231</v>
          </cell>
          <cell r="M29">
            <v>2.29</v>
          </cell>
        </row>
        <row r="30">
          <cell r="A30" t="str">
            <v>SCG</v>
          </cell>
          <cell r="B30" t="str">
            <v>SCG</v>
          </cell>
          <cell r="C30" t="str">
            <v>SO CAROLINA EG</v>
          </cell>
          <cell r="D30">
            <v>19821216</v>
          </cell>
          <cell r="E30" t="str">
            <v>EPS</v>
          </cell>
          <cell r="F30" t="str">
            <v>ANN</v>
          </cell>
          <cell r="G30">
            <v>1</v>
          </cell>
          <cell r="H30">
            <v>14</v>
          </cell>
          <cell r="I30">
            <v>1.1299999999999999</v>
          </cell>
          <cell r="J30">
            <v>1.1200000000000001</v>
          </cell>
          <cell r="K30">
            <v>1</v>
          </cell>
          <cell r="L30">
            <v>19821231</v>
          </cell>
          <cell r="M30">
            <v>1.1599999999999999</v>
          </cell>
        </row>
        <row r="31">
          <cell r="A31" t="str">
            <v>SO</v>
          </cell>
          <cell r="B31" t="str">
            <v>SO</v>
          </cell>
          <cell r="C31" t="str">
            <v>SOUTHN CO</v>
          </cell>
          <cell r="D31">
            <v>19821216</v>
          </cell>
          <cell r="E31" t="str">
            <v>EPS</v>
          </cell>
          <cell r="F31" t="str">
            <v>ANN</v>
          </cell>
          <cell r="G31">
            <v>1</v>
          </cell>
          <cell r="H31">
            <v>22</v>
          </cell>
          <cell r="I31">
            <v>1.1299999999999999</v>
          </cell>
          <cell r="J31">
            <v>1.1200000000000001</v>
          </cell>
          <cell r="K31">
            <v>1</v>
          </cell>
          <cell r="L31">
            <v>19821231</v>
          </cell>
          <cell r="M31">
            <v>1.1299999999999999</v>
          </cell>
        </row>
        <row r="32">
          <cell r="A32" t="str">
            <v>TE</v>
          </cell>
          <cell r="B32" t="str">
            <v>TE</v>
          </cell>
          <cell r="C32" t="str">
            <v>TECO ENERGY INC</v>
          </cell>
          <cell r="D32">
            <v>19821216</v>
          </cell>
          <cell r="E32" t="str">
            <v>EPS</v>
          </cell>
          <cell r="F32" t="str">
            <v>ANN</v>
          </cell>
          <cell r="G32">
            <v>1</v>
          </cell>
          <cell r="H32">
            <v>19</v>
          </cell>
          <cell r="I32">
            <v>0.65</v>
          </cell>
          <cell r="J32">
            <v>0.65</v>
          </cell>
          <cell r="K32">
            <v>1</v>
          </cell>
          <cell r="L32">
            <v>19821231</v>
          </cell>
          <cell r="M32">
            <v>0.62250000000000005</v>
          </cell>
        </row>
        <row r="33">
          <cell r="A33" t="str">
            <v>UIL</v>
          </cell>
          <cell r="B33" t="str">
            <v>UIL</v>
          </cell>
          <cell r="C33" t="str">
            <v>UTD ILLUM CO</v>
          </cell>
          <cell r="D33">
            <v>19821216</v>
          </cell>
          <cell r="E33" t="str">
            <v>EPS</v>
          </cell>
          <cell r="F33" t="str">
            <v>ANN</v>
          </cell>
          <cell r="G33">
            <v>1</v>
          </cell>
          <cell r="H33">
            <v>2</v>
          </cell>
          <cell r="I33">
            <v>3.04</v>
          </cell>
          <cell r="J33">
            <v>3.04</v>
          </cell>
          <cell r="K33">
            <v>1</v>
          </cell>
          <cell r="L33">
            <v>19821231</v>
          </cell>
          <cell r="M33">
            <v>3.234</v>
          </cell>
        </row>
        <row r="34">
          <cell r="A34" t="str">
            <v>WPS</v>
          </cell>
          <cell r="B34" t="str">
            <v>WPS</v>
          </cell>
          <cell r="C34" t="str">
            <v>WISC PUB SVC</v>
          </cell>
          <cell r="D34">
            <v>19821216</v>
          </cell>
          <cell r="E34" t="str">
            <v>EPS</v>
          </cell>
          <cell r="F34" t="str">
            <v>ANN</v>
          </cell>
          <cell r="G34">
            <v>1</v>
          </cell>
          <cell r="H34">
            <v>14</v>
          </cell>
          <cell r="I34">
            <v>1.6</v>
          </cell>
          <cell r="J34">
            <v>1.58</v>
          </cell>
          <cell r="K34">
            <v>1</v>
          </cell>
          <cell r="L34">
            <v>19821231</v>
          </cell>
          <cell r="M34">
            <v>1.57</v>
          </cell>
          <cell r="N34">
            <v>19830214</v>
          </cell>
        </row>
      </sheetData>
    </sheetDataSet>
  </externalBook>
</externalLink>
</file>

<file path=xl/externalLinks/externalLink1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RDS"/>
    </sheetNames>
    <sheetDataSet>
      <sheetData sheetId="0">
        <row r="1">
          <cell r="A1" t="str">
            <v>OFTIC</v>
          </cell>
          <cell r="B1" t="str">
            <v>IBES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USFIRM=0 if from .INT file and USFIRM=1 if from .US file</v>
          </cell>
          <cell r="M1" t="str">
            <v>Forecast Period End Date (SAS Format)</v>
          </cell>
          <cell r="N1" t="str">
            <v>Actual Value, from the Detail Actuals File</v>
          </cell>
          <cell r="O1" t="str">
            <v>Announce date of the Actual, from the Detail Actuals File</v>
          </cell>
        </row>
        <row r="2">
          <cell r="A2" t="str">
            <v>AEE</v>
          </cell>
          <cell r="B2" t="str">
            <v>AEE</v>
          </cell>
          <cell r="C2" t="str">
            <v>AILEEN INC</v>
          </cell>
          <cell r="D2">
            <v>19821216</v>
          </cell>
          <cell r="E2" t="str">
            <v>EPS</v>
          </cell>
          <cell r="F2" t="str">
            <v>LTG</v>
          </cell>
          <cell r="G2">
            <v>0</v>
          </cell>
          <cell r="H2">
            <v>1</v>
          </cell>
          <cell r="I2">
            <v>31</v>
          </cell>
          <cell r="J2">
            <v>31</v>
          </cell>
          <cell r="L2">
            <v>1</v>
          </cell>
        </row>
        <row r="3">
          <cell r="A3" t="str">
            <v>BKH</v>
          </cell>
          <cell r="B3" t="str">
            <v>BHP</v>
          </cell>
          <cell r="C3" t="str">
            <v>BLACK HILLS CORP</v>
          </cell>
          <cell r="D3">
            <v>19821216</v>
          </cell>
          <cell r="E3" t="str">
            <v>EPS</v>
          </cell>
          <cell r="F3" t="str">
            <v>LTG</v>
          </cell>
          <cell r="G3">
            <v>0</v>
          </cell>
          <cell r="H3">
            <v>1</v>
          </cell>
          <cell r="I3">
            <v>7</v>
          </cell>
          <cell r="J3">
            <v>7</v>
          </cell>
          <cell r="L3">
            <v>1</v>
          </cell>
        </row>
        <row r="4">
          <cell r="A4" t="str">
            <v>CIN</v>
          </cell>
          <cell r="B4" t="str">
            <v>CIN</v>
          </cell>
          <cell r="C4" t="str">
            <v>CINN GAS &amp; EL</v>
          </cell>
          <cell r="D4">
            <v>19821216</v>
          </cell>
          <cell r="E4" t="str">
            <v>EPS</v>
          </cell>
          <cell r="F4" t="str">
            <v>LTG</v>
          </cell>
          <cell r="G4">
            <v>0</v>
          </cell>
          <cell r="H4">
            <v>10</v>
          </cell>
          <cell r="I4">
            <v>4.2</v>
          </cell>
          <cell r="J4">
            <v>4.5</v>
          </cell>
          <cell r="K4">
            <v>1</v>
          </cell>
          <cell r="L4">
            <v>1</v>
          </cell>
        </row>
        <row r="5">
          <cell r="A5" t="str">
            <v>CMS</v>
          </cell>
          <cell r="B5" t="str">
            <v>CMS</v>
          </cell>
          <cell r="C5" t="str">
            <v>CONSUMERS PWR</v>
          </cell>
          <cell r="D5">
            <v>19821216</v>
          </cell>
          <cell r="E5" t="str">
            <v>EPS</v>
          </cell>
          <cell r="F5" t="str">
            <v>LTG</v>
          </cell>
          <cell r="G5">
            <v>0</v>
          </cell>
          <cell r="H5">
            <v>10</v>
          </cell>
          <cell r="I5">
            <v>4</v>
          </cell>
          <cell r="J5">
            <v>3.8</v>
          </cell>
          <cell r="K5">
            <v>1.5</v>
          </cell>
          <cell r="L5">
            <v>1</v>
          </cell>
        </row>
        <row r="6">
          <cell r="A6" t="str">
            <v>CNL</v>
          </cell>
          <cell r="B6" t="str">
            <v>CNL</v>
          </cell>
          <cell r="C6" t="str">
            <v>CENT LA ELEC INC</v>
          </cell>
          <cell r="D6">
            <v>19821216</v>
          </cell>
          <cell r="E6" t="str">
            <v>EPS</v>
          </cell>
          <cell r="F6" t="str">
            <v>LTG</v>
          </cell>
          <cell r="G6">
            <v>0</v>
          </cell>
          <cell r="H6">
            <v>2</v>
          </cell>
          <cell r="I6">
            <v>4.25</v>
          </cell>
          <cell r="J6">
            <v>4.25</v>
          </cell>
          <cell r="K6">
            <v>0</v>
          </cell>
          <cell r="L6">
            <v>1</v>
          </cell>
        </row>
        <row r="7">
          <cell r="A7" t="str">
            <v>D</v>
          </cell>
          <cell r="B7" t="str">
            <v>D</v>
          </cell>
          <cell r="C7" t="str">
            <v>DOMINION RES INC</v>
          </cell>
          <cell r="D7">
            <v>19821216</v>
          </cell>
          <cell r="E7" t="str">
            <v>EPS</v>
          </cell>
          <cell r="F7" t="str">
            <v>LTG</v>
          </cell>
          <cell r="G7">
            <v>0</v>
          </cell>
          <cell r="H7">
            <v>2</v>
          </cell>
          <cell r="I7">
            <v>5</v>
          </cell>
          <cell r="J7">
            <v>5</v>
          </cell>
          <cell r="K7">
            <v>0</v>
          </cell>
          <cell r="L7">
            <v>1</v>
          </cell>
        </row>
        <row r="8">
          <cell r="A8" t="str">
            <v>DPL</v>
          </cell>
          <cell r="B8" t="str">
            <v>DPL</v>
          </cell>
          <cell r="C8" t="str">
            <v>DAYTON P &amp; L</v>
          </cell>
          <cell r="D8">
            <v>19821216</v>
          </cell>
          <cell r="E8" t="str">
            <v>EPS</v>
          </cell>
          <cell r="F8" t="str">
            <v>LTG</v>
          </cell>
          <cell r="G8">
            <v>0</v>
          </cell>
          <cell r="H8">
            <v>7</v>
          </cell>
          <cell r="I8">
            <v>5</v>
          </cell>
          <cell r="J8">
            <v>5</v>
          </cell>
          <cell r="K8">
            <v>1.6</v>
          </cell>
          <cell r="L8">
            <v>1</v>
          </cell>
        </row>
        <row r="9">
          <cell r="A9" t="str">
            <v>DTE</v>
          </cell>
          <cell r="B9" t="str">
            <v>DTE</v>
          </cell>
          <cell r="C9" t="str">
            <v>DETROIT EDISON</v>
          </cell>
          <cell r="D9">
            <v>19821216</v>
          </cell>
          <cell r="E9" t="str">
            <v>EPS</v>
          </cell>
          <cell r="F9" t="str">
            <v>LTG</v>
          </cell>
          <cell r="G9">
            <v>0</v>
          </cell>
          <cell r="H9">
            <v>10</v>
          </cell>
          <cell r="I9">
            <v>3</v>
          </cell>
          <cell r="J9">
            <v>2.7</v>
          </cell>
          <cell r="K9">
            <v>1.8</v>
          </cell>
          <cell r="L9">
            <v>1</v>
          </cell>
        </row>
        <row r="10">
          <cell r="A10" t="str">
            <v>DUK</v>
          </cell>
          <cell r="B10" t="str">
            <v>DUK</v>
          </cell>
          <cell r="C10" t="str">
            <v>DUKE POWER CO</v>
          </cell>
          <cell r="D10">
            <v>19821216</v>
          </cell>
          <cell r="E10" t="str">
            <v>EPS</v>
          </cell>
          <cell r="F10" t="str">
            <v>LTG</v>
          </cell>
          <cell r="G10">
            <v>0</v>
          </cell>
          <cell r="H10">
            <v>12</v>
          </cell>
          <cell r="I10">
            <v>6.7</v>
          </cell>
          <cell r="J10">
            <v>6.7</v>
          </cell>
          <cell r="K10">
            <v>1.4</v>
          </cell>
          <cell r="L10">
            <v>1</v>
          </cell>
        </row>
        <row r="11">
          <cell r="A11" t="str">
            <v>ED</v>
          </cell>
          <cell r="B11" t="str">
            <v>ED</v>
          </cell>
          <cell r="C11" t="str">
            <v>CONSOL EDISON</v>
          </cell>
          <cell r="D11">
            <v>19821216</v>
          </cell>
          <cell r="E11" t="str">
            <v>EPS</v>
          </cell>
          <cell r="F11" t="str">
            <v>LTG</v>
          </cell>
          <cell r="G11">
            <v>0</v>
          </cell>
          <cell r="H11">
            <v>12</v>
          </cell>
          <cell r="I11">
            <v>6.6</v>
          </cell>
          <cell r="J11">
            <v>6.5</v>
          </cell>
          <cell r="K11">
            <v>1.7</v>
          </cell>
          <cell r="L11">
            <v>1</v>
          </cell>
        </row>
        <row r="12">
          <cell r="A12" t="str">
            <v>EDE</v>
          </cell>
          <cell r="B12" t="str">
            <v>EDE</v>
          </cell>
          <cell r="C12" t="str">
            <v>EMPIRE DIST ELEC</v>
          </cell>
          <cell r="D12">
            <v>19821216</v>
          </cell>
          <cell r="E12" t="str">
            <v>EPS</v>
          </cell>
          <cell r="F12" t="str">
            <v>LTG</v>
          </cell>
          <cell r="G12">
            <v>0</v>
          </cell>
          <cell r="H12">
            <v>1</v>
          </cell>
          <cell r="I12">
            <v>3.5</v>
          </cell>
          <cell r="J12">
            <v>3.5</v>
          </cell>
          <cell r="L12">
            <v>1</v>
          </cell>
        </row>
        <row r="13">
          <cell r="A13" t="str">
            <v>FPL</v>
          </cell>
          <cell r="B13" t="str">
            <v>FPL</v>
          </cell>
          <cell r="C13" t="str">
            <v>FLA PWR &amp; LT</v>
          </cell>
          <cell r="D13">
            <v>19821216</v>
          </cell>
          <cell r="E13" t="str">
            <v>EPS</v>
          </cell>
          <cell r="F13" t="str">
            <v>LTG</v>
          </cell>
          <cell r="G13">
            <v>0</v>
          </cell>
          <cell r="H13">
            <v>13</v>
          </cell>
          <cell r="I13">
            <v>7.5</v>
          </cell>
          <cell r="J13">
            <v>6.8</v>
          </cell>
          <cell r="K13">
            <v>1.5</v>
          </cell>
          <cell r="L13">
            <v>1</v>
          </cell>
        </row>
        <row r="14">
          <cell r="A14" t="str">
            <v>HE</v>
          </cell>
          <cell r="B14" t="str">
            <v>HE</v>
          </cell>
          <cell r="C14" t="str">
            <v>HAWAIIAN ELEC</v>
          </cell>
          <cell r="D14">
            <v>19821216</v>
          </cell>
          <cell r="E14" t="str">
            <v>EPS</v>
          </cell>
          <cell r="F14" t="str">
            <v>LTG</v>
          </cell>
          <cell r="G14">
            <v>0</v>
          </cell>
          <cell r="H14">
            <v>7</v>
          </cell>
          <cell r="I14">
            <v>7</v>
          </cell>
          <cell r="J14">
            <v>6.1</v>
          </cell>
          <cell r="K14">
            <v>1.1000000000000001</v>
          </cell>
          <cell r="L14">
            <v>1</v>
          </cell>
        </row>
        <row r="15">
          <cell r="A15" t="str">
            <v>IDA</v>
          </cell>
          <cell r="B15" t="str">
            <v>IDA</v>
          </cell>
          <cell r="C15" t="str">
            <v>IDAHO POWER CO</v>
          </cell>
          <cell r="D15">
            <v>19821216</v>
          </cell>
          <cell r="E15" t="str">
            <v>EPS</v>
          </cell>
          <cell r="F15" t="str">
            <v>LTG</v>
          </cell>
          <cell r="G15">
            <v>0</v>
          </cell>
          <cell r="H15">
            <v>6</v>
          </cell>
          <cell r="I15">
            <v>5</v>
          </cell>
          <cell r="J15">
            <v>5.6</v>
          </cell>
          <cell r="K15">
            <v>2.4</v>
          </cell>
          <cell r="L15">
            <v>1</v>
          </cell>
        </row>
        <row r="16">
          <cell r="A16" t="str">
            <v>NU</v>
          </cell>
          <cell r="B16" t="str">
            <v>NU</v>
          </cell>
          <cell r="C16" t="str">
            <v>NORTHEAST UTILS</v>
          </cell>
          <cell r="D16">
            <v>19821216</v>
          </cell>
          <cell r="E16" t="str">
            <v>EPS</v>
          </cell>
          <cell r="F16" t="str">
            <v>LTG</v>
          </cell>
          <cell r="G16">
            <v>0</v>
          </cell>
          <cell r="H16">
            <v>10</v>
          </cell>
          <cell r="I16">
            <v>5.5</v>
          </cell>
          <cell r="J16">
            <v>5.8</v>
          </cell>
          <cell r="K16">
            <v>2.5</v>
          </cell>
          <cell r="L16">
            <v>1</v>
          </cell>
        </row>
        <row r="17">
          <cell r="A17" t="str">
            <v>OGE</v>
          </cell>
          <cell r="B17" t="str">
            <v>OGE</v>
          </cell>
          <cell r="C17" t="str">
            <v>OKLAHOMA G&amp;E</v>
          </cell>
          <cell r="D17">
            <v>19821216</v>
          </cell>
          <cell r="E17" t="str">
            <v>EPS</v>
          </cell>
          <cell r="F17" t="str">
            <v>LTG</v>
          </cell>
          <cell r="G17">
            <v>0</v>
          </cell>
          <cell r="H17">
            <v>10</v>
          </cell>
          <cell r="I17">
            <v>4.5</v>
          </cell>
          <cell r="J17">
            <v>4.9000000000000004</v>
          </cell>
          <cell r="K17">
            <v>1.4</v>
          </cell>
          <cell r="L17">
            <v>1</v>
          </cell>
        </row>
        <row r="18">
          <cell r="A18" t="str">
            <v>OTTR</v>
          </cell>
          <cell r="B18" t="str">
            <v>OTTR</v>
          </cell>
          <cell r="C18" t="str">
            <v>OTTER TAIL PWR</v>
          </cell>
          <cell r="D18">
            <v>19821216</v>
          </cell>
          <cell r="E18" t="str">
            <v>EPS</v>
          </cell>
          <cell r="F18" t="str">
            <v>LTG</v>
          </cell>
          <cell r="G18">
            <v>0</v>
          </cell>
          <cell r="H18">
            <v>3</v>
          </cell>
          <cell r="I18">
            <v>3</v>
          </cell>
          <cell r="J18">
            <v>3.8</v>
          </cell>
          <cell r="K18">
            <v>1.4</v>
          </cell>
          <cell r="L18">
            <v>1</v>
          </cell>
        </row>
        <row r="19">
          <cell r="A19" t="str">
            <v>PCG</v>
          </cell>
          <cell r="B19" t="str">
            <v>PCG</v>
          </cell>
          <cell r="C19" t="str">
            <v>PACIFIC G&amp;E</v>
          </cell>
          <cell r="D19">
            <v>19821216</v>
          </cell>
          <cell r="E19" t="str">
            <v>EPS</v>
          </cell>
          <cell r="F19" t="str">
            <v>LTG</v>
          </cell>
          <cell r="G19">
            <v>0</v>
          </cell>
          <cell r="H19">
            <v>9</v>
          </cell>
          <cell r="I19">
            <v>6</v>
          </cell>
          <cell r="J19">
            <v>6</v>
          </cell>
          <cell r="K19">
            <v>1.6</v>
          </cell>
          <cell r="L19">
            <v>1</v>
          </cell>
        </row>
        <row r="20">
          <cell r="A20" t="str">
            <v>PEG</v>
          </cell>
          <cell r="B20" t="str">
            <v>PEG</v>
          </cell>
          <cell r="C20" t="str">
            <v>PUB SVC E&amp;G</v>
          </cell>
          <cell r="D20">
            <v>19821216</v>
          </cell>
          <cell r="E20" t="str">
            <v>EPS</v>
          </cell>
          <cell r="F20" t="str">
            <v>LTG</v>
          </cell>
          <cell r="G20">
            <v>0</v>
          </cell>
          <cell r="H20">
            <v>12</v>
          </cell>
          <cell r="I20">
            <v>5</v>
          </cell>
          <cell r="J20">
            <v>5.4</v>
          </cell>
          <cell r="K20">
            <v>2.1</v>
          </cell>
          <cell r="L20">
            <v>1</v>
          </cell>
        </row>
        <row r="21">
          <cell r="A21" t="str">
            <v>PGN</v>
          </cell>
          <cell r="B21" t="str">
            <v>PGN</v>
          </cell>
          <cell r="C21" t="str">
            <v>PORTLD GEN ELEC</v>
          </cell>
          <cell r="D21">
            <v>19821216</v>
          </cell>
          <cell r="E21" t="str">
            <v>EPS</v>
          </cell>
          <cell r="F21" t="str">
            <v>LTG</v>
          </cell>
          <cell r="G21">
            <v>0</v>
          </cell>
          <cell r="H21">
            <v>5</v>
          </cell>
          <cell r="I21">
            <v>3</v>
          </cell>
          <cell r="J21">
            <v>3.9</v>
          </cell>
          <cell r="K21">
            <v>2.4</v>
          </cell>
          <cell r="L21">
            <v>1</v>
          </cell>
        </row>
        <row r="22">
          <cell r="A22" t="str">
            <v>PNM</v>
          </cell>
          <cell r="B22" t="str">
            <v>PNM</v>
          </cell>
          <cell r="C22" t="str">
            <v>PUB SVC N MEX</v>
          </cell>
          <cell r="D22">
            <v>19821216</v>
          </cell>
          <cell r="E22" t="str">
            <v>EPS</v>
          </cell>
          <cell r="F22" t="str">
            <v>LTG</v>
          </cell>
          <cell r="G22">
            <v>0</v>
          </cell>
          <cell r="H22">
            <v>6</v>
          </cell>
          <cell r="I22">
            <v>5</v>
          </cell>
          <cell r="J22">
            <v>4.5</v>
          </cell>
          <cell r="K22">
            <v>1.7</v>
          </cell>
          <cell r="L22">
            <v>1</v>
          </cell>
        </row>
        <row r="23">
          <cell r="A23" t="str">
            <v>POM</v>
          </cell>
          <cell r="B23" t="str">
            <v>POM</v>
          </cell>
          <cell r="C23" t="str">
            <v>POTOMAC ELEC</v>
          </cell>
          <cell r="D23">
            <v>19821216</v>
          </cell>
          <cell r="E23" t="str">
            <v>EPS</v>
          </cell>
          <cell r="F23" t="str">
            <v>LTG</v>
          </cell>
          <cell r="G23">
            <v>0</v>
          </cell>
          <cell r="H23">
            <v>12</v>
          </cell>
          <cell r="I23">
            <v>5.7</v>
          </cell>
          <cell r="J23">
            <v>5.6</v>
          </cell>
          <cell r="K23">
            <v>0.8</v>
          </cell>
          <cell r="L23">
            <v>1</v>
          </cell>
        </row>
        <row r="24">
          <cell r="A24" t="str">
            <v>POR</v>
          </cell>
          <cell r="B24" t="str">
            <v>POR</v>
          </cell>
          <cell r="C24" t="str">
            <v>PORTEC INC</v>
          </cell>
          <cell r="D24">
            <v>19821216</v>
          </cell>
          <cell r="E24" t="str">
            <v>EPS</v>
          </cell>
          <cell r="F24" t="str">
            <v>LTG</v>
          </cell>
          <cell r="G24">
            <v>0</v>
          </cell>
          <cell r="H24">
            <v>1</v>
          </cell>
          <cell r="I24">
            <v>9.5</v>
          </cell>
          <cell r="J24">
            <v>9.5</v>
          </cell>
          <cell r="L24">
            <v>1</v>
          </cell>
        </row>
        <row r="25">
          <cell r="A25" t="str">
            <v>POR</v>
          </cell>
          <cell r="B25" t="str">
            <v>POS</v>
          </cell>
          <cell r="C25" t="str">
            <v>POST CP</v>
          </cell>
          <cell r="D25">
            <v>19821216</v>
          </cell>
          <cell r="E25" t="str">
            <v>EPS</v>
          </cell>
          <cell r="F25" t="str">
            <v>LTG</v>
          </cell>
          <cell r="G25">
            <v>0</v>
          </cell>
          <cell r="H25">
            <v>1</v>
          </cell>
          <cell r="I25">
            <v>16</v>
          </cell>
          <cell r="J25">
            <v>16</v>
          </cell>
          <cell r="L25">
            <v>1</v>
          </cell>
        </row>
        <row r="26">
          <cell r="A26" t="str">
            <v>PPL</v>
          </cell>
          <cell r="B26" t="str">
            <v>PPL</v>
          </cell>
          <cell r="C26" t="str">
            <v>PENNA P&amp;L</v>
          </cell>
          <cell r="D26">
            <v>19821216</v>
          </cell>
          <cell r="E26" t="str">
            <v>EPS</v>
          </cell>
          <cell r="F26" t="str">
            <v>LTG</v>
          </cell>
          <cell r="G26">
            <v>0</v>
          </cell>
          <cell r="H26">
            <v>10</v>
          </cell>
          <cell r="I26">
            <v>4.2</v>
          </cell>
          <cell r="J26">
            <v>4.0999999999999996</v>
          </cell>
          <cell r="K26">
            <v>0.8</v>
          </cell>
          <cell r="L26">
            <v>1</v>
          </cell>
        </row>
        <row r="27">
          <cell r="A27" t="str">
            <v>PSD</v>
          </cell>
          <cell r="B27" t="str">
            <v>PSD</v>
          </cell>
          <cell r="C27" t="str">
            <v>PUGET SOUND P&amp;L</v>
          </cell>
          <cell r="D27">
            <v>19821216</v>
          </cell>
          <cell r="E27" t="str">
            <v>EPS</v>
          </cell>
          <cell r="F27" t="str">
            <v>LTG</v>
          </cell>
          <cell r="G27">
            <v>0</v>
          </cell>
          <cell r="H27">
            <v>4</v>
          </cell>
          <cell r="I27">
            <v>2.2000000000000002</v>
          </cell>
          <cell r="J27">
            <v>3.1</v>
          </cell>
          <cell r="K27">
            <v>2.9</v>
          </cell>
          <cell r="L27">
            <v>1</v>
          </cell>
        </row>
        <row r="28">
          <cell r="A28" t="str">
            <v>SCG</v>
          </cell>
          <cell r="B28" t="str">
            <v>SCG</v>
          </cell>
          <cell r="C28" t="str">
            <v>SO CAROLINA EG</v>
          </cell>
          <cell r="D28">
            <v>19821216</v>
          </cell>
          <cell r="E28" t="str">
            <v>EPS</v>
          </cell>
          <cell r="F28" t="str">
            <v>LTG</v>
          </cell>
          <cell r="G28">
            <v>0</v>
          </cell>
          <cell r="H28">
            <v>9</v>
          </cell>
          <cell r="I28">
            <v>5</v>
          </cell>
          <cell r="J28">
            <v>5.2</v>
          </cell>
          <cell r="K28">
            <v>1.3</v>
          </cell>
          <cell r="L28">
            <v>1</v>
          </cell>
        </row>
        <row r="29">
          <cell r="A29" t="str">
            <v>SO</v>
          </cell>
          <cell r="B29" t="str">
            <v>SO</v>
          </cell>
          <cell r="C29" t="str">
            <v>SOUTHN CO</v>
          </cell>
          <cell r="D29">
            <v>19821216</v>
          </cell>
          <cell r="E29" t="str">
            <v>EPS</v>
          </cell>
          <cell r="F29" t="str">
            <v>LTG</v>
          </cell>
          <cell r="G29">
            <v>0</v>
          </cell>
          <cell r="H29">
            <v>13</v>
          </cell>
          <cell r="I29">
            <v>5</v>
          </cell>
          <cell r="J29">
            <v>4.2</v>
          </cell>
          <cell r="K29">
            <v>2.2999999999999998</v>
          </cell>
          <cell r="L29">
            <v>1</v>
          </cell>
        </row>
        <row r="30">
          <cell r="A30" t="str">
            <v>TE</v>
          </cell>
          <cell r="B30" t="str">
            <v>TE</v>
          </cell>
          <cell r="C30" t="str">
            <v>TECO ENERGY INC</v>
          </cell>
          <cell r="D30">
            <v>19821216</v>
          </cell>
          <cell r="E30" t="str">
            <v>EPS</v>
          </cell>
          <cell r="F30" t="str">
            <v>LTG</v>
          </cell>
          <cell r="G30">
            <v>0</v>
          </cell>
          <cell r="H30">
            <v>10</v>
          </cell>
          <cell r="I30">
            <v>7</v>
          </cell>
          <cell r="J30">
            <v>7.2</v>
          </cell>
          <cell r="K30">
            <v>1.5</v>
          </cell>
          <cell r="L30">
            <v>1</v>
          </cell>
        </row>
        <row r="31">
          <cell r="A31" t="str">
            <v>UIL</v>
          </cell>
          <cell r="B31" t="str">
            <v>UIL</v>
          </cell>
          <cell r="C31" t="str">
            <v>UTD ILLUM CO</v>
          </cell>
          <cell r="D31">
            <v>19821216</v>
          </cell>
          <cell r="E31" t="str">
            <v>EPS</v>
          </cell>
          <cell r="F31" t="str">
            <v>LTG</v>
          </cell>
          <cell r="G31">
            <v>0</v>
          </cell>
          <cell r="H31">
            <v>2</v>
          </cell>
          <cell r="I31">
            <v>3</v>
          </cell>
          <cell r="J31">
            <v>3</v>
          </cell>
          <cell r="K31">
            <v>1.41</v>
          </cell>
          <cell r="L31">
            <v>1</v>
          </cell>
        </row>
        <row r="32">
          <cell r="A32" t="str">
            <v>WPS</v>
          </cell>
          <cell r="B32" t="str">
            <v>WPS</v>
          </cell>
          <cell r="C32" t="str">
            <v>WISC PUB SVC</v>
          </cell>
          <cell r="D32">
            <v>19821216</v>
          </cell>
          <cell r="E32" t="str">
            <v>EPS</v>
          </cell>
          <cell r="F32" t="str">
            <v>LTG</v>
          </cell>
          <cell r="G32">
            <v>0</v>
          </cell>
          <cell r="H32">
            <v>9</v>
          </cell>
          <cell r="I32">
            <v>5.5</v>
          </cell>
          <cell r="J32">
            <v>6.1</v>
          </cell>
          <cell r="K32">
            <v>1.1000000000000001</v>
          </cell>
          <cell r="L32">
            <v>1</v>
          </cell>
        </row>
      </sheetData>
    </sheetDataSet>
  </externalBook>
</externalLink>
</file>

<file path=xl/externalLinks/externalLink1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gfdpjtsbuksxica"/>
    </sheetNames>
    <sheetDataSet>
      <sheetData sheetId="0">
        <row r="1">
          <cell r="B1" t="str">
            <v>Official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Forecast Period End Date (SAS Format)</v>
          </cell>
          <cell r="M1" t="str">
            <v>Actual Value, from the Detail Actuals File</v>
          </cell>
          <cell r="N1" t="str">
            <v>Announce date of the Actual, from the Detail Actuals File</v>
          </cell>
        </row>
        <row r="2">
          <cell r="B2" t="str">
            <v>ATG</v>
          </cell>
          <cell r="C2" t="str">
            <v>ATLANTA GAS LT</v>
          </cell>
          <cell r="D2">
            <v>30301</v>
          </cell>
          <cell r="E2" t="str">
            <v>EPS</v>
          </cell>
          <cell r="F2" t="str">
            <v>ANN</v>
          </cell>
          <cell r="G2" t="str">
            <v>1</v>
          </cell>
          <cell r="H2">
            <v>3</v>
          </cell>
          <cell r="I2">
            <v>0.75</v>
          </cell>
          <cell r="J2">
            <v>0.73</v>
          </cell>
          <cell r="K2">
            <v>0.03</v>
          </cell>
          <cell r="L2">
            <v>30589</v>
          </cell>
          <cell r="M2">
            <v>0.77749999999999997</v>
          </cell>
          <cell r="N2">
            <v>30627</v>
          </cell>
        </row>
        <row r="3">
          <cell r="B3" t="str">
            <v>CGC</v>
          </cell>
          <cell r="C3" t="str">
            <v>CASCADE NAT GAS</v>
          </cell>
          <cell r="D3">
            <v>30301</v>
          </cell>
          <cell r="E3" t="str">
            <v>EPS</v>
          </cell>
          <cell r="F3" t="str">
            <v>ANN</v>
          </cell>
          <cell r="G3" t="str">
            <v>1</v>
          </cell>
          <cell r="H3">
            <v>3</v>
          </cell>
          <cell r="I3">
            <v>0.93</v>
          </cell>
          <cell r="J3">
            <v>0.89</v>
          </cell>
          <cell r="K3">
            <v>0.14000000000000001</v>
          </cell>
          <cell r="L3">
            <v>30316</v>
          </cell>
          <cell r="M3">
            <v>0.56669999999999998</v>
          </cell>
        </row>
        <row r="4">
          <cell r="B4" t="str">
            <v>GAS</v>
          </cell>
          <cell r="C4" t="str">
            <v>NICOR INC</v>
          </cell>
          <cell r="D4">
            <v>30301</v>
          </cell>
          <cell r="E4" t="str">
            <v>EPS</v>
          </cell>
          <cell r="F4" t="str">
            <v>ANN</v>
          </cell>
          <cell r="G4" t="str">
            <v>1</v>
          </cell>
          <cell r="H4">
            <v>12</v>
          </cell>
          <cell r="I4">
            <v>1.75</v>
          </cell>
          <cell r="J4">
            <v>1.87</v>
          </cell>
          <cell r="K4">
            <v>0.33</v>
          </cell>
          <cell r="L4">
            <v>30316</v>
          </cell>
          <cell r="M4">
            <v>1.65</v>
          </cell>
        </row>
        <row r="5">
          <cell r="B5" t="str">
            <v>LG</v>
          </cell>
          <cell r="C5" t="str">
            <v>LACLEDE GAS</v>
          </cell>
          <cell r="D5">
            <v>30301</v>
          </cell>
          <cell r="E5" t="str">
            <v>EPS</v>
          </cell>
          <cell r="F5" t="str">
            <v>ANN</v>
          </cell>
          <cell r="G5" t="str">
            <v>1</v>
          </cell>
          <cell r="H5">
            <v>1</v>
          </cell>
          <cell r="I5">
            <v>1.1000000000000001</v>
          </cell>
          <cell r="J5">
            <v>1.1000000000000001</v>
          </cell>
          <cell r="L5">
            <v>30589</v>
          </cell>
          <cell r="M5">
            <v>0.96</v>
          </cell>
          <cell r="N5">
            <v>30638</v>
          </cell>
        </row>
        <row r="6">
          <cell r="B6" t="str">
            <v>NI</v>
          </cell>
          <cell r="C6" t="str">
            <v>NORTHN IND PUB</v>
          </cell>
          <cell r="D6">
            <v>30301</v>
          </cell>
          <cell r="E6" t="str">
            <v>EPS</v>
          </cell>
          <cell r="F6" t="str">
            <v>ANN</v>
          </cell>
          <cell r="G6" t="str">
            <v>1</v>
          </cell>
          <cell r="H6">
            <v>15</v>
          </cell>
          <cell r="I6">
            <v>0.72</v>
          </cell>
          <cell r="J6">
            <v>0.64</v>
          </cell>
          <cell r="K6">
            <v>0.15</v>
          </cell>
          <cell r="L6">
            <v>30316</v>
          </cell>
          <cell r="M6">
            <v>0.45</v>
          </cell>
        </row>
        <row r="7">
          <cell r="B7" t="str">
            <v>PNY</v>
          </cell>
          <cell r="C7" t="str">
            <v>PIEDMONT NAT GAS</v>
          </cell>
          <cell r="D7">
            <v>30301</v>
          </cell>
          <cell r="E7" t="str">
            <v>EPS</v>
          </cell>
          <cell r="F7" t="str">
            <v>ANN</v>
          </cell>
          <cell r="G7" t="str">
            <v>1</v>
          </cell>
          <cell r="H7">
            <v>4</v>
          </cell>
          <cell r="I7">
            <v>0.41</v>
          </cell>
          <cell r="J7">
            <v>0.41</v>
          </cell>
          <cell r="K7">
            <v>0.03</v>
          </cell>
          <cell r="L7">
            <v>30620</v>
          </cell>
          <cell r="M7">
            <v>0.45250000000000001</v>
          </cell>
          <cell r="N7">
            <v>30655</v>
          </cell>
        </row>
        <row r="8">
          <cell r="B8" t="str">
            <v>SJI</v>
          </cell>
          <cell r="C8" t="str">
            <v>SO JERSEY INDS</v>
          </cell>
          <cell r="D8">
            <v>30301</v>
          </cell>
          <cell r="E8" t="str">
            <v>EPS</v>
          </cell>
          <cell r="F8" t="str">
            <v>ANN</v>
          </cell>
          <cell r="G8" t="str">
            <v>1</v>
          </cell>
          <cell r="H8">
            <v>2</v>
          </cell>
          <cell r="I8">
            <v>0.36</v>
          </cell>
          <cell r="J8">
            <v>0.36</v>
          </cell>
          <cell r="K8">
            <v>0</v>
          </cell>
          <cell r="L8">
            <v>30316</v>
          </cell>
          <cell r="M8">
            <v>0.29289999999999999</v>
          </cell>
        </row>
        <row r="9">
          <cell r="B9" t="str">
            <v>SWX</v>
          </cell>
          <cell r="C9" t="str">
            <v>SOUTHWEST GAS</v>
          </cell>
          <cell r="D9">
            <v>30301</v>
          </cell>
          <cell r="E9" t="str">
            <v>EPS</v>
          </cell>
          <cell r="F9" t="str">
            <v>ANN</v>
          </cell>
          <cell r="G9" t="str">
            <v>1</v>
          </cell>
          <cell r="H9">
            <v>3</v>
          </cell>
          <cell r="I9">
            <v>1.3</v>
          </cell>
          <cell r="J9">
            <v>1.3</v>
          </cell>
          <cell r="K9">
            <v>0.05</v>
          </cell>
          <cell r="L9">
            <v>30316</v>
          </cell>
          <cell r="M9">
            <v>1.3</v>
          </cell>
        </row>
        <row r="10">
          <cell r="B10" t="str">
            <v>WGL</v>
          </cell>
          <cell r="C10" t="str">
            <v>WASH GAS LT</v>
          </cell>
          <cell r="D10">
            <v>30301</v>
          </cell>
          <cell r="E10" t="str">
            <v>EPS</v>
          </cell>
          <cell r="F10" t="str">
            <v>ANN</v>
          </cell>
          <cell r="G10" t="str">
            <v>1</v>
          </cell>
          <cell r="H10">
            <v>2</v>
          </cell>
          <cell r="I10">
            <v>0.9</v>
          </cell>
          <cell r="J10">
            <v>0.9</v>
          </cell>
          <cell r="K10">
            <v>0.04</v>
          </cell>
          <cell r="L10">
            <v>30316</v>
          </cell>
          <cell r="M10">
            <v>0.85</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RDS"/>
    </sheetNames>
    <sheetDataSet>
      <sheetData sheetId="0">
        <row r="1">
          <cell r="A1" t="str">
            <v>OFTIC</v>
          </cell>
          <cell r="B1" t="str">
            <v>IBES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USFIRM=0 if from .INT file and USFIRM=1 if from .US file</v>
          </cell>
          <cell r="L1" t="str">
            <v>Forecast Period End Date (SAS Format)</v>
          </cell>
          <cell r="M1" t="str">
            <v>Actual Value, from the Detail Actuals File</v>
          </cell>
          <cell r="N1" t="str">
            <v>Announce date of the Actual, from the Detail Actuals File</v>
          </cell>
        </row>
        <row r="2">
          <cell r="A2" t="str">
            <v>PGN</v>
          </cell>
          <cell r="B2">
            <v>80</v>
          </cell>
          <cell r="C2" t="str">
            <v>PARAGN OFFSHR</v>
          </cell>
          <cell r="D2">
            <v>20141218</v>
          </cell>
          <cell r="E2" t="str">
            <v>EPS</v>
          </cell>
          <cell r="F2" t="str">
            <v>ANN</v>
          </cell>
          <cell r="G2">
            <v>1</v>
          </cell>
          <cell r="H2">
            <v>4</v>
          </cell>
          <cell r="I2">
            <v>3.14</v>
          </cell>
          <cell r="J2">
            <v>3.27</v>
          </cell>
          <cell r="K2">
            <v>1</v>
          </cell>
          <cell r="L2">
            <v>20141231</v>
          </cell>
          <cell r="M2">
            <v>4.07</v>
          </cell>
          <cell r="N2">
            <v>20150219</v>
          </cell>
        </row>
        <row r="3">
          <cell r="A3" t="str">
            <v>PNW</v>
          </cell>
          <cell r="B3" t="str">
            <v>AZP</v>
          </cell>
          <cell r="C3" t="str">
            <v>PINNACLE WST CAP</v>
          </cell>
          <cell r="D3">
            <v>20141218</v>
          </cell>
          <cell r="E3" t="str">
            <v>EPS</v>
          </cell>
          <cell r="F3" t="str">
            <v>ANN</v>
          </cell>
          <cell r="G3">
            <v>1</v>
          </cell>
          <cell r="H3">
            <v>17</v>
          </cell>
          <cell r="I3">
            <v>3.7</v>
          </cell>
          <cell r="J3">
            <v>3.71</v>
          </cell>
          <cell r="K3">
            <v>1</v>
          </cell>
          <cell r="L3">
            <v>20141231</v>
          </cell>
          <cell r="M3">
            <v>3.58</v>
          </cell>
          <cell r="N3">
            <v>20150220</v>
          </cell>
        </row>
        <row r="4">
          <cell r="A4" t="str">
            <v>BKH</v>
          </cell>
          <cell r="B4" t="str">
            <v>BHP</v>
          </cell>
          <cell r="C4" t="str">
            <v>BLACK HILLS CP</v>
          </cell>
          <cell r="D4">
            <v>20141218</v>
          </cell>
          <cell r="E4" t="str">
            <v>EPS</v>
          </cell>
          <cell r="F4" t="str">
            <v>ANN</v>
          </cell>
          <cell r="G4">
            <v>1</v>
          </cell>
          <cell r="H4">
            <v>7</v>
          </cell>
          <cell r="I4">
            <v>2.9</v>
          </cell>
          <cell r="J4">
            <v>2.89</v>
          </cell>
          <cell r="K4">
            <v>1</v>
          </cell>
          <cell r="L4">
            <v>20141231</v>
          </cell>
          <cell r="M4">
            <v>2.89</v>
          </cell>
          <cell r="N4">
            <v>20150202</v>
          </cell>
        </row>
        <row r="5">
          <cell r="A5" t="str">
            <v>CMS</v>
          </cell>
          <cell r="B5" t="str">
            <v>CMS</v>
          </cell>
          <cell r="C5" t="str">
            <v>CMS ENERGY CORP</v>
          </cell>
          <cell r="D5">
            <v>20141218</v>
          </cell>
          <cell r="E5" t="str">
            <v>EPS</v>
          </cell>
          <cell r="F5" t="str">
            <v>ANN</v>
          </cell>
          <cell r="G5">
            <v>1</v>
          </cell>
          <cell r="H5">
            <v>17</v>
          </cell>
          <cell r="I5">
            <v>1.78</v>
          </cell>
          <cell r="J5">
            <v>1.78</v>
          </cell>
          <cell r="K5">
            <v>1</v>
          </cell>
          <cell r="L5">
            <v>20141231</v>
          </cell>
          <cell r="M5">
            <v>1.77</v>
          </cell>
          <cell r="N5">
            <v>20150129</v>
          </cell>
        </row>
        <row r="6">
          <cell r="A6" t="str">
            <v>CNL</v>
          </cell>
          <cell r="B6" t="str">
            <v>CNL</v>
          </cell>
          <cell r="C6" t="str">
            <v>CLECO CORP</v>
          </cell>
          <cell r="D6">
            <v>20141218</v>
          </cell>
          <cell r="E6" t="str">
            <v>EPS</v>
          </cell>
          <cell r="F6" t="str">
            <v>ANN</v>
          </cell>
          <cell r="G6">
            <v>1</v>
          </cell>
          <cell r="H6">
            <v>4</v>
          </cell>
          <cell r="I6">
            <v>2.69</v>
          </cell>
          <cell r="J6">
            <v>2.71</v>
          </cell>
          <cell r="K6">
            <v>1</v>
          </cell>
          <cell r="L6">
            <v>20141231</v>
          </cell>
          <cell r="M6">
            <v>2.74</v>
          </cell>
          <cell r="N6">
            <v>20150227</v>
          </cell>
        </row>
        <row r="7">
          <cell r="A7" t="str">
            <v>D</v>
          </cell>
          <cell r="B7" t="str">
            <v>D</v>
          </cell>
          <cell r="C7" t="str">
            <v>DOMINION RES INC</v>
          </cell>
          <cell r="D7">
            <v>20141218</v>
          </cell>
          <cell r="E7" t="str">
            <v>EPS</v>
          </cell>
          <cell r="F7" t="str">
            <v>ANN</v>
          </cell>
          <cell r="G7">
            <v>1</v>
          </cell>
          <cell r="H7">
            <v>21</v>
          </cell>
          <cell r="I7">
            <v>3.45</v>
          </cell>
          <cell r="J7">
            <v>3.45</v>
          </cell>
          <cell r="K7">
            <v>1</v>
          </cell>
          <cell r="L7">
            <v>20141231</v>
          </cell>
          <cell r="M7">
            <v>3.43</v>
          </cell>
          <cell r="N7">
            <v>20150206</v>
          </cell>
        </row>
        <row r="8">
          <cell r="A8" t="str">
            <v>DTE</v>
          </cell>
          <cell r="B8" t="str">
            <v>DTE</v>
          </cell>
          <cell r="C8" t="str">
            <v>DTE ENERGY</v>
          </cell>
          <cell r="D8">
            <v>20141218</v>
          </cell>
          <cell r="E8" t="str">
            <v>EPS</v>
          </cell>
          <cell r="F8" t="str">
            <v>ANN</v>
          </cell>
          <cell r="G8">
            <v>1</v>
          </cell>
          <cell r="H8">
            <v>13</v>
          </cell>
          <cell r="I8">
            <v>4.41</v>
          </cell>
          <cell r="J8">
            <v>4.4400000000000004</v>
          </cell>
          <cell r="K8">
            <v>1</v>
          </cell>
          <cell r="L8">
            <v>20141231</v>
          </cell>
          <cell r="M8">
            <v>4.5999999999999996</v>
          </cell>
          <cell r="N8">
            <v>20150213</v>
          </cell>
        </row>
        <row r="9">
          <cell r="A9" t="str">
            <v>DUK</v>
          </cell>
          <cell r="B9" t="str">
            <v>DUK</v>
          </cell>
          <cell r="C9" t="str">
            <v>DUKE ENERGY CORP</v>
          </cell>
          <cell r="D9">
            <v>20141218</v>
          </cell>
          <cell r="E9" t="str">
            <v>EPS</v>
          </cell>
          <cell r="F9" t="str">
            <v>ANN</v>
          </cell>
          <cell r="G9">
            <v>1</v>
          </cell>
          <cell r="H9">
            <v>20</v>
          </cell>
          <cell r="I9">
            <v>4.57</v>
          </cell>
          <cell r="J9">
            <v>4.58</v>
          </cell>
          <cell r="K9">
            <v>1</v>
          </cell>
          <cell r="L9">
            <v>20141231</v>
          </cell>
          <cell r="M9">
            <v>4.55</v>
          </cell>
          <cell r="N9">
            <v>20150218</v>
          </cell>
        </row>
        <row r="10">
          <cell r="A10" t="str">
            <v>ED</v>
          </cell>
          <cell r="B10" t="str">
            <v>ED</v>
          </cell>
          <cell r="C10" t="str">
            <v>CONSOLIDATED EDI</v>
          </cell>
          <cell r="D10">
            <v>20141218</v>
          </cell>
          <cell r="E10" t="str">
            <v>EPS</v>
          </cell>
          <cell r="F10" t="str">
            <v>ANN</v>
          </cell>
          <cell r="G10">
            <v>1</v>
          </cell>
          <cell r="H10">
            <v>15</v>
          </cell>
          <cell r="I10">
            <v>3.85</v>
          </cell>
          <cell r="J10">
            <v>3.85</v>
          </cell>
          <cell r="K10">
            <v>1</v>
          </cell>
          <cell r="L10">
            <v>20141231</v>
          </cell>
          <cell r="M10">
            <v>3.89</v>
          </cell>
          <cell r="N10">
            <v>20150219</v>
          </cell>
        </row>
        <row r="11">
          <cell r="A11" t="str">
            <v>EDE</v>
          </cell>
          <cell r="B11" t="str">
            <v>EDE</v>
          </cell>
          <cell r="C11" t="str">
            <v>EMPIRE DIST ELEC</v>
          </cell>
          <cell r="D11">
            <v>20141218</v>
          </cell>
          <cell r="E11" t="str">
            <v>EPS</v>
          </cell>
          <cell r="F11" t="str">
            <v>ANN</v>
          </cell>
          <cell r="G11">
            <v>1</v>
          </cell>
          <cell r="H11">
            <v>4</v>
          </cell>
          <cell r="I11">
            <v>1.55</v>
          </cell>
          <cell r="J11">
            <v>1.54</v>
          </cell>
          <cell r="K11">
            <v>1</v>
          </cell>
          <cell r="L11">
            <v>20141231</v>
          </cell>
          <cell r="M11">
            <v>1.55</v>
          </cell>
          <cell r="N11">
            <v>20150205</v>
          </cell>
        </row>
        <row r="12">
          <cell r="A12" t="str">
            <v>NEE</v>
          </cell>
          <cell r="B12" t="str">
            <v>FPL</v>
          </cell>
          <cell r="C12" t="str">
            <v>NEXTERA ENERGY I</v>
          </cell>
          <cell r="D12">
            <v>20141218</v>
          </cell>
          <cell r="E12" t="str">
            <v>EPS</v>
          </cell>
          <cell r="F12" t="str">
            <v>ANN</v>
          </cell>
          <cell r="G12">
            <v>1</v>
          </cell>
          <cell r="H12">
            <v>20</v>
          </cell>
          <cell r="I12">
            <v>1.33</v>
          </cell>
          <cell r="J12">
            <v>1.33</v>
          </cell>
          <cell r="K12">
            <v>1</v>
          </cell>
          <cell r="L12">
            <v>20141231</v>
          </cell>
          <cell r="M12">
            <v>1.325</v>
          </cell>
          <cell r="N12">
            <v>20150127</v>
          </cell>
        </row>
        <row r="13">
          <cell r="A13" t="str">
            <v>HE</v>
          </cell>
          <cell r="B13" t="str">
            <v>HE</v>
          </cell>
          <cell r="C13" t="str">
            <v>HAWAIIAN ELEC</v>
          </cell>
          <cell r="D13">
            <v>20141218</v>
          </cell>
          <cell r="E13" t="str">
            <v>EPS</v>
          </cell>
          <cell r="F13" t="str">
            <v>ANN</v>
          </cell>
          <cell r="G13">
            <v>1</v>
          </cell>
          <cell r="H13">
            <v>7</v>
          </cell>
          <cell r="I13">
            <v>1.63</v>
          </cell>
          <cell r="J13">
            <v>1.62</v>
          </cell>
          <cell r="K13">
            <v>1</v>
          </cell>
          <cell r="L13">
            <v>20141231</v>
          </cell>
          <cell r="M13">
            <v>1.68</v>
          </cell>
          <cell r="N13">
            <v>20150212</v>
          </cell>
        </row>
        <row r="14">
          <cell r="A14" t="str">
            <v>CNP</v>
          </cell>
          <cell r="B14" t="str">
            <v>HOU</v>
          </cell>
          <cell r="C14" t="str">
            <v>CENTERPOINT ENER</v>
          </cell>
          <cell r="D14">
            <v>20141218</v>
          </cell>
          <cell r="E14" t="str">
            <v>EPS</v>
          </cell>
          <cell r="F14" t="str">
            <v>ANN</v>
          </cell>
          <cell r="G14">
            <v>1</v>
          </cell>
          <cell r="H14">
            <v>15</v>
          </cell>
          <cell r="I14">
            <v>1.18</v>
          </cell>
          <cell r="J14">
            <v>1.18</v>
          </cell>
          <cell r="K14">
            <v>1</v>
          </cell>
          <cell r="L14">
            <v>20141231</v>
          </cell>
          <cell r="M14">
            <v>1.27</v>
          </cell>
          <cell r="N14">
            <v>20150226</v>
          </cell>
        </row>
        <row r="15">
          <cell r="A15" t="str">
            <v>IDA</v>
          </cell>
          <cell r="B15" t="str">
            <v>IDA</v>
          </cell>
          <cell r="C15" t="str">
            <v>IDACORP INC.</v>
          </cell>
          <cell r="D15">
            <v>20141218</v>
          </cell>
          <cell r="E15" t="str">
            <v>EPS</v>
          </cell>
          <cell r="F15" t="str">
            <v>ANN</v>
          </cell>
          <cell r="G15">
            <v>1</v>
          </cell>
          <cell r="H15">
            <v>2</v>
          </cell>
          <cell r="I15">
            <v>3.75</v>
          </cell>
          <cell r="J15">
            <v>3.75</v>
          </cell>
          <cell r="K15">
            <v>1</v>
          </cell>
          <cell r="L15">
            <v>20141231</v>
          </cell>
          <cell r="M15">
            <v>3.85</v>
          </cell>
          <cell r="N15">
            <v>20150219</v>
          </cell>
        </row>
        <row r="16">
          <cell r="A16" t="str">
            <v>WR</v>
          </cell>
          <cell r="B16" t="str">
            <v>KAN</v>
          </cell>
          <cell r="C16" t="str">
            <v>WESTAR ENERGY</v>
          </cell>
          <cell r="D16">
            <v>20141218</v>
          </cell>
          <cell r="E16" t="str">
            <v>EPS</v>
          </cell>
          <cell r="F16" t="str">
            <v>ANN</v>
          </cell>
          <cell r="G16">
            <v>1</v>
          </cell>
          <cell r="H16">
            <v>13</v>
          </cell>
          <cell r="I16">
            <v>2.41</v>
          </cell>
          <cell r="J16">
            <v>2.41</v>
          </cell>
          <cell r="K16">
            <v>1</v>
          </cell>
          <cell r="L16">
            <v>20141231</v>
          </cell>
          <cell r="M16">
            <v>2.35</v>
          </cell>
          <cell r="N16">
            <v>20150225</v>
          </cell>
        </row>
        <row r="17">
          <cell r="A17" t="str">
            <v>GXP</v>
          </cell>
          <cell r="B17" t="str">
            <v>KLT</v>
          </cell>
          <cell r="C17" t="str">
            <v>GREAT PLAINS</v>
          </cell>
          <cell r="D17">
            <v>20141218</v>
          </cell>
          <cell r="E17" t="str">
            <v>EPS</v>
          </cell>
          <cell r="F17" t="str">
            <v>ANN</v>
          </cell>
          <cell r="G17">
            <v>1</v>
          </cell>
          <cell r="H17">
            <v>13</v>
          </cell>
          <cell r="I17">
            <v>1.58</v>
          </cell>
          <cell r="J17">
            <v>1.58</v>
          </cell>
          <cell r="K17">
            <v>1</v>
          </cell>
          <cell r="L17">
            <v>20141231</v>
          </cell>
          <cell r="M17">
            <v>1.57</v>
          </cell>
          <cell r="N17">
            <v>20150225</v>
          </cell>
        </row>
        <row r="18">
          <cell r="A18" t="str">
            <v>MGEE</v>
          </cell>
          <cell r="B18" t="str">
            <v>MDSN</v>
          </cell>
          <cell r="C18" t="str">
            <v>MGE ENERGY INC</v>
          </cell>
          <cell r="D18">
            <v>20141218</v>
          </cell>
          <cell r="E18" t="str">
            <v>EPS</v>
          </cell>
          <cell r="F18" t="str">
            <v>ANN</v>
          </cell>
          <cell r="G18">
            <v>1</v>
          </cell>
          <cell r="H18">
            <v>1</v>
          </cell>
          <cell r="I18">
            <v>2.1</v>
          </cell>
          <cell r="J18">
            <v>2.1</v>
          </cell>
          <cell r="K18">
            <v>1</v>
          </cell>
          <cell r="L18">
            <v>20141231</v>
          </cell>
          <cell r="M18">
            <v>2.3199999999999998</v>
          </cell>
          <cell r="N18">
            <v>20150226</v>
          </cell>
        </row>
        <row r="19">
          <cell r="A19" t="str">
            <v>ALE</v>
          </cell>
          <cell r="B19" t="str">
            <v>MPL</v>
          </cell>
          <cell r="C19" t="str">
            <v>ALLETE INC</v>
          </cell>
          <cell r="D19">
            <v>20141218</v>
          </cell>
          <cell r="E19" t="str">
            <v>EPS</v>
          </cell>
          <cell r="F19" t="str">
            <v>ANN</v>
          </cell>
          <cell r="G19">
            <v>1</v>
          </cell>
          <cell r="H19">
            <v>5</v>
          </cell>
          <cell r="I19">
            <v>2.9</v>
          </cell>
          <cell r="J19">
            <v>2.92</v>
          </cell>
          <cell r="K19">
            <v>1</v>
          </cell>
          <cell r="L19">
            <v>20141231</v>
          </cell>
          <cell r="M19">
            <v>2.99</v>
          </cell>
          <cell r="N19">
            <v>20150217</v>
          </cell>
        </row>
        <row r="20">
          <cell r="A20" t="str">
            <v>ETR</v>
          </cell>
          <cell r="B20" t="str">
            <v>MSU</v>
          </cell>
          <cell r="C20" t="str">
            <v>ENTERGY CP</v>
          </cell>
          <cell r="D20">
            <v>20141218</v>
          </cell>
          <cell r="E20" t="str">
            <v>EPS</v>
          </cell>
          <cell r="F20" t="str">
            <v>ANN</v>
          </cell>
          <cell r="G20">
            <v>1</v>
          </cell>
          <cell r="H20">
            <v>17</v>
          </cell>
          <cell r="I20">
            <v>5.97</v>
          </cell>
          <cell r="J20">
            <v>5.95</v>
          </cell>
          <cell r="K20">
            <v>1</v>
          </cell>
          <cell r="L20">
            <v>20141231</v>
          </cell>
          <cell r="M20">
            <v>5.83</v>
          </cell>
          <cell r="N20">
            <v>20150205</v>
          </cell>
        </row>
        <row r="21">
          <cell r="A21" t="str">
            <v>XEL</v>
          </cell>
          <cell r="B21" t="str">
            <v>NSP</v>
          </cell>
          <cell r="C21" t="str">
            <v>XCEL ENERGY INC</v>
          </cell>
          <cell r="D21">
            <v>20141218</v>
          </cell>
          <cell r="E21" t="str">
            <v>EPS</v>
          </cell>
          <cell r="F21" t="str">
            <v>ANN</v>
          </cell>
          <cell r="G21">
            <v>1</v>
          </cell>
          <cell r="H21">
            <v>17</v>
          </cell>
          <cell r="I21">
            <v>2</v>
          </cell>
          <cell r="J21">
            <v>2</v>
          </cell>
          <cell r="K21">
            <v>1</v>
          </cell>
          <cell r="L21">
            <v>20141231</v>
          </cell>
          <cell r="M21">
            <v>2.0299999999999998</v>
          </cell>
          <cell r="N21">
            <v>20150129</v>
          </cell>
        </row>
        <row r="22">
          <cell r="A22" t="str">
            <v>NU</v>
          </cell>
          <cell r="B22" t="str">
            <v>NU</v>
          </cell>
          <cell r="C22" t="str">
            <v>NORTHEAST UTILS</v>
          </cell>
          <cell r="D22">
            <v>20141218</v>
          </cell>
          <cell r="E22" t="str">
            <v>EPS</v>
          </cell>
          <cell r="F22" t="str">
            <v>ANN</v>
          </cell>
          <cell r="G22">
            <v>1</v>
          </cell>
          <cell r="H22">
            <v>15</v>
          </cell>
          <cell r="I22">
            <v>2.67</v>
          </cell>
          <cell r="J22">
            <v>2.66</v>
          </cell>
          <cell r="K22">
            <v>1</v>
          </cell>
          <cell r="L22">
            <v>20141231</v>
          </cell>
          <cell r="M22">
            <v>2.75</v>
          </cell>
          <cell r="N22">
            <v>20150211</v>
          </cell>
        </row>
        <row r="23">
          <cell r="A23" t="str">
            <v>NWE</v>
          </cell>
          <cell r="B23" t="str">
            <v>NWPS</v>
          </cell>
          <cell r="C23" t="str">
            <v>NORTHWESTERN CP</v>
          </cell>
          <cell r="D23">
            <v>20141218</v>
          </cell>
          <cell r="E23" t="str">
            <v>EPS</v>
          </cell>
          <cell r="F23" t="str">
            <v>ANN</v>
          </cell>
          <cell r="G23">
            <v>1</v>
          </cell>
          <cell r="H23">
            <v>5</v>
          </cell>
          <cell r="I23">
            <v>2.68</v>
          </cell>
          <cell r="J23">
            <v>2.68</v>
          </cell>
          <cell r="K23">
            <v>1</v>
          </cell>
          <cell r="L23">
            <v>20141231</v>
          </cell>
          <cell r="M23">
            <v>2.46</v>
          </cell>
          <cell r="N23">
            <v>20150212</v>
          </cell>
        </row>
        <row r="24">
          <cell r="A24" t="str">
            <v>FE</v>
          </cell>
          <cell r="B24" t="str">
            <v>OEC</v>
          </cell>
          <cell r="C24" t="str">
            <v>FIRSTENERGY CORP</v>
          </cell>
          <cell r="D24">
            <v>20141218</v>
          </cell>
          <cell r="E24" t="str">
            <v>EPS</v>
          </cell>
          <cell r="F24" t="str">
            <v>ANN</v>
          </cell>
          <cell r="G24">
            <v>1</v>
          </cell>
          <cell r="H24">
            <v>19</v>
          </cell>
          <cell r="I24">
            <v>2.5</v>
          </cell>
          <cell r="J24">
            <v>2.5</v>
          </cell>
          <cell r="K24">
            <v>1</v>
          </cell>
          <cell r="L24">
            <v>20141231</v>
          </cell>
          <cell r="M24">
            <v>2.56</v>
          </cell>
          <cell r="N24">
            <v>20150217</v>
          </cell>
        </row>
        <row r="25">
          <cell r="A25" t="str">
            <v>OGE</v>
          </cell>
          <cell r="B25" t="str">
            <v>OGE</v>
          </cell>
          <cell r="C25" t="str">
            <v>OGE ENERGY CORP</v>
          </cell>
          <cell r="D25">
            <v>20141218</v>
          </cell>
          <cell r="E25" t="str">
            <v>EPS</v>
          </cell>
          <cell r="F25" t="str">
            <v>ANN</v>
          </cell>
          <cell r="G25">
            <v>1</v>
          </cell>
          <cell r="H25">
            <v>9</v>
          </cell>
          <cell r="I25">
            <v>1.97</v>
          </cell>
          <cell r="J25">
            <v>1.98</v>
          </cell>
          <cell r="K25">
            <v>1</v>
          </cell>
          <cell r="L25">
            <v>20141231</v>
          </cell>
          <cell r="M25">
            <v>1.98</v>
          </cell>
          <cell r="N25">
            <v>20150226</v>
          </cell>
        </row>
        <row r="26">
          <cell r="A26" t="str">
            <v>OTTR</v>
          </cell>
          <cell r="B26" t="str">
            <v>OTTR</v>
          </cell>
          <cell r="C26" t="str">
            <v>OTTER TAIL CORP.</v>
          </cell>
          <cell r="D26">
            <v>20141218</v>
          </cell>
          <cell r="E26" t="str">
            <v>EPS</v>
          </cell>
          <cell r="F26" t="str">
            <v>ANN</v>
          </cell>
          <cell r="G26">
            <v>1</v>
          </cell>
          <cell r="H26">
            <v>3</v>
          </cell>
          <cell r="I26">
            <v>1.74</v>
          </cell>
          <cell r="J26">
            <v>1.74</v>
          </cell>
          <cell r="K26">
            <v>1</v>
          </cell>
          <cell r="L26">
            <v>20141231</v>
          </cell>
          <cell r="M26">
            <v>1.55</v>
          </cell>
          <cell r="N26">
            <v>20150209</v>
          </cell>
        </row>
        <row r="27">
          <cell r="A27" t="str">
            <v>PCG</v>
          </cell>
          <cell r="B27" t="str">
            <v>PCG</v>
          </cell>
          <cell r="C27" t="str">
            <v>P G &amp; E CORP</v>
          </cell>
          <cell r="D27">
            <v>20141218</v>
          </cell>
          <cell r="E27" t="str">
            <v>EPS</v>
          </cell>
          <cell r="F27" t="str">
            <v>ANN</v>
          </cell>
          <cell r="G27">
            <v>1</v>
          </cell>
          <cell r="H27">
            <v>16</v>
          </cell>
          <cell r="I27">
            <v>3.48</v>
          </cell>
          <cell r="J27">
            <v>3.43</v>
          </cell>
          <cell r="K27">
            <v>1</v>
          </cell>
          <cell r="L27">
            <v>20141231</v>
          </cell>
          <cell r="M27">
            <v>3.5</v>
          </cell>
          <cell r="N27">
            <v>20150210</v>
          </cell>
        </row>
        <row r="28">
          <cell r="A28" t="str">
            <v>EXC</v>
          </cell>
          <cell r="B28" t="str">
            <v>PE</v>
          </cell>
          <cell r="C28" t="str">
            <v>EXELON CORP</v>
          </cell>
          <cell r="D28">
            <v>20141218</v>
          </cell>
          <cell r="E28" t="str">
            <v>EPS</v>
          </cell>
          <cell r="F28" t="str">
            <v>ANN</v>
          </cell>
          <cell r="G28">
            <v>1</v>
          </cell>
          <cell r="H28">
            <v>19</v>
          </cell>
          <cell r="I28">
            <v>2.4</v>
          </cell>
          <cell r="J28">
            <v>2.4</v>
          </cell>
          <cell r="K28">
            <v>1</v>
          </cell>
          <cell r="L28">
            <v>20141231</v>
          </cell>
          <cell r="M28">
            <v>2.39</v>
          </cell>
          <cell r="N28">
            <v>20150213</v>
          </cell>
        </row>
        <row r="29">
          <cell r="A29" t="str">
            <v>PEG</v>
          </cell>
          <cell r="B29" t="str">
            <v>PEG</v>
          </cell>
          <cell r="C29" t="str">
            <v>PUB SVC ENTERS</v>
          </cell>
          <cell r="D29">
            <v>20141218</v>
          </cell>
          <cell r="E29" t="str">
            <v>EPS</v>
          </cell>
          <cell r="F29" t="str">
            <v>ANN</v>
          </cell>
          <cell r="G29">
            <v>1</v>
          </cell>
          <cell r="H29">
            <v>17</v>
          </cell>
          <cell r="I29">
            <v>2.73</v>
          </cell>
          <cell r="J29">
            <v>2.74</v>
          </cell>
          <cell r="K29">
            <v>1</v>
          </cell>
          <cell r="L29">
            <v>20141231</v>
          </cell>
          <cell r="M29">
            <v>2.76</v>
          </cell>
          <cell r="N29">
            <v>20150220</v>
          </cell>
        </row>
        <row r="30">
          <cell r="A30" t="str">
            <v>PNM</v>
          </cell>
          <cell r="B30" t="str">
            <v>PNM</v>
          </cell>
          <cell r="C30" t="str">
            <v>PNM RESOURCES</v>
          </cell>
          <cell r="D30">
            <v>20141218</v>
          </cell>
          <cell r="E30" t="str">
            <v>EPS</v>
          </cell>
          <cell r="F30" t="str">
            <v>ANN</v>
          </cell>
          <cell r="G30">
            <v>1</v>
          </cell>
          <cell r="H30">
            <v>10</v>
          </cell>
          <cell r="I30">
            <v>1.47</v>
          </cell>
          <cell r="J30">
            <v>1.47</v>
          </cell>
          <cell r="K30">
            <v>1</v>
          </cell>
          <cell r="L30">
            <v>20141231</v>
          </cell>
          <cell r="M30">
            <v>1.49</v>
          </cell>
          <cell r="N30">
            <v>20150227</v>
          </cell>
        </row>
        <row r="31">
          <cell r="A31" t="str">
            <v>POM</v>
          </cell>
          <cell r="B31" t="str">
            <v>POM</v>
          </cell>
          <cell r="C31" t="str">
            <v>PEPCO HOLDINGS</v>
          </cell>
          <cell r="D31">
            <v>20141218</v>
          </cell>
          <cell r="E31" t="str">
            <v>EPS</v>
          </cell>
          <cell r="F31" t="str">
            <v>ANN</v>
          </cell>
          <cell r="G31">
            <v>1</v>
          </cell>
          <cell r="H31">
            <v>8</v>
          </cell>
          <cell r="I31">
            <v>1.22</v>
          </cell>
          <cell r="J31">
            <v>1.22</v>
          </cell>
          <cell r="K31">
            <v>1</v>
          </cell>
          <cell r="L31">
            <v>20141231</v>
          </cell>
          <cell r="M31">
            <v>1.27</v>
          </cell>
          <cell r="N31">
            <v>20150227</v>
          </cell>
        </row>
        <row r="32">
          <cell r="A32" t="str">
            <v>POR</v>
          </cell>
          <cell r="B32" t="str">
            <v>PORO</v>
          </cell>
          <cell r="C32" t="str">
            <v>PORTLAND GENERAL</v>
          </cell>
          <cell r="D32">
            <v>20141218</v>
          </cell>
          <cell r="E32" t="str">
            <v>EPS</v>
          </cell>
          <cell r="F32" t="str">
            <v>ANN</v>
          </cell>
          <cell r="G32">
            <v>1</v>
          </cell>
          <cell r="H32">
            <v>13</v>
          </cell>
          <cell r="I32">
            <v>2.17</v>
          </cell>
          <cell r="J32">
            <v>2.17</v>
          </cell>
          <cell r="K32">
            <v>1</v>
          </cell>
          <cell r="L32">
            <v>20141231</v>
          </cell>
          <cell r="M32">
            <v>2.1800000000000002</v>
          </cell>
          <cell r="N32">
            <v>20150213</v>
          </cell>
        </row>
        <row r="33">
          <cell r="A33" t="str">
            <v>PPL</v>
          </cell>
          <cell r="B33" t="str">
            <v>PPL</v>
          </cell>
          <cell r="C33" t="str">
            <v>PP&amp;L CORP</v>
          </cell>
          <cell r="D33">
            <v>20141218</v>
          </cell>
          <cell r="E33" t="str">
            <v>EPS</v>
          </cell>
          <cell r="F33" t="str">
            <v>ANN</v>
          </cell>
          <cell r="G33">
            <v>1</v>
          </cell>
          <cell r="H33">
            <v>17</v>
          </cell>
          <cell r="I33">
            <v>2.41</v>
          </cell>
          <cell r="J33">
            <v>2.38</v>
          </cell>
          <cell r="K33">
            <v>1</v>
          </cell>
          <cell r="L33">
            <v>20141231</v>
          </cell>
          <cell r="M33">
            <v>2.4500000000000002</v>
          </cell>
          <cell r="N33">
            <v>20150205</v>
          </cell>
        </row>
        <row r="34">
          <cell r="A34" t="str">
            <v>EIX</v>
          </cell>
          <cell r="B34" t="str">
            <v>SCE</v>
          </cell>
          <cell r="C34" t="str">
            <v>EDISON INTL</v>
          </cell>
          <cell r="D34">
            <v>20141218</v>
          </cell>
          <cell r="E34" t="str">
            <v>EPS</v>
          </cell>
          <cell r="F34" t="str">
            <v>ANN</v>
          </cell>
          <cell r="G34">
            <v>1</v>
          </cell>
          <cell r="H34">
            <v>19</v>
          </cell>
          <cell r="I34">
            <v>4.3</v>
          </cell>
          <cell r="J34">
            <v>4.29</v>
          </cell>
          <cell r="K34">
            <v>1</v>
          </cell>
          <cell r="L34">
            <v>20141231</v>
          </cell>
          <cell r="M34">
            <v>4.59</v>
          </cell>
          <cell r="N34">
            <v>20150224</v>
          </cell>
        </row>
        <row r="35">
          <cell r="A35" t="str">
            <v>SCG</v>
          </cell>
          <cell r="B35" t="str">
            <v>SCG</v>
          </cell>
          <cell r="C35" t="str">
            <v>SCANA CP</v>
          </cell>
          <cell r="D35">
            <v>20141218</v>
          </cell>
          <cell r="E35" t="str">
            <v>EPS</v>
          </cell>
          <cell r="F35" t="str">
            <v>ANN</v>
          </cell>
          <cell r="G35">
            <v>1</v>
          </cell>
          <cell r="H35">
            <v>10</v>
          </cell>
          <cell r="I35">
            <v>3.8</v>
          </cell>
          <cell r="J35">
            <v>3.77</v>
          </cell>
          <cell r="K35">
            <v>1</v>
          </cell>
          <cell r="L35">
            <v>20141231</v>
          </cell>
          <cell r="M35">
            <v>3.79</v>
          </cell>
          <cell r="N35">
            <v>20150219</v>
          </cell>
        </row>
        <row r="36">
          <cell r="A36" t="str">
            <v>SRE</v>
          </cell>
          <cell r="B36" t="str">
            <v>SDO</v>
          </cell>
          <cell r="C36" t="str">
            <v>SEMPRA ENERGY</v>
          </cell>
          <cell r="D36">
            <v>20141218</v>
          </cell>
          <cell r="E36" t="str">
            <v>EPS</v>
          </cell>
          <cell r="F36" t="str">
            <v>ANN</v>
          </cell>
          <cell r="G36">
            <v>1</v>
          </cell>
          <cell r="H36">
            <v>14</v>
          </cell>
          <cell r="I36">
            <v>4.54</v>
          </cell>
          <cell r="J36">
            <v>4.53</v>
          </cell>
          <cell r="K36">
            <v>1</v>
          </cell>
          <cell r="L36">
            <v>20141231</v>
          </cell>
          <cell r="M36">
            <v>4.71</v>
          </cell>
          <cell r="N36">
            <v>20150226</v>
          </cell>
        </row>
        <row r="37">
          <cell r="A37" t="str">
            <v>VVC</v>
          </cell>
          <cell r="B37" t="str">
            <v>SIG</v>
          </cell>
          <cell r="C37" t="str">
            <v>VECTREN CORP</v>
          </cell>
          <cell r="D37">
            <v>20141218</v>
          </cell>
          <cell r="E37" t="str">
            <v>EPS</v>
          </cell>
          <cell r="F37" t="str">
            <v>ANN</v>
          </cell>
          <cell r="G37">
            <v>1</v>
          </cell>
          <cell r="H37">
            <v>6</v>
          </cell>
          <cell r="I37">
            <v>2.29</v>
          </cell>
          <cell r="J37">
            <v>2.29</v>
          </cell>
          <cell r="K37">
            <v>1</v>
          </cell>
          <cell r="L37">
            <v>20141231</v>
          </cell>
          <cell r="M37">
            <v>2.2799999999999998</v>
          </cell>
          <cell r="N37">
            <v>20150216</v>
          </cell>
        </row>
        <row r="38">
          <cell r="A38" t="str">
            <v>SO</v>
          </cell>
          <cell r="B38" t="str">
            <v>SO</v>
          </cell>
          <cell r="C38" t="str">
            <v>SOUTHN CO</v>
          </cell>
          <cell r="D38">
            <v>20141218</v>
          </cell>
          <cell r="E38" t="str">
            <v>EPS</v>
          </cell>
          <cell r="F38" t="str">
            <v>ANN</v>
          </cell>
          <cell r="G38">
            <v>1</v>
          </cell>
          <cell r="H38">
            <v>19</v>
          </cell>
          <cell r="I38">
            <v>2.8</v>
          </cell>
          <cell r="J38">
            <v>2.8</v>
          </cell>
          <cell r="K38">
            <v>1</v>
          </cell>
          <cell r="L38">
            <v>20141231</v>
          </cell>
          <cell r="M38">
            <v>2.8</v>
          </cell>
          <cell r="N38">
            <v>20150204</v>
          </cell>
        </row>
        <row r="39">
          <cell r="A39" t="str">
            <v>TE</v>
          </cell>
          <cell r="B39" t="str">
            <v>TE</v>
          </cell>
          <cell r="C39" t="str">
            <v>TECO ENERGY INC</v>
          </cell>
          <cell r="D39">
            <v>20141218</v>
          </cell>
          <cell r="E39" t="str">
            <v>EPS</v>
          </cell>
          <cell r="F39" t="str">
            <v>ANN</v>
          </cell>
          <cell r="G39">
            <v>1</v>
          </cell>
          <cell r="H39">
            <v>15</v>
          </cell>
          <cell r="I39">
            <v>1.04</v>
          </cell>
          <cell r="J39">
            <v>1.04</v>
          </cell>
          <cell r="K39">
            <v>1</v>
          </cell>
          <cell r="L39">
            <v>20141231</v>
          </cell>
          <cell r="M39">
            <v>1.03</v>
          </cell>
          <cell r="N39">
            <v>20150209</v>
          </cell>
        </row>
        <row r="40">
          <cell r="A40" t="str">
            <v>AEE</v>
          </cell>
          <cell r="B40" t="str">
            <v>UEP</v>
          </cell>
          <cell r="C40" t="str">
            <v>AMEREN CP</v>
          </cell>
          <cell r="D40">
            <v>20141218</v>
          </cell>
          <cell r="E40" t="str">
            <v>EPS</v>
          </cell>
          <cell r="F40" t="str">
            <v>ANN</v>
          </cell>
          <cell r="G40">
            <v>1</v>
          </cell>
          <cell r="H40">
            <v>12</v>
          </cell>
          <cell r="I40">
            <v>2.37</v>
          </cell>
          <cell r="J40">
            <v>2.36</v>
          </cell>
          <cell r="K40">
            <v>1</v>
          </cell>
          <cell r="L40">
            <v>20141231</v>
          </cell>
          <cell r="M40">
            <v>2.4</v>
          </cell>
          <cell r="N40">
            <v>20150225</v>
          </cell>
        </row>
        <row r="41">
          <cell r="A41" t="str">
            <v>UIL</v>
          </cell>
          <cell r="B41" t="str">
            <v>UIL</v>
          </cell>
          <cell r="C41" t="str">
            <v>UIL HOLDING CORP</v>
          </cell>
          <cell r="D41">
            <v>20141218</v>
          </cell>
          <cell r="E41" t="str">
            <v>EPS</v>
          </cell>
          <cell r="F41" t="str">
            <v>ANN</v>
          </cell>
          <cell r="G41">
            <v>1</v>
          </cell>
          <cell r="H41">
            <v>8</v>
          </cell>
          <cell r="I41">
            <v>2.2599999999999998</v>
          </cell>
          <cell r="J41">
            <v>2.25</v>
          </cell>
          <cell r="K41">
            <v>1</v>
          </cell>
          <cell r="L41">
            <v>20141231</v>
          </cell>
          <cell r="M41">
            <v>2.2599999999999998</v>
          </cell>
          <cell r="N41">
            <v>20150225</v>
          </cell>
        </row>
        <row r="42">
          <cell r="A42" t="str">
            <v>WEC</v>
          </cell>
          <cell r="B42" t="str">
            <v>WPC</v>
          </cell>
          <cell r="C42" t="str">
            <v>WISCONSIN ENERGY</v>
          </cell>
          <cell r="D42">
            <v>20141218</v>
          </cell>
          <cell r="E42" t="str">
            <v>EPS</v>
          </cell>
          <cell r="F42" t="str">
            <v>ANN</v>
          </cell>
          <cell r="G42">
            <v>1</v>
          </cell>
          <cell r="H42">
            <v>16</v>
          </cell>
          <cell r="I42">
            <v>2.62</v>
          </cell>
          <cell r="J42">
            <v>2.62</v>
          </cell>
          <cell r="K42">
            <v>1</v>
          </cell>
          <cell r="L42">
            <v>20141231</v>
          </cell>
          <cell r="M42">
            <v>2.59</v>
          </cell>
          <cell r="N42">
            <v>20150211</v>
          </cell>
        </row>
        <row r="43">
          <cell r="A43" t="str">
            <v>LNT</v>
          </cell>
          <cell r="B43" t="str">
            <v>WPL</v>
          </cell>
          <cell r="C43" t="str">
            <v>ALLIANT ENER</v>
          </cell>
          <cell r="D43">
            <v>20141218</v>
          </cell>
          <cell r="E43" t="str">
            <v>EPS</v>
          </cell>
          <cell r="F43" t="str">
            <v>ANN</v>
          </cell>
          <cell r="G43">
            <v>1</v>
          </cell>
          <cell r="H43">
            <v>9</v>
          </cell>
          <cell r="I43">
            <v>1.73</v>
          </cell>
          <cell r="J43">
            <v>1.73</v>
          </cell>
          <cell r="K43">
            <v>1</v>
          </cell>
          <cell r="L43">
            <v>20141231</v>
          </cell>
          <cell r="M43">
            <v>1.74</v>
          </cell>
          <cell r="N43">
            <v>20150223</v>
          </cell>
        </row>
        <row r="44">
          <cell r="A44" t="str">
            <v>AVA</v>
          </cell>
          <cell r="B44" t="str">
            <v>WWP</v>
          </cell>
          <cell r="C44" t="str">
            <v>AVISTA CORP</v>
          </cell>
          <cell r="D44">
            <v>20141218</v>
          </cell>
          <cell r="E44" t="str">
            <v>EPS</v>
          </cell>
          <cell r="F44" t="str">
            <v>ANN</v>
          </cell>
          <cell r="G44">
            <v>1</v>
          </cell>
          <cell r="H44">
            <v>4</v>
          </cell>
          <cell r="I44">
            <v>1.9</v>
          </cell>
          <cell r="J44">
            <v>1.9</v>
          </cell>
          <cell r="K44">
            <v>1</v>
          </cell>
          <cell r="L44">
            <v>20141231</v>
          </cell>
          <cell r="M44">
            <v>2</v>
          </cell>
          <cell r="N44">
            <v>20150225</v>
          </cell>
        </row>
        <row r="45">
          <cell r="A45" t="str">
            <v>SCG</v>
          </cell>
          <cell r="B45" t="str">
            <v>@006C</v>
          </cell>
          <cell r="C45" t="str">
            <v>SCENTRE GROUP</v>
          </cell>
          <cell r="D45">
            <v>20141218</v>
          </cell>
          <cell r="E45" t="str">
            <v>EPS</v>
          </cell>
          <cell r="F45" t="str">
            <v>ANN</v>
          </cell>
          <cell r="G45">
            <v>1</v>
          </cell>
          <cell r="H45">
            <v>9</v>
          </cell>
          <cell r="I45">
            <v>0.217</v>
          </cell>
          <cell r="J45">
            <v>0.219</v>
          </cell>
          <cell r="K45">
            <v>0</v>
          </cell>
          <cell r="L45">
            <v>20141231</v>
          </cell>
          <cell r="M45">
            <v>0.45300000000000001</v>
          </cell>
          <cell r="N45">
            <v>20150224</v>
          </cell>
        </row>
        <row r="46">
          <cell r="A46" t="str">
            <v>PPL</v>
          </cell>
          <cell r="B46" t="str">
            <v>@1XJ</v>
          </cell>
          <cell r="C46" t="str">
            <v>PUMPKIN PATCH LT</v>
          </cell>
          <cell r="D46">
            <v>20141218</v>
          </cell>
          <cell r="E46" t="str">
            <v>EPS</v>
          </cell>
          <cell r="F46" t="str">
            <v>ANN</v>
          </cell>
          <cell r="G46">
            <v>1</v>
          </cell>
          <cell r="H46">
            <v>3</v>
          </cell>
          <cell r="I46">
            <v>1.2E-2</v>
          </cell>
          <cell r="J46">
            <v>1.2999999999999999E-2</v>
          </cell>
          <cell r="K46">
            <v>0</v>
          </cell>
          <cell r="L46">
            <v>20150731</v>
          </cell>
          <cell r="M46">
            <v>-2.1999999999999999E-2</v>
          </cell>
          <cell r="N46">
            <v>20150929</v>
          </cell>
        </row>
        <row r="47">
          <cell r="A47" t="str">
            <v>PPL</v>
          </cell>
          <cell r="B47" t="str">
            <v>@1Z1</v>
          </cell>
          <cell r="C47" t="str">
            <v>PPL</v>
          </cell>
          <cell r="D47">
            <v>20141218</v>
          </cell>
          <cell r="E47" t="str">
            <v>EPS</v>
          </cell>
          <cell r="F47" t="str">
            <v>ANN</v>
          </cell>
          <cell r="G47">
            <v>1</v>
          </cell>
          <cell r="H47">
            <v>2</v>
          </cell>
          <cell r="I47">
            <v>20.46</v>
          </cell>
          <cell r="J47">
            <v>20.46</v>
          </cell>
          <cell r="K47">
            <v>0</v>
          </cell>
          <cell r="L47">
            <v>20150630</v>
          </cell>
          <cell r="M47">
            <v>12.971</v>
          </cell>
          <cell r="N47">
            <v>20150824</v>
          </cell>
        </row>
        <row r="48">
          <cell r="A48" t="str">
            <v>XEL</v>
          </cell>
          <cell r="B48" t="str">
            <v>@6Q7</v>
          </cell>
          <cell r="C48" t="str">
            <v>XCITE ENERGY</v>
          </cell>
          <cell r="D48">
            <v>20141218</v>
          </cell>
          <cell r="E48" t="str">
            <v>EPS</v>
          </cell>
          <cell r="F48" t="str">
            <v>ANN</v>
          </cell>
          <cell r="G48">
            <v>1</v>
          </cell>
          <cell r="H48">
            <v>3</v>
          </cell>
          <cell r="I48">
            <v>-1.5</v>
          </cell>
          <cell r="J48">
            <v>-1.6</v>
          </cell>
          <cell r="K48">
            <v>0</v>
          </cell>
          <cell r="L48">
            <v>20141231</v>
          </cell>
          <cell r="M48">
            <v>-1.1000000000000001</v>
          </cell>
          <cell r="N48">
            <v>20150325</v>
          </cell>
        </row>
        <row r="49">
          <cell r="A49" t="str">
            <v>AGR</v>
          </cell>
          <cell r="B49" t="str">
            <v>@A7S</v>
          </cell>
          <cell r="C49" t="str">
            <v>AGROB IMMOBILIEN</v>
          </cell>
          <cell r="D49">
            <v>20141218</v>
          </cell>
          <cell r="E49" t="str">
            <v>EPS</v>
          </cell>
          <cell r="F49" t="str">
            <v>ANN</v>
          </cell>
          <cell r="G49">
            <v>1</v>
          </cell>
          <cell r="H49">
            <v>2</v>
          </cell>
          <cell r="I49">
            <v>0.45</v>
          </cell>
          <cell r="J49">
            <v>0.45</v>
          </cell>
          <cell r="K49">
            <v>0</v>
          </cell>
          <cell r="L49">
            <v>20141231</v>
          </cell>
          <cell r="M49">
            <v>0.44</v>
          </cell>
          <cell r="N49">
            <v>20150529</v>
          </cell>
        </row>
        <row r="50">
          <cell r="A50" t="str">
            <v>EAS</v>
          </cell>
          <cell r="B50" t="str">
            <v>@AAME</v>
          </cell>
          <cell r="C50" t="str">
            <v>ENERGY ASSETS GR</v>
          </cell>
          <cell r="D50">
            <v>20141218</v>
          </cell>
          <cell r="E50" t="str">
            <v>EPS</v>
          </cell>
          <cell r="F50" t="str">
            <v>ANN</v>
          </cell>
          <cell r="G50">
            <v>1</v>
          </cell>
          <cell r="H50">
            <v>2</v>
          </cell>
          <cell r="I50">
            <v>25.85</v>
          </cell>
          <cell r="J50">
            <v>25.85</v>
          </cell>
          <cell r="K50">
            <v>0</v>
          </cell>
          <cell r="L50">
            <v>20150331</v>
          </cell>
          <cell r="M50">
            <v>25.77</v>
          </cell>
          <cell r="N50">
            <v>20150609</v>
          </cell>
        </row>
        <row r="51">
          <cell r="A51" t="str">
            <v>AGR</v>
          </cell>
          <cell r="B51" t="str">
            <v>@AR7</v>
          </cell>
          <cell r="C51" t="str">
            <v>AGRANA VZ</v>
          </cell>
          <cell r="D51">
            <v>20141218</v>
          </cell>
          <cell r="E51" t="str">
            <v>EPS</v>
          </cell>
          <cell r="F51" t="str">
            <v>ANN</v>
          </cell>
          <cell r="G51">
            <v>1</v>
          </cell>
          <cell r="H51">
            <v>3</v>
          </cell>
          <cell r="I51">
            <v>1.49</v>
          </cell>
          <cell r="J51">
            <v>1.53</v>
          </cell>
          <cell r="K51">
            <v>0</v>
          </cell>
          <cell r="L51">
            <v>20150228</v>
          </cell>
          <cell r="M51">
            <v>1.4174</v>
          </cell>
          <cell r="N51">
            <v>20150410</v>
          </cell>
        </row>
        <row r="52">
          <cell r="A52" t="str">
            <v>CNP</v>
          </cell>
          <cell r="B52" t="str">
            <v>@CN0</v>
          </cell>
          <cell r="C52" t="str">
            <v>CNP ASSURANCES</v>
          </cell>
          <cell r="D52">
            <v>20141218</v>
          </cell>
          <cell r="E52" t="str">
            <v>EPS</v>
          </cell>
          <cell r="F52" t="str">
            <v>ANN</v>
          </cell>
          <cell r="G52">
            <v>1</v>
          </cell>
          <cell r="H52">
            <v>13</v>
          </cell>
          <cell r="I52">
            <v>1.62</v>
          </cell>
          <cell r="J52">
            <v>1.61</v>
          </cell>
          <cell r="K52">
            <v>0</v>
          </cell>
          <cell r="L52">
            <v>20141231</v>
          </cell>
          <cell r="M52">
            <v>1.55</v>
          </cell>
          <cell r="N52">
            <v>20150219</v>
          </cell>
        </row>
        <row r="53">
          <cell r="A53" t="str">
            <v>CIN</v>
          </cell>
          <cell r="B53" t="str">
            <v>@CUW</v>
          </cell>
          <cell r="C53" t="str">
            <v>CITY OF LONDON</v>
          </cell>
          <cell r="D53">
            <v>20141218</v>
          </cell>
          <cell r="E53" t="str">
            <v>EPS</v>
          </cell>
          <cell r="F53" t="str">
            <v>ANN</v>
          </cell>
          <cell r="G53">
            <v>1</v>
          </cell>
          <cell r="H53">
            <v>1</v>
          </cell>
          <cell r="I53">
            <v>-86</v>
          </cell>
          <cell r="J53">
            <v>-86</v>
          </cell>
          <cell r="K53">
            <v>0</v>
          </cell>
          <cell r="L53">
            <v>20150331</v>
          </cell>
          <cell r="M53">
            <v>-143.4</v>
          </cell>
          <cell r="N53">
            <v>20150716</v>
          </cell>
        </row>
        <row r="54">
          <cell r="A54" t="str">
            <v>SO</v>
          </cell>
          <cell r="B54" t="str">
            <v>@DAM</v>
          </cell>
          <cell r="C54" t="str">
            <v>SOMFY</v>
          </cell>
          <cell r="D54">
            <v>20141218</v>
          </cell>
          <cell r="E54" t="str">
            <v>EPS</v>
          </cell>
          <cell r="F54" t="str">
            <v>ANN</v>
          </cell>
          <cell r="G54">
            <v>1</v>
          </cell>
          <cell r="H54">
            <v>2</v>
          </cell>
          <cell r="I54">
            <v>2.2799999999999998</v>
          </cell>
          <cell r="J54">
            <v>2.2799999999999998</v>
          </cell>
          <cell r="K54">
            <v>0</v>
          </cell>
          <cell r="L54">
            <v>20141231</v>
          </cell>
          <cell r="M54">
            <v>2.4613999999999998</v>
          </cell>
          <cell r="N54">
            <v>20150422</v>
          </cell>
        </row>
        <row r="55">
          <cell r="A55" t="str">
            <v>DTE</v>
          </cell>
          <cell r="B55" t="str">
            <v>@DT</v>
          </cell>
          <cell r="C55" t="str">
            <v>DEUTSCHE TELEKOM</v>
          </cell>
          <cell r="D55">
            <v>20141218</v>
          </cell>
          <cell r="E55" t="str">
            <v>EPS</v>
          </cell>
          <cell r="F55" t="str">
            <v>ANN</v>
          </cell>
          <cell r="G55">
            <v>1</v>
          </cell>
          <cell r="H55">
            <v>31</v>
          </cell>
          <cell r="I55">
            <v>0.62</v>
          </cell>
          <cell r="J55">
            <v>0.62</v>
          </cell>
          <cell r="K55">
            <v>0</v>
          </cell>
          <cell r="L55">
            <v>20141231</v>
          </cell>
          <cell r="M55">
            <v>0.54</v>
          </cell>
          <cell r="N55">
            <v>20150226</v>
          </cell>
        </row>
        <row r="56">
          <cell r="A56" t="str">
            <v>NWE</v>
          </cell>
          <cell r="B56" t="str">
            <v>@H50</v>
          </cell>
          <cell r="C56" t="str">
            <v>NORWEST ENERGY N</v>
          </cell>
          <cell r="D56">
            <v>20141218</v>
          </cell>
          <cell r="E56" t="str">
            <v>EPS</v>
          </cell>
          <cell r="F56" t="str">
            <v>ANN</v>
          </cell>
          <cell r="G56">
            <v>1</v>
          </cell>
          <cell r="H56">
            <v>1</v>
          </cell>
          <cell r="I56">
            <v>-2E-3</v>
          </cell>
          <cell r="J56">
            <v>-2E-3</v>
          </cell>
          <cell r="K56">
            <v>0</v>
          </cell>
          <cell r="L56">
            <v>20150630</v>
          </cell>
          <cell r="N56">
            <v>20150929</v>
          </cell>
        </row>
        <row r="57">
          <cell r="A57" t="str">
            <v>PGN</v>
          </cell>
          <cell r="B57" t="str">
            <v>@J5W</v>
          </cell>
          <cell r="C57" t="str">
            <v>POLISH OIL &amp; GAS</v>
          </cell>
          <cell r="D57">
            <v>20141218</v>
          </cell>
          <cell r="E57" t="str">
            <v>EPS</v>
          </cell>
          <cell r="F57" t="str">
            <v>ANN</v>
          </cell>
          <cell r="G57">
            <v>1</v>
          </cell>
          <cell r="H57">
            <v>11</v>
          </cell>
          <cell r="I57">
            <v>0.49</v>
          </cell>
          <cell r="J57">
            <v>0.51</v>
          </cell>
          <cell r="K57">
            <v>0</v>
          </cell>
          <cell r="L57">
            <v>20141231</v>
          </cell>
          <cell r="M57">
            <v>0.48</v>
          </cell>
          <cell r="N57">
            <v>20150305</v>
          </cell>
        </row>
        <row r="58">
          <cell r="A58" t="str">
            <v>SRE</v>
          </cell>
          <cell r="B58" t="str">
            <v>@O5S</v>
          </cell>
          <cell r="C58" t="str">
            <v>SALHIA</v>
          </cell>
          <cell r="D58">
            <v>20141218</v>
          </cell>
          <cell r="E58" t="str">
            <v>EPS</v>
          </cell>
          <cell r="F58" t="str">
            <v>ANN</v>
          </cell>
          <cell r="G58">
            <v>1</v>
          </cell>
          <cell r="H58">
            <v>2</v>
          </cell>
          <cell r="I58">
            <v>1.7999999999999999E-2</v>
          </cell>
          <cell r="J58">
            <v>1.7999999999999999E-2</v>
          </cell>
          <cell r="K58">
            <v>0</v>
          </cell>
          <cell r="L58">
            <v>20141231</v>
          </cell>
          <cell r="M58">
            <v>2.3E-2</v>
          </cell>
          <cell r="N58">
            <v>20150216</v>
          </cell>
        </row>
        <row r="59">
          <cell r="A59" t="str">
            <v>DPL</v>
          </cell>
          <cell r="B59" t="str">
            <v>@OS3</v>
          </cell>
          <cell r="C59" t="str">
            <v>DHUNSERI</v>
          </cell>
          <cell r="D59">
            <v>20141218</v>
          </cell>
          <cell r="E59" t="str">
            <v>EPS</v>
          </cell>
          <cell r="F59" t="str">
            <v>ANN</v>
          </cell>
          <cell r="G59">
            <v>1</v>
          </cell>
          <cell r="H59">
            <v>1</v>
          </cell>
          <cell r="I59">
            <v>22.6</v>
          </cell>
          <cell r="J59">
            <v>22.6</v>
          </cell>
          <cell r="K59">
            <v>0</v>
          </cell>
          <cell r="L59">
            <v>20150331</v>
          </cell>
          <cell r="N59">
            <v>20150514</v>
          </cell>
        </row>
        <row r="60">
          <cell r="A60" t="str">
            <v>POM</v>
          </cell>
          <cell r="B60" t="str">
            <v>@PO8</v>
          </cell>
          <cell r="C60" t="str">
            <v>COMPAGNIE PLA OM</v>
          </cell>
          <cell r="D60">
            <v>20141218</v>
          </cell>
          <cell r="E60" t="str">
            <v>EPS</v>
          </cell>
          <cell r="F60" t="str">
            <v>ANN</v>
          </cell>
          <cell r="G60">
            <v>1</v>
          </cell>
          <cell r="H60">
            <v>7</v>
          </cell>
          <cell r="I60">
            <v>1.51</v>
          </cell>
          <cell r="J60">
            <v>1.55</v>
          </cell>
          <cell r="K60">
            <v>0</v>
          </cell>
          <cell r="L60">
            <v>20141231</v>
          </cell>
          <cell r="M60">
            <v>1.49</v>
          </cell>
          <cell r="N60">
            <v>20150225</v>
          </cell>
        </row>
        <row r="61">
          <cell r="A61" t="str">
            <v>PGN</v>
          </cell>
          <cell r="B61" t="str">
            <v>@QPA</v>
          </cell>
          <cell r="C61" t="str">
            <v>PARAGON DE</v>
          </cell>
          <cell r="D61">
            <v>20141218</v>
          </cell>
          <cell r="E61" t="str">
            <v>EPS</v>
          </cell>
          <cell r="F61" t="str">
            <v>ANN</v>
          </cell>
          <cell r="G61">
            <v>1</v>
          </cell>
          <cell r="H61">
            <v>2</v>
          </cell>
          <cell r="I61">
            <v>0.8</v>
          </cell>
          <cell r="J61">
            <v>0.8</v>
          </cell>
          <cell r="K61">
            <v>0</v>
          </cell>
          <cell r="L61">
            <v>20141231</v>
          </cell>
          <cell r="M61">
            <v>0.67</v>
          </cell>
          <cell r="N61">
            <v>20150311</v>
          </cell>
        </row>
        <row r="62">
          <cell r="A62" t="str">
            <v>PEG</v>
          </cell>
          <cell r="B62" t="str">
            <v>@S6N</v>
          </cell>
          <cell r="C62" t="str">
            <v>PETARDS GROUP</v>
          </cell>
          <cell r="D62">
            <v>20141218</v>
          </cell>
          <cell r="E62" t="str">
            <v>EPS</v>
          </cell>
          <cell r="F62" t="str">
            <v>ANN</v>
          </cell>
          <cell r="G62">
            <v>1</v>
          </cell>
          <cell r="H62">
            <v>1</v>
          </cell>
          <cell r="I62">
            <v>1.7</v>
          </cell>
          <cell r="J62">
            <v>1.7</v>
          </cell>
          <cell r="K62">
            <v>0</v>
          </cell>
          <cell r="L62">
            <v>20141231</v>
          </cell>
          <cell r="M62">
            <v>1.37</v>
          </cell>
          <cell r="N62">
            <v>20150316</v>
          </cell>
        </row>
        <row r="63">
          <cell r="A63" t="str">
            <v>SO</v>
          </cell>
          <cell r="B63" t="str">
            <v>@SGF</v>
          </cell>
          <cell r="C63" t="str">
            <v>SOGEFI</v>
          </cell>
          <cell r="D63">
            <v>20141218</v>
          </cell>
          <cell r="E63" t="str">
            <v>EPS</v>
          </cell>
          <cell r="F63" t="str">
            <v>ANN</v>
          </cell>
          <cell r="G63">
            <v>1</v>
          </cell>
          <cell r="H63">
            <v>6</v>
          </cell>
          <cell r="I63">
            <v>0.12</v>
          </cell>
          <cell r="J63">
            <v>0.11</v>
          </cell>
          <cell r="K63">
            <v>0</v>
          </cell>
          <cell r="L63">
            <v>20141231</v>
          </cell>
          <cell r="M63">
            <v>3.1E-2</v>
          </cell>
          <cell r="N63">
            <v>20150223</v>
          </cell>
        </row>
        <row r="64">
          <cell r="A64" t="str">
            <v>NST</v>
          </cell>
          <cell r="B64" t="str">
            <v>@T6I</v>
          </cell>
          <cell r="C64" t="str">
            <v>NORTHERN STAR RE</v>
          </cell>
          <cell r="D64">
            <v>20141218</v>
          </cell>
          <cell r="E64" t="str">
            <v>EPS</v>
          </cell>
          <cell r="F64" t="str">
            <v>ANN</v>
          </cell>
          <cell r="G64">
            <v>1</v>
          </cell>
          <cell r="H64">
            <v>6</v>
          </cell>
          <cell r="I64">
            <v>0.247</v>
          </cell>
          <cell r="J64">
            <v>0.23499999999999999</v>
          </cell>
          <cell r="K64">
            <v>0</v>
          </cell>
          <cell r="L64">
            <v>20150630</v>
          </cell>
          <cell r="M64">
            <v>0.253</v>
          </cell>
          <cell r="N64">
            <v>20150826</v>
          </cell>
        </row>
        <row r="65">
          <cell r="A65" t="str">
            <v>AGR</v>
          </cell>
          <cell r="B65" t="str">
            <v>@V2M</v>
          </cell>
          <cell r="C65" t="str">
            <v>ASSURA GROUP</v>
          </cell>
          <cell r="D65">
            <v>20141218</v>
          </cell>
          <cell r="E65" t="str">
            <v>EPS</v>
          </cell>
          <cell r="F65" t="str">
            <v>ANN</v>
          </cell>
          <cell r="G65">
            <v>1</v>
          </cell>
          <cell r="H65">
            <v>1</v>
          </cell>
          <cell r="I65">
            <v>1.95</v>
          </cell>
          <cell r="J65">
            <v>1.95</v>
          </cell>
          <cell r="K65">
            <v>0</v>
          </cell>
          <cell r="L65">
            <v>20150331</v>
          </cell>
          <cell r="M65">
            <v>1.9220999999999999</v>
          </cell>
          <cell r="N65">
            <v>20150521</v>
          </cell>
        </row>
        <row r="66">
          <cell r="A66" t="str">
            <v>SRE</v>
          </cell>
          <cell r="B66" t="str">
            <v>@VRU</v>
          </cell>
          <cell r="C66" t="str">
            <v>SIRIUS REAL ESTA</v>
          </cell>
          <cell r="D66">
            <v>20141218</v>
          </cell>
          <cell r="E66" t="str">
            <v>EPS</v>
          </cell>
          <cell r="F66" t="str">
            <v>ANN</v>
          </cell>
          <cell r="G66">
            <v>1</v>
          </cell>
          <cell r="H66">
            <v>2</v>
          </cell>
          <cell r="I66">
            <v>0.03</v>
          </cell>
          <cell r="J66">
            <v>0.03</v>
          </cell>
          <cell r="K66">
            <v>0</v>
          </cell>
          <cell r="L66">
            <v>20150331</v>
          </cell>
          <cell r="M66">
            <v>0.02</v>
          </cell>
          <cell r="N66">
            <v>20150522</v>
          </cell>
        </row>
        <row r="67">
          <cell r="A67" t="str">
            <v>POM</v>
          </cell>
          <cell r="B67" t="str">
            <v>@VV</v>
          </cell>
          <cell r="C67" t="str">
            <v>POLMED SA</v>
          </cell>
          <cell r="D67">
            <v>20141218</v>
          </cell>
          <cell r="E67" t="str">
            <v>EPS</v>
          </cell>
          <cell r="F67" t="str">
            <v>ANN</v>
          </cell>
          <cell r="G67">
            <v>1</v>
          </cell>
          <cell r="H67">
            <v>1</v>
          </cell>
          <cell r="I67">
            <v>0.08</v>
          </cell>
          <cell r="J67">
            <v>0.08</v>
          </cell>
          <cell r="K67">
            <v>0</v>
          </cell>
          <cell r="L67">
            <v>20141231</v>
          </cell>
          <cell r="N67">
            <v>20150320</v>
          </cell>
        </row>
        <row r="68">
          <cell r="A68" t="str">
            <v>EXC</v>
          </cell>
          <cell r="B68" t="str">
            <v>@XDO</v>
          </cell>
          <cell r="C68" t="str">
            <v>EXCEET GROUP SE</v>
          </cell>
          <cell r="D68">
            <v>20141218</v>
          </cell>
          <cell r="E68" t="str">
            <v>EPS</v>
          </cell>
          <cell r="F68" t="str">
            <v>ANN</v>
          </cell>
          <cell r="G68">
            <v>1</v>
          </cell>
          <cell r="H68">
            <v>2</v>
          </cell>
          <cell r="I68">
            <v>0.26</v>
          </cell>
          <cell r="J68">
            <v>0.26</v>
          </cell>
          <cell r="K68">
            <v>0</v>
          </cell>
          <cell r="L68">
            <v>20141231</v>
          </cell>
          <cell r="M68">
            <v>0.21</v>
          </cell>
          <cell r="N68">
            <v>20150227</v>
          </cell>
        </row>
        <row r="69">
          <cell r="A69" t="str">
            <v>CMS</v>
          </cell>
          <cell r="B69" t="str">
            <v>@XJM</v>
          </cell>
          <cell r="C69" t="str">
            <v>COMMUNISIS PLC</v>
          </cell>
          <cell r="D69">
            <v>20141218</v>
          </cell>
          <cell r="E69" t="str">
            <v>EPS</v>
          </cell>
          <cell r="F69" t="str">
            <v>ANN</v>
          </cell>
          <cell r="G69">
            <v>1</v>
          </cell>
          <cell r="H69">
            <v>2</v>
          </cell>
          <cell r="I69">
            <v>5.3</v>
          </cell>
          <cell r="J69">
            <v>5.3</v>
          </cell>
          <cell r="K69">
            <v>0</v>
          </cell>
          <cell r="L69">
            <v>20141231</v>
          </cell>
          <cell r="M69">
            <v>4.62</v>
          </cell>
          <cell r="N69">
            <v>20150305</v>
          </cell>
        </row>
        <row r="70">
          <cell r="A70" t="str">
            <v>PEG</v>
          </cell>
          <cell r="B70" t="str">
            <v>GEP1</v>
          </cell>
          <cell r="C70" t="str">
            <v>PATTERN</v>
          </cell>
          <cell r="D70">
            <v>20141218</v>
          </cell>
          <cell r="E70" t="str">
            <v>EPS</v>
          </cell>
          <cell r="F70" t="str">
            <v>ANN</v>
          </cell>
          <cell r="G70">
            <v>1</v>
          </cell>
          <cell r="H70">
            <v>4</v>
          </cell>
          <cell r="I70">
            <v>0.1</v>
          </cell>
          <cell r="J70">
            <v>0.02</v>
          </cell>
          <cell r="K70">
            <v>0</v>
          </cell>
          <cell r="L70">
            <v>20141231</v>
          </cell>
          <cell r="M70">
            <v>-0.56000000000000005</v>
          </cell>
          <cell r="N70">
            <v>20150302</v>
          </cell>
        </row>
        <row r="71">
          <cell r="A71" t="str">
            <v>CNL</v>
          </cell>
          <cell r="B71" t="str">
            <v>NCL1</v>
          </cell>
          <cell r="C71" t="str">
            <v>CONTINENTAL GOLD</v>
          </cell>
          <cell r="D71">
            <v>20141218</v>
          </cell>
          <cell r="E71" t="str">
            <v>EPS</v>
          </cell>
          <cell r="F71" t="str">
            <v>ANN</v>
          </cell>
          <cell r="G71">
            <v>1</v>
          </cell>
          <cell r="H71">
            <v>5</v>
          </cell>
          <cell r="I71">
            <v>-0.05</v>
          </cell>
          <cell r="J71">
            <v>-7.0000000000000007E-2</v>
          </cell>
          <cell r="K71">
            <v>0</v>
          </cell>
          <cell r="L71">
            <v>20141231</v>
          </cell>
          <cell r="M71">
            <v>-0.19</v>
          </cell>
          <cell r="N71">
            <v>20150306</v>
          </cell>
        </row>
        <row r="72">
          <cell r="A72" t="str">
            <v>PPL</v>
          </cell>
          <cell r="B72" t="str">
            <v>PIF1</v>
          </cell>
          <cell r="C72" t="str">
            <v>PEMBINA PIPELINE</v>
          </cell>
          <cell r="D72">
            <v>20141218</v>
          </cell>
          <cell r="E72" t="str">
            <v>EPS</v>
          </cell>
          <cell r="F72" t="str">
            <v>ANN</v>
          </cell>
          <cell r="G72">
            <v>1</v>
          </cell>
          <cell r="H72">
            <v>7</v>
          </cell>
          <cell r="I72">
            <v>1.28</v>
          </cell>
          <cell r="J72">
            <v>1.23</v>
          </cell>
          <cell r="K72">
            <v>0</v>
          </cell>
          <cell r="L72">
            <v>20141231</v>
          </cell>
          <cell r="M72">
            <v>1.06</v>
          </cell>
          <cell r="N72">
            <v>20150226</v>
          </cell>
        </row>
        <row r="73">
          <cell r="A73" t="str">
            <v>POM</v>
          </cell>
          <cell r="B73" t="str">
            <v>POM1</v>
          </cell>
          <cell r="C73" t="str">
            <v>POLYMET MINING C</v>
          </cell>
          <cell r="D73">
            <v>20141218</v>
          </cell>
          <cell r="E73" t="str">
            <v>EPS</v>
          </cell>
          <cell r="F73" t="str">
            <v>ANN</v>
          </cell>
          <cell r="G73">
            <v>1</v>
          </cell>
          <cell r="H73">
            <v>2</v>
          </cell>
          <cell r="I73">
            <v>-0.32</v>
          </cell>
          <cell r="J73">
            <v>-0.32</v>
          </cell>
          <cell r="K73">
            <v>0</v>
          </cell>
          <cell r="L73">
            <v>20150131</v>
          </cell>
          <cell r="M73">
            <v>-0.3</v>
          </cell>
          <cell r="N73">
            <v>20150421</v>
          </cell>
        </row>
        <row r="74">
          <cell r="A74" t="str">
            <v>PSD</v>
          </cell>
          <cell r="B74" t="str">
            <v>PSD3</v>
          </cell>
          <cell r="C74" t="str">
            <v>PULSE SEISMIC IN</v>
          </cell>
          <cell r="D74">
            <v>20141218</v>
          </cell>
          <cell r="E74" t="str">
            <v>EPS</v>
          </cell>
          <cell r="F74" t="str">
            <v>ANN</v>
          </cell>
          <cell r="G74">
            <v>1</v>
          </cell>
          <cell r="H74">
            <v>3</v>
          </cell>
          <cell r="I74">
            <v>0.02</v>
          </cell>
          <cell r="J74">
            <v>0.03</v>
          </cell>
          <cell r="K74">
            <v>0</v>
          </cell>
          <cell r="L74">
            <v>20141231</v>
          </cell>
          <cell r="M74">
            <v>0.06</v>
          </cell>
          <cell r="N74">
            <v>20150305</v>
          </cell>
        </row>
        <row r="75">
          <cell r="A75" t="str">
            <v>XEL</v>
          </cell>
          <cell r="B75" t="str">
            <v>XTE1</v>
          </cell>
          <cell r="C75" t="str">
            <v>XCITE ENERGY</v>
          </cell>
          <cell r="D75">
            <v>20141218</v>
          </cell>
          <cell r="E75" t="str">
            <v>EPS</v>
          </cell>
          <cell r="F75" t="str">
            <v>ANN</v>
          </cell>
          <cell r="G75">
            <v>1</v>
          </cell>
          <cell r="H75">
            <v>2</v>
          </cell>
          <cell r="I75">
            <v>-1.8</v>
          </cell>
          <cell r="J75">
            <v>-1.8</v>
          </cell>
          <cell r="K75">
            <v>0</v>
          </cell>
          <cell r="L75">
            <v>20141231</v>
          </cell>
          <cell r="M75">
            <v>-1.1000000000000001</v>
          </cell>
          <cell r="N75">
            <v>20150325</v>
          </cell>
        </row>
      </sheetData>
    </sheetDataSet>
  </externalBook>
</externalLink>
</file>

<file path=xl/externalLinks/externalLink1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8avu7ghnjr5mqgc"/>
    </sheetNames>
    <sheetDataSet>
      <sheetData sheetId="0">
        <row r="1">
          <cell r="B1" t="str">
            <v>Official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Forecast Period End Date (SAS Format)</v>
          </cell>
          <cell r="M1" t="str">
            <v>Actual Value, from the Detail Actuals File</v>
          </cell>
          <cell r="N1" t="str">
            <v>Announce date of the Actual, from the Detail Actuals File</v>
          </cell>
        </row>
        <row r="2">
          <cell r="B2" t="str">
            <v>ATG</v>
          </cell>
          <cell r="C2" t="str">
            <v>ATLANTA GAS LT</v>
          </cell>
          <cell r="D2">
            <v>30301</v>
          </cell>
          <cell r="E2" t="str">
            <v>EPS</v>
          </cell>
          <cell r="F2" t="str">
            <v>LTG</v>
          </cell>
          <cell r="G2" t="str">
            <v>0</v>
          </cell>
          <cell r="H2">
            <v>3</v>
          </cell>
          <cell r="I2">
            <v>5.5</v>
          </cell>
          <cell r="J2">
            <v>4.8</v>
          </cell>
          <cell r="K2">
            <v>2.5</v>
          </cell>
        </row>
        <row r="3">
          <cell r="B3" t="str">
            <v>CGC</v>
          </cell>
          <cell r="C3" t="str">
            <v>CASCADE NAT GAS</v>
          </cell>
          <cell r="D3">
            <v>30301</v>
          </cell>
          <cell r="E3" t="str">
            <v>EPS</v>
          </cell>
          <cell r="F3" t="str">
            <v>LTG</v>
          </cell>
          <cell r="G3" t="str">
            <v>0</v>
          </cell>
          <cell r="H3">
            <v>2</v>
          </cell>
          <cell r="I3">
            <v>5.75</v>
          </cell>
          <cell r="J3">
            <v>5.75</v>
          </cell>
          <cell r="K3">
            <v>3.18</v>
          </cell>
        </row>
        <row r="4">
          <cell r="B4" t="str">
            <v>GAS</v>
          </cell>
          <cell r="C4" t="str">
            <v>NICOR INC</v>
          </cell>
          <cell r="D4">
            <v>30301</v>
          </cell>
          <cell r="E4" t="str">
            <v>EPS</v>
          </cell>
          <cell r="F4" t="str">
            <v>LTG</v>
          </cell>
          <cell r="G4" t="str">
            <v>0</v>
          </cell>
          <cell r="H4">
            <v>3</v>
          </cell>
          <cell r="I4">
            <v>10</v>
          </cell>
          <cell r="J4">
            <v>8</v>
          </cell>
          <cell r="K4">
            <v>3.4</v>
          </cell>
        </row>
        <row r="5">
          <cell r="B5" t="str">
            <v>LG</v>
          </cell>
          <cell r="C5" t="str">
            <v>LACLEDE GAS</v>
          </cell>
          <cell r="D5">
            <v>30301</v>
          </cell>
          <cell r="E5" t="str">
            <v>EPS</v>
          </cell>
          <cell r="F5" t="str">
            <v>LTG</v>
          </cell>
          <cell r="G5" t="str">
            <v>0</v>
          </cell>
          <cell r="H5">
            <v>1</v>
          </cell>
          <cell r="I5">
            <v>9.5</v>
          </cell>
          <cell r="J5">
            <v>9.5</v>
          </cell>
        </row>
        <row r="6">
          <cell r="B6" t="str">
            <v>NI</v>
          </cell>
          <cell r="C6" t="str">
            <v>NORTHN IND PUB</v>
          </cell>
          <cell r="D6">
            <v>30301</v>
          </cell>
          <cell r="E6" t="str">
            <v>EPS</v>
          </cell>
          <cell r="F6" t="str">
            <v>LTG</v>
          </cell>
          <cell r="G6" t="str">
            <v>0</v>
          </cell>
          <cell r="H6">
            <v>11</v>
          </cell>
          <cell r="I6">
            <v>6</v>
          </cell>
          <cell r="J6">
            <v>6.4</v>
          </cell>
          <cell r="K6">
            <v>4.0999999999999996</v>
          </cell>
        </row>
        <row r="7">
          <cell r="B7" t="str">
            <v>PNY</v>
          </cell>
          <cell r="C7" t="str">
            <v>PIEDMONT NAT GAS</v>
          </cell>
          <cell r="D7">
            <v>30301</v>
          </cell>
          <cell r="E7" t="str">
            <v>EPS</v>
          </cell>
          <cell r="F7" t="str">
            <v>LTG</v>
          </cell>
          <cell r="G7" t="str">
            <v>0</v>
          </cell>
          <cell r="H7">
            <v>2</v>
          </cell>
          <cell r="I7">
            <v>5.5</v>
          </cell>
          <cell r="J7">
            <v>5.5</v>
          </cell>
          <cell r="K7">
            <v>0.71</v>
          </cell>
        </row>
        <row r="8">
          <cell r="B8" t="str">
            <v>SJI</v>
          </cell>
          <cell r="C8" t="str">
            <v>SO JERSEY INDS</v>
          </cell>
          <cell r="D8">
            <v>30301</v>
          </cell>
          <cell r="E8" t="str">
            <v>EPS</v>
          </cell>
          <cell r="F8" t="str">
            <v>LTG</v>
          </cell>
          <cell r="G8" t="str">
            <v>0</v>
          </cell>
          <cell r="H8">
            <v>2</v>
          </cell>
          <cell r="I8">
            <v>8.75</v>
          </cell>
          <cell r="J8">
            <v>8.75</v>
          </cell>
          <cell r="K8">
            <v>1.77</v>
          </cell>
        </row>
        <row r="9">
          <cell r="B9" t="str">
            <v>SWX</v>
          </cell>
          <cell r="C9" t="str">
            <v>SOUTHWEST GAS</v>
          </cell>
          <cell r="D9">
            <v>30301</v>
          </cell>
          <cell r="E9" t="str">
            <v>EPS</v>
          </cell>
          <cell r="F9" t="str">
            <v>LTG</v>
          </cell>
          <cell r="G9" t="str">
            <v>0</v>
          </cell>
          <cell r="H9">
            <v>2</v>
          </cell>
          <cell r="I9">
            <v>4.5</v>
          </cell>
          <cell r="J9">
            <v>4.5</v>
          </cell>
          <cell r="K9">
            <v>0.71</v>
          </cell>
        </row>
        <row r="10">
          <cell r="B10" t="str">
            <v>WGL</v>
          </cell>
          <cell r="C10" t="str">
            <v>WASH GAS LT</v>
          </cell>
          <cell r="D10">
            <v>30301</v>
          </cell>
          <cell r="E10" t="str">
            <v>EPS</v>
          </cell>
          <cell r="F10" t="str">
            <v>LTG</v>
          </cell>
          <cell r="G10" t="str">
            <v>0</v>
          </cell>
          <cell r="H10">
            <v>2</v>
          </cell>
          <cell r="I10">
            <v>7.75</v>
          </cell>
          <cell r="J10">
            <v>7.75</v>
          </cell>
          <cell r="K10">
            <v>3.18</v>
          </cell>
        </row>
      </sheetData>
    </sheetDataSet>
  </externalBook>
</externalLink>
</file>

<file path=xl/externalLinks/externalLink1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RDS"/>
    </sheetNames>
    <sheetDataSet>
      <sheetData sheetId="0">
        <row r="2">
          <cell r="A2" t="str">
            <v>CIN</v>
          </cell>
          <cell r="B2" t="str">
            <v>CIN</v>
          </cell>
          <cell r="C2" t="str">
            <v>CINN GAS &amp; EL</v>
          </cell>
          <cell r="D2">
            <v>19811217</v>
          </cell>
          <cell r="E2" t="str">
            <v>EPS</v>
          </cell>
          <cell r="F2" t="str">
            <v>LTG</v>
          </cell>
          <cell r="G2">
            <v>0</v>
          </cell>
          <cell r="H2">
            <v>8</v>
          </cell>
          <cell r="I2">
            <v>3.5</v>
          </cell>
          <cell r="J2">
            <v>3.44</v>
          </cell>
          <cell r="K2">
            <v>1</v>
          </cell>
        </row>
        <row r="3">
          <cell r="A3" t="str">
            <v>CMS</v>
          </cell>
          <cell r="B3" t="str">
            <v>CMS</v>
          </cell>
          <cell r="C3" t="str">
            <v>CONSUMERS PWR</v>
          </cell>
          <cell r="D3">
            <v>19811217</v>
          </cell>
          <cell r="E3" t="str">
            <v>EPS</v>
          </cell>
          <cell r="F3" t="str">
            <v>LTG</v>
          </cell>
          <cell r="G3">
            <v>0</v>
          </cell>
          <cell r="H3">
            <v>6</v>
          </cell>
          <cell r="I3">
            <v>3.5</v>
          </cell>
          <cell r="J3">
            <v>3.32</v>
          </cell>
          <cell r="K3">
            <v>1</v>
          </cell>
        </row>
        <row r="4">
          <cell r="A4" t="str">
            <v>DPL</v>
          </cell>
          <cell r="B4" t="str">
            <v>DPL</v>
          </cell>
          <cell r="C4" t="str">
            <v>DAYTON P &amp; L</v>
          </cell>
          <cell r="D4">
            <v>19811217</v>
          </cell>
          <cell r="E4" t="str">
            <v>EPS</v>
          </cell>
          <cell r="F4" t="str">
            <v>LTG</v>
          </cell>
          <cell r="G4">
            <v>0</v>
          </cell>
          <cell r="H4">
            <v>4</v>
          </cell>
          <cell r="I4">
            <v>2.8</v>
          </cell>
          <cell r="J4">
            <v>3.15</v>
          </cell>
          <cell r="K4">
            <v>1</v>
          </cell>
        </row>
        <row r="5">
          <cell r="A5" t="str">
            <v>DTE</v>
          </cell>
          <cell r="B5" t="str">
            <v>DTE</v>
          </cell>
          <cell r="C5" t="str">
            <v>DETROIT EDISON</v>
          </cell>
          <cell r="D5">
            <v>19811217</v>
          </cell>
          <cell r="E5" t="str">
            <v>EPS</v>
          </cell>
          <cell r="F5" t="str">
            <v>LTG</v>
          </cell>
          <cell r="G5">
            <v>0</v>
          </cell>
          <cell r="H5">
            <v>5</v>
          </cell>
          <cell r="I5">
            <v>3</v>
          </cell>
          <cell r="J5">
            <v>2.8</v>
          </cell>
          <cell r="K5">
            <v>1</v>
          </cell>
        </row>
        <row r="6">
          <cell r="A6" t="str">
            <v>DUK</v>
          </cell>
          <cell r="B6" t="str">
            <v>DUK</v>
          </cell>
          <cell r="C6" t="str">
            <v>DUKE POWER CO</v>
          </cell>
          <cell r="D6">
            <v>19811217</v>
          </cell>
          <cell r="E6" t="str">
            <v>EPS</v>
          </cell>
          <cell r="F6" t="str">
            <v>LTG</v>
          </cell>
          <cell r="G6">
            <v>0</v>
          </cell>
          <cell r="H6">
            <v>8</v>
          </cell>
          <cell r="I6">
            <v>5.5</v>
          </cell>
          <cell r="J6">
            <v>5.1100000000000003</v>
          </cell>
          <cell r="K6">
            <v>1</v>
          </cell>
        </row>
        <row r="7">
          <cell r="A7" t="str">
            <v>ED</v>
          </cell>
          <cell r="B7" t="str">
            <v>ED</v>
          </cell>
          <cell r="C7" t="str">
            <v>CONSOL EDISON</v>
          </cell>
          <cell r="D7">
            <v>19811217</v>
          </cell>
          <cell r="E7" t="str">
            <v>EPS</v>
          </cell>
          <cell r="F7" t="str">
            <v>LTG</v>
          </cell>
          <cell r="G7">
            <v>0</v>
          </cell>
          <cell r="H7">
            <v>7</v>
          </cell>
          <cell r="I7">
            <v>4</v>
          </cell>
          <cell r="J7">
            <v>4.07</v>
          </cell>
          <cell r="K7">
            <v>1</v>
          </cell>
        </row>
        <row r="8">
          <cell r="A8" t="str">
            <v>EDE</v>
          </cell>
          <cell r="B8" t="str">
            <v>EDE</v>
          </cell>
          <cell r="C8" t="str">
            <v>EMPIRE DIST ELEC</v>
          </cell>
          <cell r="D8">
            <v>19811217</v>
          </cell>
          <cell r="E8" t="str">
            <v>EPS</v>
          </cell>
          <cell r="F8" t="str">
            <v>LTG</v>
          </cell>
          <cell r="G8">
            <v>0</v>
          </cell>
          <cell r="H8">
            <v>1</v>
          </cell>
          <cell r="I8">
            <v>2.5</v>
          </cell>
          <cell r="J8">
            <v>2.5</v>
          </cell>
          <cell r="K8">
            <v>1</v>
          </cell>
        </row>
        <row r="9">
          <cell r="A9" t="str">
            <v>FPL</v>
          </cell>
          <cell r="B9" t="str">
            <v>FPL</v>
          </cell>
          <cell r="C9" t="str">
            <v>FLA PWR &amp; LT</v>
          </cell>
          <cell r="D9">
            <v>19811217</v>
          </cell>
          <cell r="E9" t="str">
            <v>EPS</v>
          </cell>
          <cell r="F9" t="str">
            <v>LTG</v>
          </cell>
          <cell r="G9">
            <v>0</v>
          </cell>
          <cell r="H9">
            <v>9</v>
          </cell>
          <cell r="I9">
            <v>6.5</v>
          </cell>
          <cell r="J9">
            <v>6.14</v>
          </cell>
          <cell r="K9">
            <v>1</v>
          </cell>
        </row>
        <row r="10">
          <cell r="A10" t="str">
            <v>HE</v>
          </cell>
          <cell r="B10" t="str">
            <v>HE</v>
          </cell>
          <cell r="C10" t="str">
            <v>HAWAIIAN ELEC</v>
          </cell>
          <cell r="D10">
            <v>19811217</v>
          </cell>
          <cell r="E10" t="str">
            <v>EPS</v>
          </cell>
          <cell r="F10" t="str">
            <v>LTG</v>
          </cell>
          <cell r="G10">
            <v>0</v>
          </cell>
          <cell r="H10">
            <v>4</v>
          </cell>
          <cell r="I10">
            <v>5.8</v>
          </cell>
          <cell r="J10">
            <v>5.28</v>
          </cell>
          <cell r="K10">
            <v>1</v>
          </cell>
        </row>
        <row r="11">
          <cell r="A11" t="str">
            <v>IDA</v>
          </cell>
          <cell r="B11" t="str">
            <v>IDA</v>
          </cell>
          <cell r="C11" t="str">
            <v>IDAHO POWER CO</v>
          </cell>
          <cell r="D11">
            <v>19811217</v>
          </cell>
          <cell r="E11" t="str">
            <v>EPS</v>
          </cell>
          <cell r="F11" t="str">
            <v>LTG</v>
          </cell>
          <cell r="G11">
            <v>0</v>
          </cell>
          <cell r="H11">
            <v>4</v>
          </cell>
          <cell r="I11">
            <v>3.3</v>
          </cell>
          <cell r="J11">
            <v>3.65</v>
          </cell>
          <cell r="K11">
            <v>1</v>
          </cell>
        </row>
        <row r="12">
          <cell r="A12" t="str">
            <v>NU</v>
          </cell>
          <cell r="B12" t="str">
            <v>NU</v>
          </cell>
          <cell r="C12" t="str">
            <v>NORTHEAST UTILS</v>
          </cell>
          <cell r="D12">
            <v>19811217</v>
          </cell>
          <cell r="E12" t="str">
            <v>EPS</v>
          </cell>
          <cell r="F12" t="str">
            <v>LTG</v>
          </cell>
          <cell r="G12">
            <v>0</v>
          </cell>
          <cell r="H12">
            <v>5</v>
          </cell>
          <cell r="I12">
            <v>5</v>
          </cell>
          <cell r="J12">
            <v>5.4</v>
          </cell>
          <cell r="K12">
            <v>1</v>
          </cell>
        </row>
        <row r="13">
          <cell r="A13" t="str">
            <v>OGE</v>
          </cell>
          <cell r="B13" t="str">
            <v>OGE</v>
          </cell>
          <cell r="C13" t="str">
            <v>OKLAHOMA G&amp;E</v>
          </cell>
          <cell r="D13">
            <v>19811217</v>
          </cell>
          <cell r="E13" t="str">
            <v>EPS</v>
          </cell>
          <cell r="F13" t="str">
            <v>LTG</v>
          </cell>
          <cell r="G13">
            <v>0</v>
          </cell>
          <cell r="H13">
            <v>7</v>
          </cell>
          <cell r="I13">
            <v>4.5</v>
          </cell>
          <cell r="J13">
            <v>4.9000000000000004</v>
          </cell>
          <cell r="K13">
            <v>1</v>
          </cell>
        </row>
        <row r="14">
          <cell r="A14" t="str">
            <v>OTTR</v>
          </cell>
          <cell r="B14" t="str">
            <v>OTTR</v>
          </cell>
          <cell r="C14" t="str">
            <v>OTTER TAIL PWR</v>
          </cell>
          <cell r="D14">
            <v>19811217</v>
          </cell>
          <cell r="E14" t="str">
            <v>EPS</v>
          </cell>
          <cell r="F14" t="str">
            <v>LTG</v>
          </cell>
          <cell r="G14">
            <v>0</v>
          </cell>
          <cell r="H14">
            <v>1</v>
          </cell>
          <cell r="I14">
            <v>2</v>
          </cell>
          <cell r="J14">
            <v>2</v>
          </cell>
          <cell r="K14">
            <v>1</v>
          </cell>
        </row>
        <row r="15">
          <cell r="A15" t="str">
            <v>PCG</v>
          </cell>
          <cell r="B15" t="str">
            <v>PCG</v>
          </cell>
          <cell r="C15" t="str">
            <v>PACIFIC G&amp;E</v>
          </cell>
          <cell r="D15">
            <v>19811217</v>
          </cell>
          <cell r="E15" t="str">
            <v>EPS</v>
          </cell>
          <cell r="F15" t="str">
            <v>LTG</v>
          </cell>
          <cell r="G15">
            <v>0</v>
          </cell>
          <cell r="H15">
            <v>9</v>
          </cell>
          <cell r="I15">
            <v>6</v>
          </cell>
          <cell r="J15">
            <v>5.0999999999999996</v>
          </cell>
          <cell r="K15">
            <v>1</v>
          </cell>
        </row>
        <row r="16">
          <cell r="A16" t="str">
            <v>PEG</v>
          </cell>
          <cell r="B16" t="str">
            <v>PEG</v>
          </cell>
          <cell r="C16" t="str">
            <v>PUB SVC E&amp;G</v>
          </cell>
          <cell r="D16">
            <v>19811217</v>
          </cell>
          <cell r="E16" t="str">
            <v>EPS</v>
          </cell>
          <cell r="F16" t="str">
            <v>LTG</v>
          </cell>
          <cell r="G16">
            <v>0</v>
          </cell>
          <cell r="H16">
            <v>8</v>
          </cell>
          <cell r="I16">
            <v>4</v>
          </cell>
          <cell r="J16">
            <v>4.3</v>
          </cell>
          <cell r="K16">
            <v>1</v>
          </cell>
        </row>
        <row r="17">
          <cell r="A17" t="str">
            <v>PGN</v>
          </cell>
          <cell r="B17" t="str">
            <v>PGN</v>
          </cell>
          <cell r="C17" t="str">
            <v>PORTLD GEN ELEC</v>
          </cell>
          <cell r="D17">
            <v>19811217</v>
          </cell>
          <cell r="E17" t="str">
            <v>EPS</v>
          </cell>
          <cell r="F17" t="str">
            <v>LTG</v>
          </cell>
          <cell r="G17">
            <v>0</v>
          </cell>
          <cell r="H17">
            <v>2</v>
          </cell>
          <cell r="I17">
            <v>5.75</v>
          </cell>
          <cell r="J17">
            <v>5.75</v>
          </cell>
          <cell r="K17">
            <v>1</v>
          </cell>
        </row>
        <row r="18">
          <cell r="A18" t="str">
            <v>PNM</v>
          </cell>
          <cell r="B18" t="str">
            <v>PNM</v>
          </cell>
          <cell r="C18" t="str">
            <v>PUB SVC N MEX</v>
          </cell>
          <cell r="D18">
            <v>19811217</v>
          </cell>
          <cell r="E18" t="str">
            <v>EPS</v>
          </cell>
          <cell r="F18" t="str">
            <v>LTG</v>
          </cell>
          <cell r="G18">
            <v>0</v>
          </cell>
          <cell r="H18">
            <v>5</v>
          </cell>
          <cell r="I18">
            <v>4.5</v>
          </cell>
          <cell r="J18">
            <v>4.4000000000000004</v>
          </cell>
          <cell r="K18">
            <v>1</v>
          </cell>
        </row>
        <row r="19">
          <cell r="A19" t="str">
            <v>POM</v>
          </cell>
          <cell r="B19" t="str">
            <v>POM</v>
          </cell>
          <cell r="C19" t="str">
            <v>POTOMAC ELEC</v>
          </cell>
          <cell r="D19">
            <v>19811217</v>
          </cell>
          <cell r="E19" t="str">
            <v>EPS</v>
          </cell>
          <cell r="F19" t="str">
            <v>LTG</v>
          </cell>
          <cell r="G19">
            <v>0</v>
          </cell>
          <cell r="H19">
            <v>7</v>
          </cell>
          <cell r="I19">
            <v>5.9</v>
          </cell>
          <cell r="J19">
            <v>5.8</v>
          </cell>
          <cell r="K19">
            <v>1</v>
          </cell>
        </row>
        <row r="20">
          <cell r="A20" t="str">
            <v>POR</v>
          </cell>
          <cell r="B20" t="str">
            <v>POR</v>
          </cell>
          <cell r="C20" t="str">
            <v>PORTEC INC</v>
          </cell>
          <cell r="D20">
            <v>19811217</v>
          </cell>
          <cell r="E20" t="str">
            <v>EPS</v>
          </cell>
          <cell r="F20" t="str">
            <v>LTG</v>
          </cell>
          <cell r="G20">
            <v>0</v>
          </cell>
          <cell r="H20">
            <v>1</v>
          </cell>
          <cell r="I20">
            <v>15</v>
          </cell>
          <cell r="J20">
            <v>15</v>
          </cell>
          <cell r="K20">
            <v>1</v>
          </cell>
        </row>
        <row r="21">
          <cell r="A21" t="str">
            <v>PPL</v>
          </cell>
          <cell r="B21" t="str">
            <v>PPL</v>
          </cell>
          <cell r="C21" t="str">
            <v>PENNA P&amp;L</v>
          </cell>
          <cell r="D21">
            <v>19811217</v>
          </cell>
          <cell r="E21" t="str">
            <v>EPS</v>
          </cell>
          <cell r="F21" t="str">
            <v>LTG</v>
          </cell>
          <cell r="G21">
            <v>0</v>
          </cell>
          <cell r="H21">
            <v>7</v>
          </cell>
          <cell r="I21">
            <v>3.5</v>
          </cell>
          <cell r="J21">
            <v>3.43</v>
          </cell>
          <cell r="K21">
            <v>1</v>
          </cell>
        </row>
        <row r="22">
          <cell r="A22" t="str">
            <v>PSD</v>
          </cell>
          <cell r="B22" t="str">
            <v>PSD</v>
          </cell>
          <cell r="C22" t="str">
            <v>PUGET SOUND P&amp;L</v>
          </cell>
          <cell r="D22">
            <v>19811217</v>
          </cell>
          <cell r="E22" t="str">
            <v>EPS</v>
          </cell>
          <cell r="F22" t="str">
            <v>LTG</v>
          </cell>
          <cell r="G22">
            <v>0</v>
          </cell>
          <cell r="H22">
            <v>2</v>
          </cell>
          <cell r="I22">
            <v>5.5</v>
          </cell>
          <cell r="J22">
            <v>5.5</v>
          </cell>
          <cell r="K22">
            <v>1</v>
          </cell>
        </row>
        <row r="23">
          <cell r="A23" t="str">
            <v>SCG</v>
          </cell>
          <cell r="B23" t="str">
            <v>SCG</v>
          </cell>
          <cell r="C23" t="str">
            <v>SO CAROLINA EG</v>
          </cell>
          <cell r="D23">
            <v>19811217</v>
          </cell>
          <cell r="E23" t="str">
            <v>EPS</v>
          </cell>
          <cell r="F23" t="str">
            <v>LTG</v>
          </cell>
          <cell r="G23">
            <v>0</v>
          </cell>
          <cell r="H23">
            <v>6</v>
          </cell>
          <cell r="I23">
            <v>4.5</v>
          </cell>
          <cell r="J23">
            <v>4.45</v>
          </cell>
          <cell r="K23">
            <v>1</v>
          </cell>
        </row>
        <row r="24">
          <cell r="A24" t="str">
            <v>SO</v>
          </cell>
          <cell r="B24" t="str">
            <v>SO</v>
          </cell>
          <cell r="C24" t="str">
            <v>SOUTHN CO</v>
          </cell>
          <cell r="D24">
            <v>19811217</v>
          </cell>
          <cell r="E24" t="str">
            <v>EPS</v>
          </cell>
          <cell r="F24" t="str">
            <v>LTG</v>
          </cell>
          <cell r="G24">
            <v>0</v>
          </cell>
          <cell r="H24">
            <v>9</v>
          </cell>
          <cell r="I24">
            <v>3</v>
          </cell>
          <cell r="J24">
            <v>3.07</v>
          </cell>
          <cell r="K24">
            <v>1</v>
          </cell>
        </row>
        <row r="25">
          <cell r="A25" t="str">
            <v>TE</v>
          </cell>
          <cell r="B25" t="str">
            <v>TE</v>
          </cell>
          <cell r="C25" t="str">
            <v>TECO ENERGY INC</v>
          </cell>
          <cell r="D25">
            <v>19811217</v>
          </cell>
          <cell r="E25" t="str">
            <v>EPS</v>
          </cell>
          <cell r="F25" t="str">
            <v>LTG</v>
          </cell>
          <cell r="G25">
            <v>0</v>
          </cell>
          <cell r="H25">
            <v>7</v>
          </cell>
          <cell r="I25">
            <v>6</v>
          </cell>
          <cell r="J25">
            <v>6</v>
          </cell>
          <cell r="K25">
            <v>1</v>
          </cell>
        </row>
        <row r="26">
          <cell r="A26" t="str">
            <v>UIL</v>
          </cell>
          <cell r="B26" t="str">
            <v>UIL</v>
          </cell>
          <cell r="C26" t="str">
            <v>UTD ILLUM CO</v>
          </cell>
          <cell r="D26">
            <v>19811217</v>
          </cell>
          <cell r="E26" t="str">
            <v>EPS</v>
          </cell>
          <cell r="F26" t="str">
            <v>LTG</v>
          </cell>
          <cell r="G26">
            <v>0</v>
          </cell>
          <cell r="H26">
            <v>2</v>
          </cell>
          <cell r="I26">
            <v>3</v>
          </cell>
          <cell r="J26">
            <v>3</v>
          </cell>
          <cell r="K26">
            <v>1</v>
          </cell>
        </row>
        <row r="27">
          <cell r="A27" t="str">
            <v>WPS</v>
          </cell>
          <cell r="B27" t="str">
            <v>WPS</v>
          </cell>
          <cell r="C27" t="str">
            <v>WISC PUB SVC</v>
          </cell>
          <cell r="D27">
            <v>19811217</v>
          </cell>
          <cell r="E27" t="str">
            <v>EPS</v>
          </cell>
          <cell r="F27" t="str">
            <v>LTG</v>
          </cell>
          <cell r="G27">
            <v>0</v>
          </cell>
          <cell r="H27">
            <v>5</v>
          </cell>
          <cell r="I27">
            <v>5</v>
          </cell>
          <cell r="J27">
            <v>5</v>
          </cell>
          <cell r="K27">
            <v>1</v>
          </cell>
        </row>
      </sheetData>
    </sheetDataSet>
  </externalBook>
</externalLink>
</file>

<file path=xl/externalLinks/externalLink1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RDS"/>
    </sheetNames>
    <sheetDataSet>
      <sheetData sheetId="0">
        <row r="2">
          <cell r="A2" t="str">
            <v>AEE</v>
          </cell>
          <cell r="B2" t="str">
            <v>AEE</v>
          </cell>
          <cell r="C2" t="str">
            <v>AILEEN INC</v>
          </cell>
          <cell r="D2">
            <v>19811217</v>
          </cell>
          <cell r="E2" t="str">
            <v>EPS</v>
          </cell>
          <cell r="F2" t="str">
            <v>ANN</v>
          </cell>
          <cell r="G2">
            <v>1</v>
          </cell>
          <cell r="H2">
            <v>1</v>
          </cell>
          <cell r="I2">
            <v>-0.5</v>
          </cell>
          <cell r="J2">
            <v>-0.5</v>
          </cell>
          <cell r="K2">
            <v>1</v>
          </cell>
          <cell r="L2">
            <v>19811031</v>
          </cell>
          <cell r="M2">
            <v>-0.51</v>
          </cell>
        </row>
        <row r="3">
          <cell r="A3" t="str">
            <v>BKH</v>
          </cell>
          <cell r="B3" t="str">
            <v>BHP</v>
          </cell>
          <cell r="C3" t="str">
            <v>BLACK HILLS CORP</v>
          </cell>
          <cell r="D3">
            <v>19811217</v>
          </cell>
          <cell r="E3" t="str">
            <v>EPS</v>
          </cell>
          <cell r="F3" t="str">
            <v>ANN</v>
          </cell>
          <cell r="G3">
            <v>1</v>
          </cell>
          <cell r="H3">
            <v>3</v>
          </cell>
          <cell r="I3">
            <v>0.44</v>
          </cell>
          <cell r="J3">
            <v>0.44</v>
          </cell>
          <cell r="K3">
            <v>1</v>
          </cell>
          <cell r="L3">
            <v>19811231</v>
          </cell>
          <cell r="M3">
            <v>0.46560000000000001</v>
          </cell>
        </row>
        <row r="4">
          <cell r="A4" t="str">
            <v>CIN</v>
          </cell>
          <cell r="B4" t="str">
            <v>CIN</v>
          </cell>
          <cell r="C4" t="str">
            <v>CINN GAS &amp; EL</v>
          </cell>
          <cell r="D4">
            <v>19811217</v>
          </cell>
          <cell r="E4" t="str">
            <v>EPS</v>
          </cell>
          <cell r="F4" t="str">
            <v>ANN</v>
          </cell>
          <cell r="G4">
            <v>1</v>
          </cell>
          <cell r="H4">
            <v>15</v>
          </cell>
          <cell r="I4">
            <v>1.5</v>
          </cell>
          <cell r="J4">
            <v>1.52</v>
          </cell>
          <cell r="K4">
            <v>1</v>
          </cell>
          <cell r="L4">
            <v>19811231</v>
          </cell>
          <cell r="M4">
            <v>1.5333000000000001</v>
          </cell>
        </row>
        <row r="5">
          <cell r="A5" t="str">
            <v>CMS</v>
          </cell>
          <cell r="B5" t="str">
            <v>CMS</v>
          </cell>
          <cell r="C5" t="str">
            <v>CONSUMERS PWR</v>
          </cell>
          <cell r="D5">
            <v>19811217</v>
          </cell>
          <cell r="E5" t="str">
            <v>EPS</v>
          </cell>
          <cell r="F5" t="str">
            <v>ANN</v>
          </cell>
          <cell r="G5">
            <v>1</v>
          </cell>
          <cell r="H5">
            <v>16</v>
          </cell>
          <cell r="I5">
            <v>3.2</v>
          </cell>
          <cell r="J5">
            <v>3.19</v>
          </cell>
          <cell r="K5">
            <v>1</v>
          </cell>
          <cell r="L5">
            <v>19811231</v>
          </cell>
          <cell r="M5">
            <v>3.12</v>
          </cell>
        </row>
        <row r="6">
          <cell r="A6" t="str">
            <v>D</v>
          </cell>
          <cell r="B6" t="str">
            <v>D</v>
          </cell>
          <cell r="C6" t="str">
            <v>DOMINION RES INC</v>
          </cell>
          <cell r="D6">
            <v>19811217</v>
          </cell>
          <cell r="E6" t="str">
            <v>EPS</v>
          </cell>
          <cell r="F6" t="str">
            <v>ANN</v>
          </cell>
          <cell r="G6">
            <v>1</v>
          </cell>
          <cell r="H6">
            <v>21</v>
          </cell>
          <cell r="I6">
            <v>0.95</v>
          </cell>
          <cell r="J6">
            <v>0.96</v>
          </cell>
          <cell r="K6">
            <v>1</v>
          </cell>
          <cell r="L6">
            <v>19811231</v>
          </cell>
          <cell r="M6">
            <v>0.87</v>
          </cell>
        </row>
        <row r="7">
          <cell r="A7" t="str">
            <v>DPL</v>
          </cell>
          <cell r="B7" t="str">
            <v>DPL</v>
          </cell>
          <cell r="C7" t="str">
            <v>DAYTON P &amp; L</v>
          </cell>
          <cell r="D7">
            <v>19811217</v>
          </cell>
          <cell r="E7" t="str">
            <v>EPS</v>
          </cell>
          <cell r="F7" t="str">
            <v>ANN</v>
          </cell>
          <cell r="G7">
            <v>1</v>
          </cell>
          <cell r="H7">
            <v>8</v>
          </cell>
          <cell r="I7">
            <v>0.72</v>
          </cell>
          <cell r="J7">
            <v>0.72</v>
          </cell>
          <cell r="K7">
            <v>1</v>
          </cell>
          <cell r="L7">
            <v>19811231</v>
          </cell>
          <cell r="M7">
            <v>0.74370000000000003</v>
          </cell>
        </row>
        <row r="8">
          <cell r="A8" t="str">
            <v>DTE</v>
          </cell>
          <cell r="B8" t="str">
            <v>DTE</v>
          </cell>
          <cell r="C8" t="str">
            <v>DETROIT EDISON</v>
          </cell>
          <cell r="D8">
            <v>19811217</v>
          </cell>
          <cell r="E8" t="str">
            <v>EPS</v>
          </cell>
          <cell r="F8" t="str">
            <v>ANN</v>
          </cell>
          <cell r="G8">
            <v>1</v>
          </cell>
          <cell r="H8">
            <v>11</v>
          </cell>
          <cell r="I8">
            <v>2</v>
          </cell>
          <cell r="J8">
            <v>2</v>
          </cell>
          <cell r="K8">
            <v>1</v>
          </cell>
          <cell r="L8">
            <v>19811231</v>
          </cell>
          <cell r="M8">
            <v>2</v>
          </cell>
        </row>
        <row r="9">
          <cell r="A9" t="str">
            <v>DUK</v>
          </cell>
          <cell r="B9" t="str">
            <v>DUK</v>
          </cell>
          <cell r="C9" t="str">
            <v>DUKE POWER CO</v>
          </cell>
          <cell r="D9">
            <v>19811217</v>
          </cell>
          <cell r="E9" t="str">
            <v>EPS</v>
          </cell>
          <cell r="F9" t="str">
            <v>ANN</v>
          </cell>
          <cell r="G9">
            <v>1</v>
          </cell>
          <cell r="H9">
            <v>21</v>
          </cell>
          <cell r="I9">
            <v>2.4</v>
          </cell>
          <cell r="J9">
            <v>2.39</v>
          </cell>
          <cell r="K9">
            <v>1</v>
          </cell>
          <cell r="L9">
            <v>19811231</v>
          </cell>
          <cell r="M9">
            <v>2.3849999999999998</v>
          </cell>
        </row>
        <row r="10">
          <cell r="A10" t="str">
            <v>ED</v>
          </cell>
          <cell r="B10" t="str">
            <v>ED</v>
          </cell>
          <cell r="C10" t="str">
            <v>CONSOL EDISON</v>
          </cell>
          <cell r="D10">
            <v>19811217</v>
          </cell>
          <cell r="E10" t="str">
            <v>EPS</v>
          </cell>
          <cell r="F10" t="str">
            <v>ANN</v>
          </cell>
          <cell r="G10">
            <v>1</v>
          </cell>
          <cell r="H10">
            <v>17</v>
          </cell>
          <cell r="I10">
            <v>1.52</v>
          </cell>
          <cell r="J10">
            <v>1.52</v>
          </cell>
          <cell r="K10">
            <v>1</v>
          </cell>
          <cell r="L10">
            <v>19811231</v>
          </cell>
          <cell r="M10">
            <v>1.61</v>
          </cell>
        </row>
        <row r="11">
          <cell r="A11" t="str">
            <v>EDE</v>
          </cell>
          <cell r="B11" t="str">
            <v>EDE</v>
          </cell>
          <cell r="C11" t="str">
            <v>EMPIRE DIST ELEC</v>
          </cell>
          <cell r="D11">
            <v>19811217</v>
          </cell>
          <cell r="E11" t="str">
            <v>EPS</v>
          </cell>
          <cell r="F11" t="str">
            <v>ANN</v>
          </cell>
          <cell r="G11">
            <v>1</v>
          </cell>
          <cell r="H11">
            <v>1</v>
          </cell>
          <cell r="I11">
            <v>0.68</v>
          </cell>
          <cell r="J11">
            <v>0.68</v>
          </cell>
          <cell r="K11">
            <v>1</v>
          </cell>
          <cell r="L11">
            <v>19811231</v>
          </cell>
          <cell r="M11">
            <v>0.66500000000000004</v>
          </cell>
        </row>
        <row r="12">
          <cell r="A12" t="str">
            <v>FPL</v>
          </cell>
          <cell r="B12" t="str">
            <v>FPL</v>
          </cell>
          <cell r="C12" t="str">
            <v>FLA PWR &amp; LT</v>
          </cell>
          <cell r="D12">
            <v>19811217</v>
          </cell>
          <cell r="E12" t="str">
            <v>EPS</v>
          </cell>
          <cell r="F12" t="str">
            <v>ANN</v>
          </cell>
          <cell r="G12">
            <v>1</v>
          </cell>
          <cell r="H12">
            <v>23</v>
          </cell>
          <cell r="I12">
            <v>0.25</v>
          </cell>
          <cell r="J12">
            <v>0.25</v>
          </cell>
          <cell r="K12">
            <v>1</v>
          </cell>
          <cell r="L12">
            <v>19811231</v>
          </cell>
          <cell r="M12">
            <v>0.26500000000000001</v>
          </cell>
        </row>
        <row r="13">
          <cell r="A13" t="str">
            <v>HE</v>
          </cell>
          <cell r="B13" t="str">
            <v>HE</v>
          </cell>
          <cell r="C13" t="str">
            <v>HAWAIIAN ELEC</v>
          </cell>
          <cell r="D13">
            <v>19811217</v>
          </cell>
          <cell r="E13" t="str">
            <v>EPS</v>
          </cell>
          <cell r="F13" t="str">
            <v>ANN</v>
          </cell>
          <cell r="G13">
            <v>1</v>
          </cell>
          <cell r="H13">
            <v>9</v>
          </cell>
          <cell r="I13">
            <v>1</v>
          </cell>
          <cell r="J13">
            <v>1</v>
          </cell>
          <cell r="K13">
            <v>1</v>
          </cell>
          <cell r="L13">
            <v>19811231</v>
          </cell>
          <cell r="M13">
            <v>0.94499999999999995</v>
          </cell>
        </row>
        <row r="14">
          <cell r="A14" t="str">
            <v>IDA</v>
          </cell>
          <cell r="B14" t="str">
            <v>IDA</v>
          </cell>
          <cell r="C14" t="str">
            <v>IDAHO POWER CO</v>
          </cell>
          <cell r="D14">
            <v>19811217</v>
          </cell>
          <cell r="E14" t="str">
            <v>EPS</v>
          </cell>
          <cell r="F14" t="str">
            <v>ANN</v>
          </cell>
          <cell r="G14">
            <v>1</v>
          </cell>
          <cell r="H14">
            <v>10</v>
          </cell>
          <cell r="I14">
            <v>1.55</v>
          </cell>
          <cell r="J14">
            <v>1.55</v>
          </cell>
          <cell r="K14">
            <v>1</v>
          </cell>
          <cell r="L14">
            <v>19811231</v>
          </cell>
          <cell r="M14">
            <v>1.52</v>
          </cell>
        </row>
        <row r="15">
          <cell r="A15" t="str">
            <v>NU</v>
          </cell>
          <cell r="B15" t="str">
            <v>NU</v>
          </cell>
          <cell r="C15" t="str">
            <v>NORTHEAST UTILS</v>
          </cell>
          <cell r="D15">
            <v>19811217</v>
          </cell>
          <cell r="E15" t="str">
            <v>EPS</v>
          </cell>
          <cell r="F15" t="str">
            <v>ANN</v>
          </cell>
          <cell r="G15">
            <v>1</v>
          </cell>
          <cell r="H15">
            <v>13</v>
          </cell>
          <cell r="I15">
            <v>1.5</v>
          </cell>
          <cell r="J15">
            <v>1.48</v>
          </cell>
          <cell r="K15">
            <v>1</v>
          </cell>
          <cell r="L15">
            <v>19811231</v>
          </cell>
          <cell r="M15">
            <v>1.29</v>
          </cell>
        </row>
        <row r="16">
          <cell r="A16" t="str">
            <v>OGE</v>
          </cell>
          <cell r="B16" t="str">
            <v>OGE</v>
          </cell>
          <cell r="C16" t="str">
            <v>OKLAHOMA G&amp;E</v>
          </cell>
          <cell r="D16">
            <v>19811217</v>
          </cell>
          <cell r="E16" t="str">
            <v>EPS</v>
          </cell>
          <cell r="F16" t="str">
            <v>ANN</v>
          </cell>
          <cell r="G16">
            <v>1</v>
          </cell>
          <cell r="H16">
            <v>16</v>
          </cell>
          <cell r="I16">
            <v>0.47</v>
          </cell>
          <cell r="J16">
            <v>0.47</v>
          </cell>
          <cell r="K16">
            <v>1</v>
          </cell>
          <cell r="L16">
            <v>19811231</v>
          </cell>
          <cell r="M16">
            <v>0.51249999999999996</v>
          </cell>
        </row>
        <row r="17">
          <cell r="A17" t="str">
            <v>OTTR</v>
          </cell>
          <cell r="B17" t="str">
            <v>OTTR</v>
          </cell>
          <cell r="C17" t="str">
            <v>OTTER TAIL PWR</v>
          </cell>
          <cell r="D17">
            <v>19811217</v>
          </cell>
          <cell r="E17" t="str">
            <v>EPS</v>
          </cell>
          <cell r="F17" t="str">
            <v>ANN</v>
          </cell>
          <cell r="G17">
            <v>1</v>
          </cell>
          <cell r="H17">
            <v>2</v>
          </cell>
          <cell r="I17">
            <v>0.47</v>
          </cell>
          <cell r="J17">
            <v>0.47</v>
          </cell>
          <cell r="K17">
            <v>1</v>
          </cell>
          <cell r="L17">
            <v>19811231</v>
          </cell>
          <cell r="M17">
            <v>0.43</v>
          </cell>
        </row>
        <row r="18">
          <cell r="A18" t="str">
            <v>OTTR</v>
          </cell>
          <cell r="B18" t="str">
            <v>OTU</v>
          </cell>
          <cell r="C18" t="str">
            <v>OUTLET CO</v>
          </cell>
          <cell r="D18">
            <v>19811217</v>
          </cell>
          <cell r="E18" t="str">
            <v>EPS</v>
          </cell>
          <cell r="F18" t="str">
            <v>ANN</v>
          </cell>
          <cell r="G18">
            <v>1</v>
          </cell>
          <cell r="H18">
            <v>1</v>
          </cell>
          <cell r="I18">
            <v>0.6</v>
          </cell>
          <cell r="J18">
            <v>0.6</v>
          </cell>
          <cell r="K18">
            <v>1</v>
          </cell>
          <cell r="L18">
            <v>19820131</v>
          </cell>
          <cell r="M18">
            <v>0.19</v>
          </cell>
        </row>
        <row r="19">
          <cell r="A19" t="str">
            <v>PCG</v>
          </cell>
          <cell r="B19" t="str">
            <v>PCG</v>
          </cell>
          <cell r="C19" t="str">
            <v>PACIFIC G&amp;E</v>
          </cell>
          <cell r="D19">
            <v>19811217</v>
          </cell>
          <cell r="E19" t="str">
            <v>EPS</v>
          </cell>
          <cell r="F19" t="str">
            <v>ANN</v>
          </cell>
          <cell r="G19">
            <v>1</v>
          </cell>
          <cell r="H19">
            <v>19</v>
          </cell>
          <cell r="I19">
            <v>1.7</v>
          </cell>
          <cell r="J19">
            <v>1.71</v>
          </cell>
          <cell r="K19">
            <v>1</v>
          </cell>
          <cell r="L19">
            <v>19811231</v>
          </cell>
          <cell r="M19">
            <v>1.7</v>
          </cell>
        </row>
        <row r="20">
          <cell r="A20" t="str">
            <v>PEG</v>
          </cell>
          <cell r="B20" t="str">
            <v>PEG</v>
          </cell>
          <cell r="C20" t="str">
            <v>PUB SVC E&amp;G</v>
          </cell>
          <cell r="D20">
            <v>19811217</v>
          </cell>
          <cell r="E20" t="str">
            <v>EPS</v>
          </cell>
          <cell r="F20" t="str">
            <v>ANN</v>
          </cell>
          <cell r="G20">
            <v>1</v>
          </cell>
          <cell r="H20">
            <v>17</v>
          </cell>
          <cell r="I20">
            <v>0.93</v>
          </cell>
          <cell r="J20">
            <v>0.92</v>
          </cell>
          <cell r="K20">
            <v>1</v>
          </cell>
          <cell r="L20">
            <v>19811231</v>
          </cell>
          <cell r="M20">
            <v>0.875</v>
          </cell>
        </row>
        <row r="21">
          <cell r="A21" t="str">
            <v>PGN</v>
          </cell>
          <cell r="B21" t="str">
            <v>PGN</v>
          </cell>
          <cell r="C21" t="str">
            <v>PORTLD GEN ELEC</v>
          </cell>
          <cell r="D21">
            <v>19811217</v>
          </cell>
          <cell r="E21" t="str">
            <v>EPS</v>
          </cell>
          <cell r="F21" t="str">
            <v>ANN</v>
          </cell>
          <cell r="G21">
            <v>1</v>
          </cell>
          <cell r="H21">
            <v>8</v>
          </cell>
          <cell r="I21">
            <v>2.2200000000000002</v>
          </cell>
          <cell r="J21">
            <v>2.19</v>
          </cell>
          <cell r="K21">
            <v>1</v>
          </cell>
          <cell r="L21">
            <v>19811231</v>
          </cell>
          <cell r="M21">
            <v>2.54</v>
          </cell>
        </row>
        <row r="22">
          <cell r="A22" t="str">
            <v>PNM</v>
          </cell>
          <cell r="B22" t="str">
            <v>PNM</v>
          </cell>
          <cell r="C22" t="str">
            <v>PUB SVC N MEX</v>
          </cell>
          <cell r="D22">
            <v>19811217</v>
          </cell>
          <cell r="E22" t="str">
            <v>EPS</v>
          </cell>
          <cell r="F22" t="str">
            <v>ANN</v>
          </cell>
          <cell r="G22">
            <v>1</v>
          </cell>
          <cell r="H22">
            <v>10</v>
          </cell>
          <cell r="I22">
            <v>2.17</v>
          </cell>
          <cell r="J22">
            <v>2.1800000000000002</v>
          </cell>
          <cell r="K22">
            <v>1</v>
          </cell>
          <cell r="L22">
            <v>19811231</v>
          </cell>
          <cell r="M22">
            <v>2.82</v>
          </cell>
        </row>
        <row r="23">
          <cell r="A23" t="str">
            <v>POM</v>
          </cell>
          <cell r="B23" t="str">
            <v>POM</v>
          </cell>
          <cell r="C23" t="str">
            <v>POTOMAC ELEC</v>
          </cell>
          <cell r="D23">
            <v>19811217</v>
          </cell>
          <cell r="E23" t="str">
            <v>EPS</v>
          </cell>
          <cell r="F23" t="str">
            <v>ANN</v>
          </cell>
          <cell r="G23">
            <v>1</v>
          </cell>
          <cell r="H23">
            <v>17</v>
          </cell>
          <cell r="I23">
            <v>1.05</v>
          </cell>
          <cell r="J23">
            <v>1.05</v>
          </cell>
          <cell r="K23">
            <v>1</v>
          </cell>
          <cell r="L23">
            <v>19811231</v>
          </cell>
          <cell r="M23">
            <v>1.06</v>
          </cell>
        </row>
        <row r="24">
          <cell r="A24" t="str">
            <v>POR</v>
          </cell>
          <cell r="B24" t="str">
            <v>POR</v>
          </cell>
          <cell r="C24" t="str">
            <v>PORTEC INC</v>
          </cell>
          <cell r="D24">
            <v>19811217</v>
          </cell>
          <cell r="E24" t="str">
            <v>EPS</v>
          </cell>
          <cell r="F24" t="str">
            <v>ANN</v>
          </cell>
          <cell r="G24">
            <v>1</v>
          </cell>
          <cell r="H24">
            <v>3</v>
          </cell>
          <cell r="I24">
            <v>1.46</v>
          </cell>
          <cell r="J24">
            <v>1.4</v>
          </cell>
          <cell r="K24">
            <v>1</v>
          </cell>
          <cell r="L24">
            <v>19811231</v>
          </cell>
          <cell r="M24">
            <v>1.5551999999999999</v>
          </cell>
        </row>
        <row r="25">
          <cell r="A25" t="str">
            <v>POR</v>
          </cell>
          <cell r="B25" t="str">
            <v>POS</v>
          </cell>
          <cell r="C25" t="str">
            <v>POST CP</v>
          </cell>
          <cell r="D25">
            <v>19811217</v>
          </cell>
          <cell r="E25" t="str">
            <v>EPS</v>
          </cell>
          <cell r="F25" t="str">
            <v>ANN</v>
          </cell>
          <cell r="G25">
            <v>1</v>
          </cell>
          <cell r="H25">
            <v>3</v>
          </cell>
          <cell r="I25">
            <v>1.7</v>
          </cell>
          <cell r="J25">
            <v>1.65</v>
          </cell>
          <cell r="K25">
            <v>1</v>
          </cell>
          <cell r="L25">
            <v>19811231</v>
          </cell>
          <cell r="M25">
            <v>1.03</v>
          </cell>
        </row>
        <row r="26">
          <cell r="A26" t="str">
            <v>PPL</v>
          </cell>
          <cell r="B26" t="str">
            <v>PPL</v>
          </cell>
          <cell r="C26" t="str">
            <v>PENNA P&amp;L</v>
          </cell>
          <cell r="D26">
            <v>19811217</v>
          </cell>
          <cell r="E26" t="str">
            <v>EPS</v>
          </cell>
          <cell r="F26" t="str">
            <v>ANN</v>
          </cell>
          <cell r="G26">
            <v>1</v>
          </cell>
          <cell r="H26">
            <v>14</v>
          </cell>
          <cell r="I26">
            <v>0.8</v>
          </cell>
          <cell r="J26">
            <v>0.8</v>
          </cell>
          <cell r="K26">
            <v>1</v>
          </cell>
          <cell r="L26">
            <v>19811231</v>
          </cell>
          <cell r="M26">
            <v>0.79249999999999998</v>
          </cell>
        </row>
        <row r="27">
          <cell r="A27" t="str">
            <v>PSD</v>
          </cell>
          <cell r="B27" t="str">
            <v>PSD</v>
          </cell>
          <cell r="C27" t="str">
            <v>PUGET SOUND P&amp;L</v>
          </cell>
          <cell r="D27">
            <v>19811217</v>
          </cell>
          <cell r="E27" t="str">
            <v>EPS</v>
          </cell>
          <cell r="F27" t="str">
            <v>ANN</v>
          </cell>
          <cell r="G27">
            <v>1</v>
          </cell>
          <cell r="H27">
            <v>5</v>
          </cell>
          <cell r="I27">
            <v>2.35</v>
          </cell>
          <cell r="J27">
            <v>2.42</v>
          </cell>
          <cell r="K27">
            <v>1</v>
          </cell>
          <cell r="L27">
            <v>19811231</v>
          </cell>
          <cell r="M27">
            <v>2.85</v>
          </cell>
        </row>
        <row r="28">
          <cell r="A28" t="str">
            <v>SCG</v>
          </cell>
          <cell r="B28" t="str">
            <v>SCG</v>
          </cell>
          <cell r="C28" t="str">
            <v>SO CAROLINA EG</v>
          </cell>
          <cell r="D28">
            <v>19811217</v>
          </cell>
          <cell r="E28" t="str">
            <v>EPS</v>
          </cell>
          <cell r="F28" t="str">
            <v>ANN</v>
          </cell>
          <cell r="G28">
            <v>1</v>
          </cell>
          <cell r="H28">
            <v>12</v>
          </cell>
          <cell r="I28">
            <v>1.0900000000000001</v>
          </cell>
          <cell r="J28">
            <v>1.1100000000000001</v>
          </cell>
          <cell r="K28">
            <v>1</v>
          </cell>
          <cell r="L28">
            <v>19811231</v>
          </cell>
          <cell r="M28">
            <v>1.22</v>
          </cell>
        </row>
        <row r="29">
          <cell r="A29" t="str">
            <v>SO</v>
          </cell>
          <cell r="B29" t="str">
            <v>SO</v>
          </cell>
          <cell r="C29" t="str">
            <v>SOUTHN CO</v>
          </cell>
          <cell r="D29">
            <v>19811217</v>
          </cell>
          <cell r="E29" t="str">
            <v>EPS</v>
          </cell>
          <cell r="F29" t="str">
            <v>ANN</v>
          </cell>
          <cell r="G29">
            <v>1</v>
          </cell>
          <cell r="H29">
            <v>20</v>
          </cell>
          <cell r="I29">
            <v>0.96</v>
          </cell>
          <cell r="J29">
            <v>0.96</v>
          </cell>
          <cell r="K29">
            <v>1</v>
          </cell>
          <cell r="L29">
            <v>19811231</v>
          </cell>
          <cell r="M29">
            <v>0.90500000000000003</v>
          </cell>
        </row>
        <row r="30">
          <cell r="A30" t="str">
            <v>TE</v>
          </cell>
          <cell r="B30" t="str">
            <v>TE</v>
          </cell>
          <cell r="C30" t="str">
            <v>TECO ENERGY INC</v>
          </cell>
          <cell r="D30">
            <v>19811217</v>
          </cell>
          <cell r="E30" t="str">
            <v>EPS</v>
          </cell>
          <cell r="F30" t="str">
            <v>ANN</v>
          </cell>
          <cell r="G30">
            <v>1</v>
          </cell>
          <cell r="H30">
            <v>18</v>
          </cell>
          <cell r="I30">
            <v>0.81</v>
          </cell>
          <cell r="J30">
            <v>0.81</v>
          </cell>
          <cell r="K30">
            <v>1</v>
          </cell>
          <cell r="L30">
            <v>19811231</v>
          </cell>
          <cell r="M30">
            <v>0.745</v>
          </cell>
        </row>
        <row r="31">
          <cell r="A31" t="str">
            <v>UIL</v>
          </cell>
          <cell r="B31" t="str">
            <v>UIL</v>
          </cell>
          <cell r="C31" t="str">
            <v>UTD ILLUM CO</v>
          </cell>
          <cell r="D31">
            <v>19811217</v>
          </cell>
          <cell r="E31" t="str">
            <v>EPS</v>
          </cell>
          <cell r="F31" t="str">
            <v>ANN</v>
          </cell>
          <cell r="G31">
            <v>1</v>
          </cell>
          <cell r="H31">
            <v>2</v>
          </cell>
          <cell r="I31">
            <v>2.2999999999999998</v>
          </cell>
          <cell r="J31">
            <v>2.2999999999999998</v>
          </cell>
          <cell r="K31">
            <v>1</v>
          </cell>
          <cell r="L31">
            <v>19811231</v>
          </cell>
          <cell r="M31">
            <v>2.544</v>
          </cell>
        </row>
        <row r="32">
          <cell r="A32" t="str">
            <v>WPS</v>
          </cell>
          <cell r="B32" t="str">
            <v>WPS</v>
          </cell>
          <cell r="C32" t="str">
            <v>WISC PUB SVC</v>
          </cell>
          <cell r="D32">
            <v>19811217</v>
          </cell>
          <cell r="E32" t="str">
            <v>EPS</v>
          </cell>
          <cell r="F32" t="str">
            <v>ANN</v>
          </cell>
          <cell r="G32">
            <v>1</v>
          </cell>
          <cell r="H32">
            <v>13</v>
          </cell>
          <cell r="I32">
            <v>1.5</v>
          </cell>
          <cell r="J32">
            <v>1.49</v>
          </cell>
          <cell r="K32">
            <v>1</v>
          </cell>
          <cell r="L32">
            <v>19811231</v>
          </cell>
          <cell r="M32">
            <v>1.5</v>
          </cell>
        </row>
      </sheetData>
    </sheetDataSet>
  </externalBook>
</externalLink>
</file>

<file path=xl/externalLinks/externalLink1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bqvggagtud6gwvo"/>
    </sheetNames>
    <sheetDataSet>
      <sheetData sheetId="0">
        <row r="1">
          <cell r="B1" t="str">
            <v>Official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Forecast Period End Date (SAS Format)</v>
          </cell>
          <cell r="M1" t="str">
            <v>Actual Value, from the Detail Actuals File</v>
          </cell>
          <cell r="N1" t="str">
            <v>Announce date of the Actual, from the Detail Actuals File</v>
          </cell>
        </row>
        <row r="2">
          <cell r="B2" t="str">
            <v>ATG</v>
          </cell>
          <cell r="C2" t="str">
            <v>ATLANTA GAS LT</v>
          </cell>
          <cell r="D2">
            <v>29937</v>
          </cell>
          <cell r="E2" t="str">
            <v>EPS</v>
          </cell>
          <cell r="F2" t="str">
            <v>ANN</v>
          </cell>
          <cell r="G2" t="str">
            <v>1</v>
          </cell>
          <cell r="H2">
            <v>3</v>
          </cell>
          <cell r="I2">
            <v>0.81</v>
          </cell>
          <cell r="J2">
            <v>0.86</v>
          </cell>
          <cell r="K2">
            <v>0.09</v>
          </cell>
          <cell r="L2">
            <v>30224</v>
          </cell>
          <cell r="M2">
            <v>0.45250000000000001</v>
          </cell>
        </row>
        <row r="3">
          <cell r="B3" t="str">
            <v>CGC</v>
          </cell>
          <cell r="C3" t="str">
            <v>CASCADE NAT GAS</v>
          </cell>
          <cell r="D3">
            <v>29937</v>
          </cell>
          <cell r="E3" t="str">
            <v>EPS</v>
          </cell>
          <cell r="F3" t="str">
            <v>ANN</v>
          </cell>
          <cell r="G3" t="str">
            <v>1</v>
          </cell>
          <cell r="H3">
            <v>4</v>
          </cell>
          <cell r="I3">
            <v>1.02</v>
          </cell>
          <cell r="J3">
            <v>1.04</v>
          </cell>
          <cell r="K3">
            <v>0.14000000000000001</v>
          </cell>
          <cell r="L3">
            <v>29951</v>
          </cell>
          <cell r="M3">
            <v>0.79330000000000001</v>
          </cell>
        </row>
        <row r="4">
          <cell r="B4" t="str">
            <v>GAS</v>
          </cell>
          <cell r="C4" t="str">
            <v>NICOR INC</v>
          </cell>
          <cell r="D4">
            <v>29937</v>
          </cell>
          <cell r="E4" t="str">
            <v>EPS</v>
          </cell>
          <cell r="F4" t="str">
            <v>ANN</v>
          </cell>
          <cell r="G4" t="str">
            <v>1</v>
          </cell>
          <cell r="H4">
            <v>11</v>
          </cell>
          <cell r="I4">
            <v>2.75</v>
          </cell>
          <cell r="J4">
            <v>2.74</v>
          </cell>
          <cell r="K4">
            <v>0.05</v>
          </cell>
          <cell r="L4">
            <v>29951</v>
          </cell>
          <cell r="M4">
            <v>2.625</v>
          </cell>
        </row>
        <row r="5">
          <cell r="B5" t="str">
            <v>LG</v>
          </cell>
          <cell r="C5" t="str">
            <v>LACLEDE GAS</v>
          </cell>
          <cell r="D5">
            <v>29937</v>
          </cell>
          <cell r="E5" t="str">
            <v>EPS</v>
          </cell>
          <cell r="F5" t="str">
            <v>ANN</v>
          </cell>
          <cell r="G5" t="str">
            <v>1</v>
          </cell>
          <cell r="H5">
            <v>1</v>
          </cell>
          <cell r="I5">
            <v>0.97</v>
          </cell>
          <cell r="J5">
            <v>0.97</v>
          </cell>
          <cell r="L5">
            <v>30224</v>
          </cell>
          <cell r="M5">
            <v>1.075</v>
          </cell>
        </row>
        <row r="6">
          <cell r="B6" t="str">
            <v>NI</v>
          </cell>
          <cell r="C6" t="str">
            <v>NORTHN IND PUB</v>
          </cell>
          <cell r="D6">
            <v>29937</v>
          </cell>
          <cell r="E6" t="str">
            <v>EPS</v>
          </cell>
          <cell r="F6" t="str">
            <v>ANN</v>
          </cell>
          <cell r="G6" t="str">
            <v>1</v>
          </cell>
          <cell r="H6">
            <v>9</v>
          </cell>
          <cell r="I6">
            <v>0.95</v>
          </cell>
          <cell r="J6">
            <v>0.95</v>
          </cell>
          <cell r="K6">
            <v>0.05</v>
          </cell>
          <cell r="L6">
            <v>29951</v>
          </cell>
          <cell r="M6">
            <v>0.68500000000000005</v>
          </cell>
        </row>
        <row r="7">
          <cell r="B7" t="str">
            <v>PNY</v>
          </cell>
          <cell r="C7" t="str">
            <v>PIEDMONT NAT GAS</v>
          </cell>
          <cell r="D7">
            <v>29937</v>
          </cell>
          <cell r="E7" t="str">
            <v>EPS</v>
          </cell>
          <cell r="F7" t="str">
            <v>ANN</v>
          </cell>
          <cell r="G7" t="str">
            <v>1</v>
          </cell>
          <cell r="H7">
            <v>4</v>
          </cell>
          <cell r="I7">
            <v>0.42</v>
          </cell>
          <cell r="J7">
            <v>0.42</v>
          </cell>
          <cell r="K7">
            <v>0.02</v>
          </cell>
          <cell r="L7">
            <v>29890</v>
          </cell>
          <cell r="M7">
            <v>0.34250000000000003</v>
          </cell>
        </row>
        <row r="8">
          <cell r="B8" t="str">
            <v>SJI</v>
          </cell>
          <cell r="C8" t="str">
            <v>SO JERSEY INDS</v>
          </cell>
          <cell r="D8">
            <v>29937</v>
          </cell>
          <cell r="E8" t="str">
            <v>EPS</v>
          </cell>
          <cell r="F8" t="str">
            <v>ANN</v>
          </cell>
          <cell r="G8" t="str">
            <v>1</v>
          </cell>
          <cell r="H8">
            <v>2</v>
          </cell>
          <cell r="I8">
            <v>0.42</v>
          </cell>
          <cell r="J8">
            <v>0.42</v>
          </cell>
          <cell r="K8">
            <v>0.05</v>
          </cell>
          <cell r="L8">
            <v>29951</v>
          </cell>
          <cell r="M8">
            <v>0.41909999999999997</v>
          </cell>
        </row>
        <row r="9">
          <cell r="B9" t="str">
            <v>SWX</v>
          </cell>
          <cell r="C9" t="str">
            <v>SOUTHWEST GAS</v>
          </cell>
          <cell r="D9">
            <v>29937</v>
          </cell>
          <cell r="E9" t="str">
            <v>EPS</v>
          </cell>
          <cell r="F9" t="str">
            <v>ANN</v>
          </cell>
          <cell r="G9" t="str">
            <v>1</v>
          </cell>
          <cell r="H9">
            <v>3</v>
          </cell>
          <cell r="I9">
            <v>1.35</v>
          </cell>
          <cell r="J9">
            <v>1.33</v>
          </cell>
          <cell r="K9">
            <v>0.03</v>
          </cell>
          <cell r="L9">
            <v>29951</v>
          </cell>
          <cell r="M9">
            <v>0.92</v>
          </cell>
        </row>
        <row r="10">
          <cell r="B10" t="str">
            <v>WGL</v>
          </cell>
          <cell r="C10" t="str">
            <v>WASH GAS LT</v>
          </cell>
          <cell r="D10">
            <v>29937</v>
          </cell>
          <cell r="E10" t="str">
            <v>EPS</v>
          </cell>
          <cell r="F10" t="str">
            <v>ANN</v>
          </cell>
          <cell r="G10" t="str">
            <v>1</v>
          </cell>
          <cell r="H10">
            <v>5</v>
          </cell>
          <cell r="I10">
            <v>0.9</v>
          </cell>
          <cell r="J10">
            <v>0.89</v>
          </cell>
          <cell r="K10">
            <v>0.04</v>
          </cell>
          <cell r="L10">
            <v>29951</v>
          </cell>
          <cell r="M10">
            <v>0.83</v>
          </cell>
        </row>
      </sheetData>
    </sheetDataSet>
  </externalBook>
</externalLink>
</file>

<file path=xl/externalLinks/externalLink1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tsxbptlqhqgtozi"/>
    </sheetNames>
    <sheetDataSet>
      <sheetData sheetId="0">
        <row r="1">
          <cell r="B1" t="str">
            <v>Official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Forecast Period End Date (SAS Format)</v>
          </cell>
          <cell r="M1" t="str">
            <v>Actual Value, from the Detail Actuals File</v>
          </cell>
          <cell r="N1" t="str">
            <v>Announce date of the Actual, from the Detail Actuals File</v>
          </cell>
        </row>
        <row r="2">
          <cell r="B2" t="str">
            <v>ATG</v>
          </cell>
          <cell r="C2" t="str">
            <v>ATLANTA GAS LT</v>
          </cell>
          <cell r="D2">
            <v>29937</v>
          </cell>
          <cell r="E2" t="str">
            <v>EPS</v>
          </cell>
          <cell r="F2" t="str">
            <v>LTG</v>
          </cell>
          <cell r="G2" t="str">
            <v>0</v>
          </cell>
          <cell r="H2">
            <v>3</v>
          </cell>
          <cell r="I2">
            <v>7</v>
          </cell>
          <cell r="J2">
            <v>6.3</v>
          </cell>
          <cell r="K2">
            <v>1.1499999999999999</v>
          </cell>
        </row>
        <row r="3">
          <cell r="B3" t="str">
            <v>CGC</v>
          </cell>
          <cell r="C3" t="str">
            <v>CASCADE NAT GAS</v>
          </cell>
          <cell r="D3">
            <v>29937</v>
          </cell>
          <cell r="E3" t="str">
            <v>EPS</v>
          </cell>
          <cell r="F3" t="str">
            <v>LTG</v>
          </cell>
          <cell r="G3" t="str">
            <v>0</v>
          </cell>
          <cell r="H3">
            <v>1</v>
          </cell>
          <cell r="I3">
            <v>11.5</v>
          </cell>
          <cell r="J3">
            <v>11.5</v>
          </cell>
        </row>
        <row r="4">
          <cell r="B4" t="str">
            <v>GAS</v>
          </cell>
          <cell r="C4" t="str">
            <v>NICOR INC</v>
          </cell>
          <cell r="D4">
            <v>29937</v>
          </cell>
          <cell r="E4" t="str">
            <v>EPS</v>
          </cell>
          <cell r="F4" t="str">
            <v>LTG</v>
          </cell>
          <cell r="G4" t="str">
            <v>0</v>
          </cell>
          <cell r="H4">
            <v>3</v>
          </cell>
          <cell r="I4">
            <v>8</v>
          </cell>
          <cell r="J4">
            <v>7.8</v>
          </cell>
          <cell r="K4">
            <v>0.76</v>
          </cell>
        </row>
        <row r="5">
          <cell r="B5" t="str">
            <v>LG</v>
          </cell>
          <cell r="C5" t="str">
            <v>LACLEDE GAS</v>
          </cell>
          <cell r="D5">
            <v>29937</v>
          </cell>
          <cell r="E5" t="str">
            <v>EPS</v>
          </cell>
          <cell r="F5" t="str">
            <v>LTG</v>
          </cell>
          <cell r="G5" t="str">
            <v>0</v>
          </cell>
          <cell r="H5">
            <v>1</v>
          </cell>
          <cell r="I5">
            <v>8.5</v>
          </cell>
          <cell r="J5">
            <v>8.5</v>
          </cell>
        </row>
        <row r="6">
          <cell r="B6" t="str">
            <v>NI</v>
          </cell>
          <cell r="C6" t="str">
            <v>NORTHN IND PUB</v>
          </cell>
          <cell r="D6">
            <v>29937</v>
          </cell>
          <cell r="E6" t="str">
            <v>EPS</v>
          </cell>
          <cell r="F6" t="str">
            <v>LTG</v>
          </cell>
          <cell r="G6" t="str">
            <v>0</v>
          </cell>
          <cell r="H6">
            <v>5</v>
          </cell>
          <cell r="I6">
            <v>4</v>
          </cell>
          <cell r="J6">
            <v>4.4000000000000004</v>
          </cell>
          <cell r="K6">
            <v>0.89</v>
          </cell>
        </row>
        <row r="7">
          <cell r="B7" t="str">
            <v>PNY</v>
          </cell>
          <cell r="C7" t="str">
            <v>PIEDMONT NAT GAS</v>
          </cell>
          <cell r="D7">
            <v>29937</v>
          </cell>
          <cell r="E7" t="str">
            <v>EPS</v>
          </cell>
          <cell r="F7" t="str">
            <v>LTG</v>
          </cell>
          <cell r="G7" t="str">
            <v>0</v>
          </cell>
          <cell r="H7">
            <v>2</v>
          </cell>
          <cell r="I7">
            <v>7.25</v>
          </cell>
          <cell r="J7">
            <v>7.25</v>
          </cell>
          <cell r="K7">
            <v>3.18</v>
          </cell>
        </row>
        <row r="8">
          <cell r="B8" t="str">
            <v>SJI</v>
          </cell>
          <cell r="C8" t="str">
            <v>SO JERSEY INDS</v>
          </cell>
          <cell r="D8">
            <v>29937</v>
          </cell>
          <cell r="E8" t="str">
            <v>EPS</v>
          </cell>
          <cell r="F8" t="str">
            <v>LTG</v>
          </cell>
          <cell r="G8" t="str">
            <v>0</v>
          </cell>
          <cell r="H8">
            <v>2</v>
          </cell>
          <cell r="I8">
            <v>9.5</v>
          </cell>
          <cell r="J8">
            <v>9.5</v>
          </cell>
          <cell r="K8">
            <v>0.71</v>
          </cell>
        </row>
        <row r="9">
          <cell r="B9" t="str">
            <v>SWX</v>
          </cell>
          <cell r="C9" t="str">
            <v>SOUTHWEST GAS</v>
          </cell>
          <cell r="D9">
            <v>29937</v>
          </cell>
          <cell r="E9" t="str">
            <v>EPS</v>
          </cell>
          <cell r="F9" t="str">
            <v>LTG</v>
          </cell>
          <cell r="G9" t="str">
            <v>0</v>
          </cell>
          <cell r="H9">
            <v>1</v>
          </cell>
          <cell r="I9">
            <v>5</v>
          </cell>
          <cell r="J9">
            <v>5</v>
          </cell>
        </row>
        <row r="10">
          <cell r="B10" t="str">
            <v>WGL</v>
          </cell>
          <cell r="C10" t="str">
            <v>WASH GAS LT</v>
          </cell>
          <cell r="D10">
            <v>29937</v>
          </cell>
          <cell r="E10" t="str">
            <v>EPS</v>
          </cell>
          <cell r="F10" t="str">
            <v>LTG</v>
          </cell>
          <cell r="G10" t="str">
            <v>0</v>
          </cell>
          <cell r="H10">
            <v>3</v>
          </cell>
          <cell r="I10">
            <v>3</v>
          </cell>
          <cell r="J10">
            <v>5.5</v>
          </cell>
          <cell r="K10">
            <v>5.22</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RDS"/>
    </sheetNames>
    <sheetDataSet>
      <sheetData sheetId="0">
        <row r="1">
          <cell r="A1" t="str">
            <v>OFTIC</v>
          </cell>
          <cell r="B1" t="str">
            <v>IBES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USFIRM=0 if from .INT file and USFIRM=1 if from .US file</v>
          </cell>
          <cell r="L1" t="str">
            <v>Forecast Period End Date (SAS Format)</v>
          </cell>
          <cell r="M1" t="str">
            <v>Actual Value, from the Detail Actuals File</v>
          </cell>
          <cell r="N1" t="str">
            <v>Announce date of the Actual, from the Detail Actuals File</v>
          </cell>
        </row>
        <row r="2">
          <cell r="A2" t="str">
            <v>AGR</v>
          </cell>
          <cell r="B2" t="str">
            <v>00YE</v>
          </cell>
          <cell r="C2" t="str">
            <v>AVANGRID</v>
          </cell>
          <cell r="D2">
            <v>20181220</v>
          </cell>
          <cell r="E2" t="str">
            <v>EPS</v>
          </cell>
          <cell r="F2" t="str">
            <v>ANN</v>
          </cell>
          <cell r="G2">
            <v>1</v>
          </cell>
          <cell r="H2">
            <v>10</v>
          </cell>
          <cell r="I2">
            <v>2.2599999999999998</v>
          </cell>
          <cell r="J2">
            <v>2.2599999999999998</v>
          </cell>
          <cell r="K2">
            <v>1</v>
          </cell>
          <cell r="L2">
            <v>20181231</v>
          </cell>
          <cell r="M2">
            <v>2.21</v>
          </cell>
          <cell r="N2">
            <v>20190219</v>
          </cell>
        </row>
        <row r="3">
          <cell r="A3" t="str">
            <v>PNW</v>
          </cell>
          <cell r="B3" t="str">
            <v>AZP</v>
          </cell>
          <cell r="C3" t="str">
            <v>PINNACLE WEST</v>
          </cell>
          <cell r="D3">
            <v>20181220</v>
          </cell>
          <cell r="E3" t="str">
            <v>EPS</v>
          </cell>
          <cell r="F3" t="str">
            <v>ANN</v>
          </cell>
          <cell r="G3">
            <v>1</v>
          </cell>
          <cell r="H3">
            <v>16</v>
          </cell>
          <cell r="I3">
            <v>4.47</v>
          </cell>
          <cell r="J3">
            <v>4.4800000000000004</v>
          </cell>
          <cell r="K3">
            <v>1</v>
          </cell>
          <cell r="L3">
            <v>20181231</v>
          </cell>
          <cell r="M3">
            <v>4.54</v>
          </cell>
          <cell r="N3">
            <v>20190117</v>
          </cell>
        </row>
        <row r="4">
          <cell r="A4" t="str">
            <v>BKH</v>
          </cell>
          <cell r="B4" t="str">
            <v>BHP</v>
          </cell>
          <cell r="C4" t="str">
            <v>BLACK HILLS CP</v>
          </cell>
          <cell r="D4">
            <v>20181220</v>
          </cell>
          <cell r="E4" t="str">
            <v>EPS</v>
          </cell>
          <cell r="F4" t="str">
            <v>ANN</v>
          </cell>
          <cell r="G4">
            <v>1</v>
          </cell>
          <cell r="H4">
            <v>7</v>
          </cell>
          <cell r="I4">
            <v>3.42</v>
          </cell>
          <cell r="J4">
            <v>3.42</v>
          </cell>
          <cell r="K4">
            <v>1</v>
          </cell>
          <cell r="L4">
            <v>20181231</v>
          </cell>
          <cell r="M4">
            <v>3.54</v>
          </cell>
          <cell r="N4">
            <v>20190207</v>
          </cell>
        </row>
        <row r="5">
          <cell r="A5" t="str">
            <v>CMS</v>
          </cell>
          <cell r="B5" t="str">
            <v>CMS</v>
          </cell>
          <cell r="C5" t="str">
            <v>CMS ENERGY</v>
          </cell>
          <cell r="D5">
            <v>20181220</v>
          </cell>
          <cell r="E5" t="str">
            <v>EPS</v>
          </cell>
          <cell r="F5" t="str">
            <v>ANN</v>
          </cell>
          <cell r="G5">
            <v>1</v>
          </cell>
          <cell r="H5">
            <v>18</v>
          </cell>
          <cell r="I5">
            <v>2.34</v>
          </cell>
          <cell r="J5">
            <v>2.34</v>
          </cell>
          <cell r="K5">
            <v>1</v>
          </cell>
          <cell r="L5">
            <v>20181231</v>
          </cell>
          <cell r="M5">
            <v>2.33</v>
          </cell>
          <cell r="N5">
            <v>20190131</v>
          </cell>
        </row>
        <row r="6">
          <cell r="A6" t="str">
            <v>D</v>
          </cell>
          <cell r="B6" t="str">
            <v>D</v>
          </cell>
          <cell r="C6" t="str">
            <v>DOMINION US</v>
          </cell>
          <cell r="D6">
            <v>20181220</v>
          </cell>
          <cell r="E6" t="str">
            <v>EPS</v>
          </cell>
          <cell r="F6" t="str">
            <v>ANN</v>
          </cell>
          <cell r="G6">
            <v>1</v>
          </cell>
          <cell r="H6">
            <v>16</v>
          </cell>
          <cell r="I6">
            <v>4.09</v>
          </cell>
          <cell r="J6">
            <v>4.08</v>
          </cell>
          <cell r="K6">
            <v>1</v>
          </cell>
          <cell r="L6">
            <v>20181231</v>
          </cell>
          <cell r="M6">
            <v>4.05</v>
          </cell>
          <cell r="N6">
            <v>20190201</v>
          </cell>
        </row>
        <row r="7">
          <cell r="A7" t="str">
            <v>DTE</v>
          </cell>
          <cell r="B7" t="str">
            <v>DTE</v>
          </cell>
          <cell r="C7" t="str">
            <v>DTE ENERGY</v>
          </cell>
          <cell r="D7">
            <v>20181220</v>
          </cell>
          <cell r="E7" t="str">
            <v>EPS</v>
          </cell>
          <cell r="F7" t="str">
            <v>ANN</v>
          </cell>
          <cell r="G7">
            <v>1</v>
          </cell>
          <cell r="H7">
            <v>14</v>
          </cell>
          <cell r="I7">
            <v>6.3</v>
          </cell>
          <cell r="J7">
            <v>6.31</v>
          </cell>
          <cell r="K7">
            <v>1</v>
          </cell>
          <cell r="L7">
            <v>20181231</v>
          </cell>
          <cell r="M7">
            <v>6.3</v>
          </cell>
          <cell r="N7">
            <v>20190207</v>
          </cell>
        </row>
        <row r="8">
          <cell r="A8" t="str">
            <v>DUK</v>
          </cell>
          <cell r="B8" t="str">
            <v>DUK</v>
          </cell>
          <cell r="C8" t="str">
            <v>DUKE ENERGY</v>
          </cell>
          <cell r="D8">
            <v>20181220</v>
          </cell>
          <cell r="E8" t="str">
            <v>EPS</v>
          </cell>
          <cell r="F8" t="str">
            <v>ANN</v>
          </cell>
          <cell r="G8">
            <v>1</v>
          </cell>
          <cell r="H8">
            <v>18</v>
          </cell>
          <cell r="I8">
            <v>4.76</v>
          </cell>
          <cell r="J8">
            <v>4.75</v>
          </cell>
          <cell r="K8">
            <v>1</v>
          </cell>
          <cell r="L8">
            <v>20181231</v>
          </cell>
          <cell r="M8">
            <v>4.72</v>
          </cell>
          <cell r="N8">
            <v>20190214</v>
          </cell>
        </row>
        <row r="9">
          <cell r="A9" t="str">
            <v>ED</v>
          </cell>
          <cell r="B9" t="str">
            <v>ED</v>
          </cell>
          <cell r="C9" t="str">
            <v>CONSOLIDATED EDI</v>
          </cell>
          <cell r="D9">
            <v>20181220</v>
          </cell>
          <cell r="E9" t="str">
            <v>EPS</v>
          </cell>
          <cell r="F9" t="str">
            <v>ANN</v>
          </cell>
          <cell r="G9">
            <v>1</v>
          </cell>
          <cell r="H9">
            <v>16</v>
          </cell>
          <cell r="I9">
            <v>4.3</v>
          </cell>
          <cell r="J9">
            <v>4.3</v>
          </cell>
          <cell r="K9">
            <v>1</v>
          </cell>
          <cell r="L9">
            <v>20181231</v>
          </cell>
          <cell r="M9">
            <v>4.33</v>
          </cell>
          <cell r="N9">
            <v>20190221</v>
          </cell>
        </row>
        <row r="10">
          <cell r="A10" t="str">
            <v>NEE</v>
          </cell>
          <cell r="B10" t="str">
            <v>FPL</v>
          </cell>
          <cell r="C10" t="str">
            <v>NEXTERA ENERGY</v>
          </cell>
          <cell r="D10">
            <v>20181220</v>
          </cell>
          <cell r="E10" t="str">
            <v>EPS</v>
          </cell>
          <cell r="F10" t="str">
            <v>ANN</v>
          </cell>
          <cell r="G10">
            <v>1</v>
          </cell>
          <cell r="H10">
            <v>15</v>
          </cell>
          <cell r="I10">
            <v>1.94</v>
          </cell>
          <cell r="J10">
            <v>1.94</v>
          </cell>
          <cell r="K10">
            <v>1</v>
          </cell>
          <cell r="L10">
            <v>20181231</v>
          </cell>
          <cell r="M10">
            <v>1.925</v>
          </cell>
          <cell r="N10">
            <v>20190125</v>
          </cell>
        </row>
        <row r="11">
          <cell r="A11" t="str">
            <v>HE</v>
          </cell>
          <cell r="B11" t="str">
            <v>HE</v>
          </cell>
          <cell r="C11" t="str">
            <v>HAWAIIAN ELEC</v>
          </cell>
          <cell r="D11">
            <v>20181220</v>
          </cell>
          <cell r="E11" t="str">
            <v>EPS</v>
          </cell>
          <cell r="F11" t="str">
            <v>ANN</v>
          </cell>
          <cell r="G11">
            <v>1</v>
          </cell>
          <cell r="H11">
            <v>5</v>
          </cell>
          <cell r="I11">
            <v>1.87</v>
          </cell>
          <cell r="J11">
            <v>1.86</v>
          </cell>
          <cell r="K11">
            <v>1</v>
          </cell>
          <cell r="L11">
            <v>20181231</v>
          </cell>
          <cell r="M11">
            <v>1.85</v>
          </cell>
          <cell r="N11">
            <v>20190215</v>
          </cell>
        </row>
        <row r="12">
          <cell r="A12" t="str">
            <v>CNP</v>
          </cell>
          <cell r="B12" t="str">
            <v>HOU</v>
          </cell>
          <cell r="C12" t="str">
            <v>CENTERPNT ENERGY</v>
          </cell>
          <cell r="D12">
            <v>20181220</v>
          </cell>
          <cell r="E12" t="str">
            <v>EPS</v>
          </cell>
          <cell r="F12" t="str">
            <v>ANN</v>
          </cell>
          <cell r="G12">
            <v>1</v>
          </cell>
          <cell r="H12">
            <v>13</v>
          </cell>
          <cell r="I12">
            <v>1.6</v>
          </cell>
          <cell r="J12">
            <v>1.58</v>
          </cell>
          <cell r="K12">
            <v>1</v>
          </cell>
          <cell r="L12">
            <v>20181231</v>
          </cell>
          <cell r="M12">
            <v>1.6</v>
          </cell>
          <cell r="N12">
            <v>20190228</v>
          </cell>
        </row>
        <row r="13">
          <cell r="A13" t="str">
            <v>IDA</v>
          </cell>
          <cell r="B13" t="str">
            <v>IDA</v>
          </cell>
          <cell r="C13" t="str">
            <v>IDACORP INC.</v>
          </cell>
          <cell r="D13">
            <v>20181220</v>
          </cell>
          <cell r="E13" t="str">
            <v>EPS</v>
          </cell>
          <cell r="F13" t="str">
            <v>ANN</v>
          </cell>
          <cell r="G13">
            <v>1</v>
          </cell>
          <cell r="H13">
            <v>4</v>
          </cell>
          <cell r="I13">
            <v>4.45</v>
          </cell>
          <cell r="J13">
            <v>4.46</v>
          </cell>
          <cell r="K13">
            <v>1</v>
          </cell>
          <cell r="L13">
            <v>20181231</v>
          </cell>
          <cell r="M13">
            <v>4.49</v>
          </cell>
          <cell r="N13">
            <v>20190221</v>
          </cell>
        </row>
        <row r="14">
          <cell r="A14" t="str">
            <v>EVRG</v>
          </cell>
          <cell r="B14" t="str">
            <v>KAN</v>
          </cell>
          <cell r="C14" t="str">
            <v>EVERGY</v>
          </cell>
          <cell r="D14">
            <v>20181220</v>
          </cell>
          <cell r="E14" t="str">
            <v>EPS</v>
          </cell>
          <cell r="F14" t="str">
            <v>ANN</v>
          </cell>
          <cell r="G14">
            <v>1</v>
          </cell>
          <cell r="H14">
            <v>7</v>
          </cell>
          <cell r="I14">
            <v>2.56</v>
          </cell>
          <cell r="J14">
            <v>2.5499999999999998</v>
          </cell>
          <cell r="K14">
            <v>1</v>
          </cell>
          <cell r="L14">
            <v>20181231</v>
          </cell>
          <cell r="M14">
            <v>2.5</v>
          </cell>
          <cell r="N14">
            <v>20190221</v>
          </cell>
        </row>
        <row r="15">
          <cell r="A15" t="str">
            <v>ALE</v>
          </cell>
          <cell r="B15" t="str">
            <v>MPL</v>
          </cell>
          <cell r="C15" t="str">
            <v>ALLETE INC</v>
          </cell>
          <cell r="D15">
            <v>20181220</v>
          </cell>
          <cell r="E15" t="str">
            <v>EPS</v>
          </cell>
          <cell r="F15" t="str">
            <v>ANN</v>
          </cell>
          <cell r="G15">
            <v>1</v>
          </cell>
          <cell r="H15">
            <v>3</v>
          </cell>
          <cell r="I15">
            <v>3.37</v>
          </cell>
          <cell r="J15">
            <v>3.37</v>
          </cell>
          <cell r="K15">
            <v>1</v>
          </cell>
          <cell r="L15">
            <v>20181231</v>
          </cell>
          <cell r="M15">
            <v>3.34</v>
          </cell>
          <cell r="N15">
            <v>20190214</v>
          </cell>
        </row>
        <row r="16">
          <cell r="A16" t="str">
            <v>ETR</v>
          </cell>
          <cell r="B16" t="str">
            <v>MSU</v>
          </cell>
          <cell r="C16" t="str">
            <v>ENTERGY</v>
          </cell>
          <cell r="D16">
            <v>20181220</v>
          </cell>
          <cell r="E16" t="str">
            <v>EPS</v>
          </cell>
          <cell r="F16" t="str">
            <v>ANN</v>
          </cell>
          <cell r="G16">
            <v>1</v>
          </cell>
          <cell r="H16">
            <v>12</v>
          </cell>
          <cell r="I16">
            <v>7</v>
          </cell>
          <cell r="J16">
            <v>7.03</v>
          </cell>
          <cell r="K16">
            <v>1</v>
          </cell>
          <cell r="L16">
            <v>20181231</v>
          </cell>
          <cell r="M16">
            <v>7.31</v>
          </cell>
          <cell r="N16">
            <v>20190220</v>
          </cell>
        </row>
        <row r="17">
          <cell r="A17" t="str">
            <v>XEL</v>
          </cell>
          <cell r="B17" t="str">
            <v>NSP</v>
          </cell>
          <cell r="C17" t="str">
            <v>XCEL ENERGY</v>
          </cell>
          <cell r="D17">
            <v>20181220</v>
          </cell>
          <cell r="E17" t="str">
            <v>EPS</v>
          </cell>
          <cell r="F17" t="str">
            <v>ANN</v>
          </cell>
          <cell r="G17">
            <v>1</v>
          </cell>
          <cell r="H17">
            <v>15</v>
          </cell>
          <cell r="I17">
            <v>2.4700000000000002</v>
          </cell>
          <cell r="J17">
            <v>2.4700000000000002</v>
          </cell>
          <cell r="K17">
            <v>1</v>
          </cell>
          <cell r="L17">
            <v>20181231</v>
          </cell>
          <cell r="M17">
            <v>2.4700000000000002</v>
          </cell>
          <cell r="N17">
            <v>20190131</v>
          </cell>
        </row>
        <row r="18">
          <cell r="A18" t="str">
            <v>NWE</v>
          </cell>
          <cell r="B18" t="str">
            <v>NWPS</v>
          </cell>
          <cell r="C18" t="str">
            <v>NORTHWESTERN US</v>
          </cell>
          <cell r="D18">
            <v>20181220</v>
          </cell>
          <cell r="E18" t="str">
            <v>EPS</v>
          </cell>
          <cell r="F18" t="str">
            <v>ANN</v>
          </cell>
          <cell r="G18">
            <v>1</v>
          </cell>
          <cell r="H18">
            <v>4</v>
          </cell>
          <cell r="I18">
            <v>3.38</v>
          </cell>
          <cell r="J18">
            <v>3.38</v>
          </cell>
          <cell r="K18">
            <v>1</v>
          </cell>
          <cell r="L18">
            <v>20181231</v>
          </cell>
          <cell r="M18">
            <v>3.39</v>
          </cell>
          <cell r="N18">
            <v>20190212</v>
          </cell>
        </row>
        <row r="19">
          <cell r="A19" t="str">
            <v>FE</v>
          </cell>
          <cell r="B19" t="str">
            <v>OEC</v>
          </cell>
          <cell r="C19" t="str">
            <v>FIRSTENERGY</v>
          </cell>
          <cell r="D19">
            <v>20181220</v>
          </cell>
          <cell r="E19" t="str">
            <v>EPS</v>
          </cell>
          <cell r="F19" t="str">
            <v>ANN</v>
          </cell>
          <cell r="G19">
            <v>1</v>
          </cell>
          <cell r="H19">
            <v>17</v>
          </cell>
          <cell r="I19">
            <v>2.5499999999999998</v>
          </cell>
          <cell r="J19">
            <v>2.5299999999999998</v>
          </cell>
          <cell r="K19">
            <v>1</v>
          </cell>
          <cell r="L19">
            <v>20181231</v>
          </cell>
          <cell r="M19">
            <v>2.59</v>
          </cell>
          <cell r="N19">
            <v>20190219</v>
          </cell>
        </row>
        <row r="20">
          <cell r="A20" t="str">
            <v>OGE</v>
          </cell>
          <cell r="B20" t="str">
            <v>OGE</v>
          </cell>
          <cell r="C20" t="str">
            <v>OGE ENERGY CORP</v>
          </cell>
          <cell r="D20">
            <v>20181220</v>
          </cell>
          <cell r="E20" t="str">
            <v>EPS</v>
          </cell>
          <cell r="F20" t="str">
            <v>ANN</v>
          </cell>
          <cell r="G20">
            <v>1</v>
          </cell>
          <cell r="H20">
            <v>9</v>
          </cell>
          <cell r="I20">
            <v>2.0699999999999998</v>
          </cell>
          <cell r="J20">
            <v>2.0699999999999998</v>
          </cell>
          <cell r="K20">
            <v>1</v>
          </cell>
          <cell r="L20">
            <v>20181231</v>
          </cell>
          <cell r="M20">
            <v>2.12</v>
          </cell>
          <cell r="N20">
            <v>20190221</v>
          </cell>
        </row>
        <row r="21">
          <cell r="A21" t="str">
            <v>OTTR</v>
          </cell>
          <cell r="B21" t="str">
            <v>OTTR</v>
          </cell>
          <cell r="C21" t="str">
            <v>OTTER TAIL</v>
          </cell>
          <cell r="D21">
            <v>20181220</v>
          </cell>
          <cell r="E21" t="str">
            <v>EPS</v>
          </cell>
          <cell r="F21" t="str">
            <v>ANN</v>
          </cell>
          <cell r="G21">
            <v>1</v>
          </cell>
          <cell r="H21">
            <v>2</v>
          </cell>
          <cell r="I21">
            <v>2.1</v>
          </cell>
          <cell r="J21">
            <v>2.1</v>
          </cell>
          <cell r="K21">
            <v>1</v>
          </cell>
          <cell r="L21">
            <v>20181231</v>
          </cell>
          <cell r="M21">
            <v>2.06</v>
          </cell>
          <cell r="N21">
            <v>20190218</v>
          </cell>
        </row>
        <row r="22">
          <cell r="A22" t="str">
            <v>PCG</v>
          </cell>
          <cell r="B22" t="str">
            <v>PCG</v>
          </cell>
          <cell r="C22" t="str">
            <v>PG&amp;E US</v>
          </cell>
          <cell r="D22">
            <v>20181220</v>
          </cell>
          <cell r="E22" t="str">
            <v>EPS</v>
          </cell>
          <cell r="F22" t="str">
            <v>ANN</v>
          </cell>
          <cell r="G22">
            <v>1</v>
          </cell>
          <cell r="H22">
            <v>17</v>
          </cell>
          <cell r="I22">
            <v>3.81</v>
          </cell>
          <cell r="J22">
            <v>3.82</v>
          </cell>
          <cell r="K22">
            <v>1</v>
          </cell>
          <cell r="L22">
            <v>20181231</v>
          </cell>
          <cell r="M22">
            <v>4</v>
          </cell>
          <cell r="N22">
            <v>20190228</v>
          </cell>
        </row>
        <row r="23">
          <cell r="A23" t="str">
            <v>EXC</v>
          </cell>
          <cell r="B23" t="str">
            <v>PE</v>
          </cell>
          <cell r="C23" t="str">
            <v>EXELON</v>
          </cell>
          <cell r="D23">
            <v>20181220</v>
          </cell>
          <cell r="E23" t="str">
            <v>EPS</v>
          </cell>
          <cell r="F23" t="str">
            <v>ANN</v>
          </cell>
          <cell r="G23">
            <v>1</v>
          </cell>
          <cell r="H23">
            <v>21</v>
          </cell>
          <cell r="I23">
            <v>3.12</v>
          </cell>
          <cell r="J23">
            <v>3.12</v>
          </cell>
          <cell r="K23">
            <v>1</v>
          </cell>
          <cell r="L23">
            <v>20181231</v>
          </cell>
          <cell r="M23">
            <v>3.12</v>
          </cell>
          <cell r="N23">
            <v>20190208</v>
          </cell>
        </row>
        <row r="24">
          <cell r="A24" t="str">
            <v>PEG</v>
          </cell>
          <cell r="B24" t="str">
            <v>PEG</v>
          </cell>
          <cell r="C24" t="str">
            <v>PSEG</v>
          </cell>
          <cell r="D24">
            <v>20181220</v>
          </cell>
          <cell r="E24" t="str">
            <v>EPS</v>
          </cell>
          <cell r="F24" t="str">
            <v>ANN</v>
          </cell>
          <cell r="G24">
            <v>1</v>
          </cell>
          <cell r="H24">
            <v>15</v>
          </cell>
          <cell r="I24">
            <v>3.1</v>
          </cell>
          <cell r="J24">
            <v>3.1</v>
          </cell>
          <cell r="K24">
            <v>1</v>
          </cell>
          <cell r="L24">
            <v>20181231</v>
          </cell>
          <cell r="M24">
            <v>3.12</v>
          </cell>
          <cell r="N24">
            <v>20190227</v>
          </cell>
        </row>
        <row r="25">
          <cell r="A25" t="str">
            <v>PNM</v>
          </cell>
          <cell r="B25" t="str">
            <v>PNM</v>
          </cell>
          <cell r="C25" t="str">
            <v>PNM RESOURCES</v>
          </cell>
          <cell r="D25">
            <v>20181220</v>
          </cell>
          <cell r="E25" t="str">
            <v>EPS</v>
          </cell>
          <cell r="F25" t="str">
            <v>ANN</v>
          </cell>
          <cell r="G25">
            <v>1</v>
          </cell>
          <cell r="H25">
            <v>10</v>
          </cell>
          <cell r="I25">
            <v>1.97</v>
          </cell>
          <cell r="J25">
            <v>1.97</v>
          </cell>
          <cell r="K25">
            <v>1</v>
          </cell>
          <cell r="L25">
            <v>20181231</v>
          </cell>
          <cell r="M25">
            <v>2</v>
          </cell>
          <cell r="N25">
            <v>20190227</v>
          </cell>
        </row>
        <row r="26">
          <cell r="A26" t="str">
            <v>POR</v>
          </cell>
          <cell r="B26" t="str">
            <v>PORO</v>
          </cell>
          <cell r="C26" t="str">
            <v>PORTLAND GENERAL</v>
          </cell>
          <cell r="D26">
            <v>20181220</v>
          </cell>
          <cell r="E26" t="str">
            <v>EPS</v>
          </cell>
          <cell r="F26" t="str">
            <v>ANN</v>
          </cell>
          <cell r="G26">
            <v>1</v>
          </cell>
          <cell r="H26">
            <v>11</v>
          </cell>
          <cell r="I26">
            <v>2.35</v>
          </cell>
          <cell r="J26">
            <v>2.34</v>
          </cell>
          <cell r="K26">
            <v>1</v>
          </cell>
          <cell r="L26">
            <v>20181231</v>
          </cell>
          <cell r="M26">
            <v>2.37</v>
          </cell>
          <cell r="N26">
            <v>20190215</v>
          </cell>
        </row>
        <row r="27">
          <cell r="A27" t="str">
            <v>PPL</v>
          </cell>
          <cell r="B27" t="str">
            <v>PPL</v>
          </cell>
          <cell r="C27" t="str">
            <v>PPL</v>
          </cell>
          <cell r="D27">
            <v>20181220</v>
          </cell>
          <cell r="E27" t="str">
            <v>EPS</v>
          </cell>
          <cell r="F27" t="str">
            <v>ANN</v>
          </cell>
          <cell r="G27">
            <v>1</v>
          </cell>
          <cell r="H27">
            <v>15</v>
          </cell>
          <cell r="I27">
            <v>2.35</v>
          </cell>
          <cell r="J27">
            <v>2.36</v>
          </cell>
          <cell r="K27">
            <v>1</v>
          </cell>
          <cell r="L27">
            <v>20181231</v>
          </cell>
          <cell r="M27">
            <v>2.4</v>
          </cell>
          <cell r="N27">
            <v>20190214</v>
          </cell>
        </row>
        <row r="28">
          <cell r="A28" t="str">
            <v>EIX</v>
          </cell>
          <cell r="B28" t="str">
            <v>SCE</v>
          </cell>
          <cell r="C28" t="str">
            <v>EDISON INTL</v>
          </cell>
          <cell r="D28">
            <v>20181220</v>
          </cell>
          <cell r="E28" t="str">
            <v>EPS</v>
          </cell>
          <cell r="F28" t="str">
            <v>ANN</v>
          </cell>
          <cell r="G28">
            <v>1</v>
          </cell>
          <cell r="H28">
            <v>15</v>
          </cell>
          <cell r="I28">
            <v>4.17</v>
          </cell>
          <cell r="J28">
            <v>4.16</v>
          </cell>
          <cell r="K28">
            <v>1</v>
          </cell>
          <cell r="L28">
            <v>20181231</v>
          </cell>
          <cell r="M28">
            <v>4.1500000000000004</v>
          </cell>
          <cell r="N28">
            <v>20190228</v>
          </cell>
        </row>
        <row r="29">
          <cell r="A29" t="str">
            <v>SCG</v>
          </cell>
          <cell r="B29" t="str">
            <v>SCG</v>
          </cell>
          <cell r="C29" t="str">
            <v>SCANA</v>
          </cell>
          <cell r="D29">
            <v>20181220</v>
          </cell>
          <cell r="E29" t="str">
            <v>EPS</v>
          </cell>
          <cell r="F29" t="str">
            <v>ANN</v>
          </cell>
          <cell r="G29">
            <v>1</v>
          </cell>
          <cell r="H29">
            <v>6</v>
          </cell>
          <cell r="I29">
            <v>2.86</v>
          </cell>
          <cell r="J29">
            <v>2.8</v>
          </cell>
          <cell r="K29">
            <v>1</v>
          </cell>
          <cell r="L29">
            <v>20181231</v>
          </cell>
        </row>
        <row r="30">
          <cell r="A30" t="str">
            <v>SRE</v>
          </cell>
          <cell r="B30" t="str">
            <v>SDO</v>
          </cell>
          <cell r="C30" t="str">
            <v>SEMPRA USA</v>
          </cell>
          <cell r="D30">
            <v>20181220</v>
          </cell>
          <cell r="E30" t="str">
            <v>EPS</v>
          </cell>
          <cell r="F30" t="str">
            <v>ANN</v>
          </cell>
          <cell r="G30">
            <v>1</v>
          </cell>
          <cell r="H30">
            <v>10</v>
          </cell>
          <cell r="I30">
            <v>5.42</v>
          </cell>
          <cell r="J30">
            <v>5.43</v>
          </cell>
          <cell r="K30">
            <v>1</v>
          </cell>
          <cell r="L30">
            <v>20181231</v>
          </cell>
          <cell r="M30">
            <v>5.57</v>
          </cell>
          <cell r="N30">
            <v>20190226</v>
          </cell>
        </row>
        <row r="31">
          <cell r="A31" t="str">
            <v>VVC</v>
          </cell>
          <cell r="B31" t="str">
            <v>SIG</v>
          </cell>
          <cell r="C31" t="str">
            <v>VECTREN CORP</v>
          </cell>
          <cell r="D31">
            <v>20181220</v>
          </cell>
          <cell r="E31" t="str">
            <v>EPS</v>
          </cell>
          <cell r="F31" t="str">
            <v>ANN</v>
          </cell>
          <cell r="G31">
            <v>1</v>
          </cell>
          <cell r="H31">
            <v>2</v>
          </cell>
          <cell r="I31">
            <v>2.87</v>
          </cell>
          <cell r="J31">
            <v>2.87</v>
          </cell>
          <cell r="K31">
            <v>1</v>
          </cell>
          <cell r="L31">
            <v>20181231</v>
          </cell>
        </row>
        <row r="32">
          <cell r="A32" t="str">
            <v>SO</v>
          </cell>
          <cell r="B32" t="str">
            <v>SO</v>
          </cell>
          <cell r="C32" t="str">
            <v>SOUTHERN CO</v>
          </cell>
          <cell r="D32">
            <v>20181220</v>
          </cell>
          <cell r="E32" t="str">
            <v>EPS</v>
          </cell>
          <cell r="F32" t="str">
            <v>ANN</v>
          </cell>
          <cell r="G32">
            <v>1</v>
          </cell>
          <cell r="H32">
            <v>20</v>
          </cell>
          <cell r="I32">
            <v>3.05</v>
          </cell>
          <cell r="J32">
            <v>3.04</v>
          </cell>
          <cell r="K32">
            <v>1</v>
          </cell>
          <cell r="L32">
            <v>20181231</v>
          </cell>
          <cell r="M32">
            <v>3.07</v>
          </cell>
          <cell r="N32">
            <v>20190220</v>
          </cell>
        </row>
        <row r="33">
          <cell r="A33" t="str">
            <v>AEE</v>
          </cell>
          <cell r="B33" t="str">
            <v>UEP</v>
          </cell>
          <cell r="C33" t="str">
            <v>AMEREN</v>
          </cell>
          <cell r="D33">
            <v>20181220</v>
          </cell>
          <cell r="E33" t="str">
            <v>EPS</v>
          </cell>
          <cell r="F33" t="str">
            <v>ANN</v>
          </cell>
          <cell r="G33">
            <v>1</v>
          </cell>
          <cell r="H33">
            <v>11</v>
          </cell>
          <cell r="I33">
            <v>3.4</v>
          </cell>
          <cell r="J33">
            <v>3.39</v>
          </cell>
          <cell r="K33">
            <v>1</v>
          </cell>
          <cell r="L33">
            <v>20181231</v>
          </cell>
          <cell r="M33">
            <v>3.37</v>
          </cell>
          <cell r="N33">
            <v>20190214</v>
          </cell>
        </row>
        <row r="34">
          <cell r="A34" t="str">
            <v>WEC</v>
          </cell>
          <cell r="B34" t="str">
            <v>WPC</v>
          </cell>
          <cell r="C34" t="str">
            <v>WEC ENERGY GROUP</v>
          </cell>
          <cell r="D34">
            <v>20181220</v>
          </cell>
          <cell r="E34" t="str">
            <v>EPS</v>
          </cell>
          <cell r="F34" t="str">
            <v>ANN</v>
          </cell>
          <cell r="G34">
            <v>1</v>
          </cell>
          <cell r="H34">
            <v>15</v>
          </cell>
          <cell r="I34">
            <v>3.32</v>
          </cell>
          <cell r="J34">
            <v>3.33</v>
          </cell>
          <cell r="K34">
            <v>1</v>
          </cell>
          <cell r="L34">
            <v>20181231</v>
          </cell>
          <cell r="M34">
            <v>3.34</v>
          </cell>
          <cell r="N34">
            <v>20190212</v>
          </cell>
        </row>
        <row r="35">
          <cell r="A35" t="str">
            <v>LNT</v>
          </cell>
          <cell r="B35" t="str">
            <v>WPL</v>
          </cell>
          <cell r="C35" t="str">
            <v>ALLIANT ENER</v>
          </cell>
          <cell r="D35">
            <v>20181220</v>
          </cell>
          <cell r="E35" t="str">
            <v>EPS</v>
          </cell>
          <cell r="F35" t="str">
            <v>ANN</v>
          </cell>
          <cell r="G35">
            <v>1</v>
          </cell>
          <cell r="H35">
            <v>10</v>
          </cell>
          <cell r="I35">
            <v>2.15</v>
          </cell>
          <cell r="J35">
            <v>2.16</v>
          </cell>
          <cell r="K35">
            <v>1</v>
          </cell>
          <cell r="L35">
            <v>20181231</v>
          </cell>
          <cell r="M35">
            <v>2.17</v>
          </cell>
          <cell r="N35">
            <v>20190222</v>
          </cell>
        </row>
        <row r="36">
          <cell r="A36" t="str">
            <v>AVA</v>
          </cell>
          <cell r="B36" t="str">
            <v>WWP</v>
          </cell>
          <cell r="C36" t="str">
            <v>AVISTA US</v>
          </cell>
          <cell r="D36">
            <v>20181220</v>
          </cell>
          <cell r="E36" t="str">
            <v>EPS</v>
          </cell>
          <cell r="F36" t="str">
            <v>ANN</v>
          </cell>
          <cell r="G36">
            <v>1</v>
          </cell>
          <cell r="H36">
            <v>2</v>
          </cell>
          <cell r="I36">
            <v>2.0499999999999998</v>
          </cell>
          <cell r="J36">
            <v>2.0499999999999998</v>
          </cell>
          <cell r="K36">
            <v>1</v>
          </cell>
          <cell r="L36">
            <v>20181231</v>
          </cell>
          <cell r="M36">
            <v>2.0699999999999998</v>
          </cell>
          <cell r="N36">
            <v>20190208</v>
          </cell>
        </row>
        <row r="37">
          <cell r="A37" t="str">
            <v>SCG</v>
          </cell>
          <cell r="B37" t="str">
            <v>@006C</v>
          </cell>
          <cell r="C37" t="str">
            <v>SCENTRE</v>
          </cell>
          <cell r="D37">
            <v>20181220</v>
          </cell>
          <cell r="E37" t="str">
            <v>EPS</v>
          </cell>
          <cell r="F37" t="str">
            <v>ANN</v>
          </cell>
          <cell r="G37">
            <v>1</v>
          </cell>
          <cell r="H37">
            <v>13</v>
          </cell>
          <cell r="I37">
            <v>0.25</v>
          </cell>
          <cell r="J37">
            <v>0.247</v>
          </cell>
          <cell r="K37">
            <v>0</v>
          </cell>
          <cell r="L37">
            <v>20181231</v>
          </cell>
          <cell r="M37">
            <v>0.252</v>
          </cell>
          <cell r="N37">
            <v>20190219</v>
          </cell>
        </row>
        <row r="38">
          <cell r="A38" t="str">
            <v>D</v>
          </cell>
          <cell r="B38" t="str">
            <v>@01RP</v>
          </cell>
          <cell r="C38" t="str">
            <v>DENTAL CORP</v>
          </cell>
          <cell r="D38">
            <v>20181220</v>
          </cell>
          <cell r="E38" t="str">
            <v>EPS</v>
          </cell>
          <cell r="F38" t="str">
            <v>ANN</v>
          </cell>
          <cell r="G38">
            <v>1</v>
          </cell>
          <cell r="H38">
            <v>1</v>
          </cell>
          <cell r="I38">
            <v>0.28999999999999998</v>
          </cell>
          <cell r="J38">
            <v>0.28999999999999998</v>
          </cell>
          <cell r="K38">
            <v>0</v>
          </cell>
          <cell r="L38">
            <v>20181231</v>
          </cell>
          <cell r="N38">
            <v>20190222</v>
          </cell>
        </row>
        <row r="39">
          <cell r="A39" t="str">
            <v>POR</v>
          </cell>
          <cell r="B39" t="str">
            <v>@029X</v>
          </cell>
          <cell r="C39" t="str">
            <v>PORTOBELLO</v>
          </cell>
          <cell r="D39">
            <v>20181220</v>
          </cell>
          <cell r="E39" t="str">
            <v>EPS</v>
          </cell>
          <cell r="F39" t="str">
            <v>ANN</v>
          </cell>
          <cell r="G39">
            <v>1</v>
          </cell>
          <cell r="H39">
            <v>1</v>
          </cell>
          <cell r="I39">
            <v>0.47</v>
          </cell>
          <cell r="J39">
            <v>0.47</v>
          </cell>
          <cell r="K39">
            <v>0</v>
          </cell>
          <cell r="L39">
            <v>20181231</v>
          </cell>
          <cell r="M39">
            <v>0.66</v>
          </cell>
          <cell r="N39">
            <v>20190325</v>
          </cell>
        </row>
        <row r="40">
          <cell r="A40" t="str">
            <v>PPL</v>
          </cell>
          <cell r="B40" t="str">
            <v>@1Z1</v>
          </cell>
          <cell r="C40" t="str">
            <v>PPL</v>
          </cell>
          <cell r="D40">
            <v>20181220</v>
          </cell>
          <cell r="E40" t="str">
            <v>EPS</v>
          </cell>
          <cell r="F40" t="str">
            <v>ANN</v>
          </cell>
          <cell r="G40">
            <v>1</v>
          </cell>
          <cell r="H40">
            <v>2</v>
          </cell>
          <cell r="I40">
            <v>20.59</v>
          </cell>
          <cell r="J40">
            <v>20.59</v>
          </cell>
          <cell r="K40">
            <v>0</v>
          </cell>
          <cell r="L40">
            <v>20190630</v>
          </cell>
          <cell r="M40">
            <v>21.85</v>
          </cell>
          <cell r="N40">
            <v>20190925</v>
          </cell>
        </row>
        <row r="41">
          <cell r="A41" t="str">
            <v>PCG</v>
          </cell>
          <cell r="B41" t="str">
            <v>@45Z</v>
          </cell>
          <cell r="C41" t="str">
            <v>PENGANA CAP GRP</v>
          </cell>
          <cell r="D41">
            <v>20181220</v>
          </cell>
          <cell r="E41" t="str">
            <v>EPS</v>
          </cell>
          <cell r="F41" t="str">
            <v>ANN</v>
          </cell>
          <cell r="G41">
            <v>1</v>
          </cell>
          <cell r="H41">
            <v>1</v>
          </cell>
          <cell r="I41">
            <v>6.8000000000000005E-2</v>
          </cell>
          <cell r="J41">
            <v>6.8000000000000005E-2</v>
          </cell>
          <cell r="K41">
            <v>0</v>
          </cell>
          <cell r="L41">
            <v>20190630</v>
          </cell>
          <cell r="M41">
            <v>0.108</v>
          </cell>
          <cell r="N41">
            <v>20190825</v>
          </cell>
        </row>
        <row r="42">
          <cell r="A42" t="str">
            <v>AGR</v>
          </cell>
          <cell r="B42" t="str">
            <v>@A7S</v>
          </cell>
          <cell r="C42" t="str">
            <v>AGROB IMMOBILIEN</v>
          </cell>
          <cell r="D42">
            <v>20181220</v>
          </cell>
          <cell r="E42" t="str">
            <v>EPS</v>
          </cell>
          <cell r="F42" t="str">
            <v>ANN</v>
          </cell>
          <cell r="G42">
            <v>1</v>
          </cell>
          <cell r="H42">
            <v>2</v>
          </cell>
          <cell r="I42">
            <v>0.53</v>
          </cell>
          <cell r="J42">
            <v>0.53</v>
          </cell>
          <cell r="K42">
            <v>0</v>
          </cell>
          <cell r="L42">
            <v>20181231</v>
          </cell>
          <cell r="M42">
            <v>0.63</v>
          </cell>
          <cell r="N42">
            <v>20190130</v>
          </cell>
        </row>
        <row r="43">
          <cell r="A43" t="str">
            <v>AGR</v>
          </cell>
          <cell r="B43" t="str">
            <v>@AR7</v>
          </cell>
          <cell r="C43" t="str">
            <v>AGRANA</v>
          </cell>
          <cell r="D43">
            <v>20181220</v>
          </cell>
          <cell r="E43" t="str">
            <v>EPS</v>
          </cell>
          <cell r="F43" t="str">
            <v>ANN</v>
          </cell>
          <cell r="G43">
            <v>1</v>
          </cell>
          <cell r="H43">
            <v>1</v>
          </cell>
          <cell r="I43">
            <v>1.17</v>
          </cell>
          <cell r="J43">
            <v>1.17</v>
          </cell>
          <cell r="K43">
            <v>0</v>
          </cell>
          <cell r="L43">
            <v>20190228</v>
          </cell>
          <cell r="M43">
            <v>0.41</v>
          </cell>
          <cell r="N43">
            <v>20190513</v>
          </cell>
        </row>
        <row r="44">
          <cell r="A44" t="str">
            <v>CNP</v>
          </cell>
          <cell r="B44" t="str">
            <v>@CN0</v>
          </cell>
          <cell r="C44" t="str">
            <v>CNP ASSURANCES</v>
          </cell>
          <cell r="D44">
            <v>20181220</v>
          </cell>
          <cell r="E44" t="str">
            <v>EPS</v>
          </cell>
          <cell r="F44" t="str">
            <v>ANN</v>
          </cell>
          <cell r="G44">
            <v>1</v>
          </cell>
          <cell r="H44">
            <v>7</v>
          </cell>
          <cell r="I44">
            <v>1.9</v>
          </cell>
          <cell r="J44">
            <v>1.91</v>
          </cell>
          <cell r="K44">
            <v>0</v>
          </cell>
          <cell r="L44">
            <v>20181231</v>
          </cell>
          <cell r="M44">
            <v>1.92</v>
          </cell>
          <cell r="N44">
            <v>20190221</v>
          </cell>
        </row>
        <row r="45">
          <cell r="A45" t="str">
            <v>SO</v>
          </cell>
          <cell r="B45" t="str">
            <v>@DAM</v>
          </cell>
          <cell r="C45" t="str">
            <v>SOMFY</v>
          </cell>
          <cell r="D45">
            <v>20181220</v>
          </cell>
          <cell r="E45" t="str">
            <v>EPS</v>
          </cell>
          <cell r="F45" t="str">
            <v>ANN</v>
          </cell>
          <cell r="G45">
            <v>1</v>
          </cell>
          <cell r="H45">
            <v>3</v>
          </cell>
          <cell r="I45">
            <v>3.92</v>
          </cell>
          <cell r="J45">
            <v>3.92</v>
          </cell>
          <cell r="K45">
            <v>0</v>
          </cell>
          <cell r="L45">
            <v>20181231</v>
          </cell>
          <cell r="M45">
            <v>4.09</v>
          </cell>
          <cell r="N45">
            <v>20190306</v>
          </cell>
        </row>
        <row r="46">
          <cell r="A46" t="str">
            <v>DTE</v>
          </cell>
          <cell r="B46" t="str">
            <v>@DT</v>
          </cell>
          <cell r="C46" t="str">
            <v>DEUTSCHE TELEKOM</v>
          </cell>
          <cell r="D46">
            <v>20181220</v>
          </cell>
          <cell r="E46" t="str">
            <v>EPS</v>
          </cell>
          <cell r="F46" t="str">
            <v>ANN</v>
          </cell>
          <cell r="G46">
            <v>1</v>
          </cell>
          <cell r="H46">
            <v>23</v>
          </cell>
          <cell r="I46">
            <v>0.92</v>
          </cell>
          <cell r="J46">
            <v>0.92</v>
          </cell>
          <cell r="K46">
            <v>0</v>
          </cell>
          <cell r="L46">
            <v>20181231</v>
          </cell>
          <cell r="M46">
            <v>0.96</v>
          </cell>
          <cell r="N46">
            <v>20190221</v>
          </cell>
        </row>
        <row r="47">
          <cell r="A47" t="str">
            <v>PGN</v>
          </cell>
          <cell r="B47" t="str">
            <v>@J5W</v>
          </cell>
          <cell r="C47" t="str">
            <v>POLISH OIL &amp; GAS</v>
          </cell>
          <cell r="D47">
            <v>20181220</v>
          </cell>
          <cell r="E47" t="str">
            <v>EPS</v>
          </cell>
          <cell r="F47" t="str">
            <v>ANN</v>
          </cell>
          <cell r="G47">
            <v>1</v>
          </cell>
          <cell r="H47">
            <v>6</v>
          </cell>
          <cell r="I47">
            <v>0.67</v>
          </cell>
          <cell r="J47">
            <v>0.62</v>
          </cell>
          <cell r="K47">
            <v>0</v>
          </cell>
          <cell r="L47">
            <v>20181231</v>
          </cell>
          <cell r="M47">
            <v>0.56000000000000005</v>
          </cell>
          <cell r="N47">
            <v>20190213</v>
          </cell>
        </row>
        <row r="48">
          <cell r="A48" t="str">
            <v>POM</v>
          </cell>
          <cell r="B48" t="str">
            <v>@PO8</v>
          </cell>
          <cell r="C48" t="str">
            <v>COMPAGNIE PLA OM</v>
          </cell>
          <cell r="D48">
            <v>20181220</v>
          </cell>
          <cell r="E48" t="str">
            <v>EPS</v>
          </cell>
          <cell r="F48" t="str">
            <v>ANN</v>
          </cell>
          <cell r="G48">
            <v>1</v>
          </cell>
          <cell r="H48">
            <v>8</v>
          </cell>
          <cell r="I48">
            <v>2.84</v>
          </cell>
          <cell r="J48">
            <v>2.83</v>
          </cell>
          <cell r="K48">
            <v>0</v>
          </cell>
          <cell r="L48">
            <v>20181231</v>
          </cell>
          <cell r="M48">
            <v>3.61</v>
          </cell>
          <cell r="N48">
            <v>20190214</v>
          </cell>
        </row>
        <row r="49">
          <cell r="A49" t="str">
            <v>PGN</v>
          </cell>
          <cell r="B49" t="str">
            <v>@QPA</v>
          </cell>
          <cell r="C49" t="str">
            <v>PARAGON</v>
          </cell>
          <cell r="D49">
            <v>20181220</v>
          </cell>
          <cell r="E49" t="str">
            <v>EPS</v>
          </cell>
          <cell r="F49" t="str">
            <v>ANN</v>
          </cell>
          <cell r="G49">
            <v>1</v>
          </cell>
          <cell r="H49">
            <v>6</v>
          </cell>
          <cell r="I49">
            <v>1.48</v>
          </cell>
          <cell r="J49">
            <v>1.33</v>
          </cell>
          <cell r="K49">
            <v>0</v>
          </cell>
          <cell r="L49">
            <v>20181231</v>
          </cell>
          <cell r="M49">
            <v>0.52</v>
          </cell>
          <cell r="N49">
            <v>20190401</v>
          </cell>
        </row>
        <row r="50">
          <cell r="A50" t="str">
            <v>PEG</v>
          </cell>
          <cell r="B50" t="str">
            <v>@S6N</v>
          </cell>
          <cell r="C50" t="str">
            <v>PETARDS GROUP</v>
          </cell>
          <cell r="D50">
            <v>20181220</v>
          </cell>
          <cell r="E50" t="str">
            <v>EPS</v>
          </cell>
          <cell r="F50" t="str">
            <v>ANN</v>
          </cell>
          <cell r="G50">
            <v>1</v>
          </cell>
          <cell r="H50">
            <v>1</v>
          </cell>
          <cell r="I50">
            <v>2.0299999999999998</v>
          </cell>
          <cell r="J50">
            <v>2.0299999999999998</v>
          </cell>
          <cell r="K50">
            <v>0</v>
          </cell>
          <cell r="L50">
            <v>20181231</v>
          </cell>
          <cell r="M50">
            <v>3.1</v>
          </cell>
          <cell r="N50">
            <v>20190410</v>
          </cell>
        </row>
        <row r="51">
          <cell r="A51" t="str">
            <v>SO</v>
          </cell>
          <cell r="B51" t="str">
            <v>@SGF</v>
          </cell>
          <cell r="C51" t="str">
            <v>SOGEFI</v>
          </cell>
          <cell r="D51">
            <v>20181220</v>
          </cell>
          <cell r="E51" t="str">
            <v>EPS</v>
          </cell>
          <cell r="F51" t="str">
            <v>ANN</v>
          </cell>
          <cell r="G51">
            <v>1</v>
          </cell>
          <cell r="H51">
            <v>4</v>
          </cell>
          <cell r="I51">
            <v>0.27</v>
          </cell>
          <cell r="J51">
            <v>0.26</v>
          </cell>
          <cell r="K51">
            <v>0</v>
          </cell>
          <cell r="L51">
            <v>20181231</v>
          </cell>
          <cell r="N51">
            <v>20190204</v>
          </cell>
        </row>
        <row r="52">
          <cell r="A52" t="str">
            <v>NST</v>
          </cell>
          <cell r="B52" t="str">
            <v>@T6I</v>
          </cell>
          <cell r="C52" t="str">
            <v>NORTHERN STAR RE</v>
          </cell>
          <cell r="D52">
            <v>20181220</v>
          </cell>
          <cell r="E52" t="str">
            <v>EPS</v>
          </cell>
          <cell r="F52" t="str">
            <v>ANN</v>
          </cell>
          <cell r="G52">
            <v>1</v>
          </cell>
          <cell r="H52">
            <v>15</v>
          </cell>
          <cell r="I52">
            <v>0.5</v>
          </cell>
          <cell r="J52">
            <v>0.49099999999999999</v>
          </cell>
          <cell r="K52">
            <v>0</v>
          </cell>
          <cell r="L52">
            <v>20190630</v>
          </cell>
          <cell r="M52">
            <v>0.27800000000000002</v>
          </cell>
          <cell r="N52">
            <v>20190826</v>
          </cell>
        </row>
        <row r="53">
          <cell r="A53" t="str">
            <v>AGR</v>
          </cell>
          <cell r="B53" t="str">
            <v>@V2M</v>
          </cell>
          <cell r="C53" t="str">
            <v>ASSURA GROUP</v>
          </cell>
          <cell r="D53">
            <v>20181220</v>
          </cell>
          <cell r="E53" t="str">
            <v>EPS</v>
          </cell>
          <cell r="F53" t="str">
            <v>ANN</v>
          </cell>
          <cell r="G53">
            <v>1</v>
          </cell>
          <cell r="H53">
            <v>4</v>
          </cell>
          <cell r="I53">
            <v>2.71</v>
          </cell>
          <cell r="J53">
            <v>2.72</v>
          </cell>
          <cell r="K53">
            <v>0</v>
          </cell>
          <cell r="L53">
            <v>20190331</v>
          </cell>
          <cell r="M53">
            <v>2.7</v>
          </cell>
          <cell r="N53">
            <v>20190521</v>
          </cell>
        </row>
        <row r="54">
          <cell r="A54" t="str">
            <v>SRE</v>
          </cell>
          <cell r="B54" t="str">
            <v>@VRU</v>
          </cell>
          <cell r="C54" t="str">
            <v>SIRIUS REAL ESTA</v>
          </cell>
          <cell r="D54">
            <v>20181220</v>
          </cell>
          <cell r="E54" t="str">
            <v>EPS</v>
          </cell>
          <cell r="F54" t="str">
            <v>ANN</v>
          </cell>
          <cell r="G54">
            <v>1</v>
          </cell>
          <cell r="H54">
            <v>2</v>
          </cell>
          <cell r="I54">
            <v>0.04</v>
          </cell>
          <cell r="J54">
            <v>0.04</v>
          </cell>
          <cell r="K54">
            <v>0</v>
          </cell>
          <cell r="L54">
            <v>20190331</v>
          </cell>
          <cell r="M54">
            <v>0.05</v>
          </cell>
          <cell r="N54">
            <v>20190603</v>
          </cell>
        </row>
        <row r="55">
          <cell r="A55" t="str">
            <v>EXC</v>
          </cell>
          <cell r="B55" t="str">
            <v>@XDO</v>
          </cell>
          <cell r="C55" t="str">
            <v>EXCEET GRP</v>
          </cell>
          <cell r="D55">
            <v>20181220</v>
          </cell>
          <cell r="E55" t="str">
            <v>EPS</v>
          </cell>
          <cell r="F55" t="str">
            <v>ANN</v>
          </cell>
          <cell r="G55">
            <v>1</v>
          </cell>
          <cell r="H55">
            <v>2</v>
          </cell>
          <cell r="I55">
            <v>0.14000000000000001</v>
          </cell>
          <cell r="J55">
            <v>0.14000000000000001</v>
          </cell>
          <cell r="K55">
            <v>0</v>
          </cell>
          <cell r="L55">
            <v>20181231</v>
          </cell>
          <cell r="M55">
            <v>-0.03</v>
          </cell>
          <cell r="N55">
            <v>20190228</v>
          </cell>
        </row>
        <row r="56">
          <cell r="A56" t="str">
            <v>CNL</v>
          </cell>
          <cell r="B56" t="str">
            <v>NCL1</v>
          </cell>
          <cell r="C56" t="str">
            <v>CONTINENTAL GOLD</v>
          </cell>
          <cell r="D56">
            <v>20181220</v>
          </cell>
          <cell r="E56" t="str">
            <v>EPS</v>
          </cell>
          <cell r="F56" t="str">
            <v>ANN</v>
          </cell>
          <cell r="G56">
            <v>1</v>
          </cell>
          <cell r="H56">
            <v>4</v>
          </cell>
          <cell r="I56">
            <v>-7.0000000000000007E-2</v>
          </cell>
          <cell r="J56">
            <v>-0.08</v>
          </cell>
          <cell r="K56">
            <v>0</v>
          </cell>
          <cell r="L56">
            <v>20181231</v>
          </cell>
          <cell r="M56">
            <v>-0.16</v>
          </cell>
          <cell r="N56">
            <v>20190315</v>
          </cell>
        </row>
        <row r="57">
          <cell r="A57" t="str">
            <v>PPL</v>
          </cell>
          <cell r="B57" t="str">
            <v>PIF1</v>
          </cell>
          <cell r="C57" t="str">
            <v>PEMBINA PIPELINE</v>
          </cell>
          <cell r="D57">
            <v>20181220</v>
          </cell>
          <cell r="E57" t="str">
            <v>EPS</v>
          </cell>
          <cell r="F57" t="str">
            <v>ANN</v>
          </cell>
          <cell r="G57">
            <v>1</v>
          </cell>
          <cell r="H57">
            <v>8</v>
          </cell>
          <cell r="I57">
            <v>2.1800000000000002</v>
          </cell>
          <cell r="J57">
            <v>2.11</v>
          </cell>
          <cell r="K57">
            <v>0</v>
          </cell>
          <cell r="L57">
            <v>20181231</v>
          </cell>
          <cell r="M57">
            <v>2.2799999999999998</v>
          </cell>
          <cell r="N57">
            <v>20190221</v>
          </cell>
        </row>
        <row r="58">
          <cell r="A58" t="str">
            <v>POM</v>
          </cell>
          <cell r="B58" t="str">
            <v>POM1</v>
          </cell>
          <cell r="C58" t="str">
            <v>POLYMET MINING</v>
          </cell>
          <cell r="D58">
            <v>20181220</v>
          </cell>
          <cell r="E58" t="str">
            <v>EPS</v>
          </cell>
          <cell r="F58" t="str">
            <v>ANN</v>
          </cell>
          <cell r="G58">
            <v>1</v>
          </cell>
          <cell r="H58">
            <v>1</v>
          </cell>
          <cell r="I58">
            <v>-0.67</v>
          </cell>
          <cell r="J58">
            <v>-0.67</v>
          </cell>
          <cell r="K58">
            <v>0</v>
          </cell>
          <cell r="L58">
            <v>20181231</v>
          </cell>
          <cell r="M58">
            <v>-0.65</v>
          </cell>
          <cell r="N58">
            <v>20190328</v>
          </cell>
        </row>
        <row r="59">
          <cell r="A59" t="str">
            <v>PSD</v>
          </cell>
          <cell r="B59" t="str">
            <v>PSD3</v>
          </cell>
          <cell r="C59" t="str">
            <v>PULSE SEISMIC</v>
          </cell>
          <cell r="D59">
            <v>20181220</v>
          </cell>
          <cell r="E59" t="str">
            <v>EPS</v>
          </cell>
          <cell r="F59" t="str">
            <v>ANN</v>
          </cell>
          <cell r="G59">
            <v>1</v>
          </cell>
          <cell r="H59">
            <v>1</v>
          </cell>
          <cell r="I59">
            <v>-0.05</v>
          </cell>
          <cell r="J59">
            <v>-0.05</v>
          </cell>
          <cell r="K59">
            <v>0</v>
          </cell>
          <cell r="L59">
            <v>20181231</v>
          </cell>
          <cell r="M59">
            <v>-0.03</v>
          </cell>
          <cell r="N59">
            <v>20190228</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RDS"/>
    </sheetNames>
    <sheetDataSet>
      <sheetData sheetId="0">
        <row r="1">
          <cell r="A1" t="str">
            <v>OFTIC</v>
          </cell>
          <cell r="B1" t="str">
            <v>IBES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USFIRM=0 if from .INT file and USFIRM=1 if from .US file</v>
          </cell>
          <cell r="M1" t="str">
            <v>Forecast Period End Date (SAS Format)</v>
          </cell>
          <cell r="N1" t="str">
            <v>Actual Value, from the Detail Actuals File</v>
          </cell>
          <cell r="O1" t="str">
            <v>Announce date of the Actual, from the Detail Actuals File</v>
          </cell>
        </row>
        <row r="2">
          <cell r="A2" t="str">
            <v>PNW</v>
          </cell>
          <cell r="B2" t="str">
            <v>AZP</v>
          </cell>
          <cell r="C2" t="str">
            <v>PINNACLE WST CAP</v>
          </cell>
          <cell r="D2">
            <v>20141218</v>
          </cell>
          <cell r="E2" t="str">
            <v>EPS</v>
          </cell>
          <cell r="F2" t="str">
            <v>LTG</v>
          </cell>
          <cell r="G2">
            <v>0</v>
          </cell>
          <cell r="H2">
            <v>3</v>
          </cell>
          <cell r="I2">
            <v>4</v>
          </cell>
          <cell r="J2">
            <v>3.6</v>
          </cell>
          <cell r="K2">
            <v>0.87</v>
          </cell>
          <cell r="L2">
            <v>1</v>
          </cell>
        </row>
        <row r="3">
          <cell r="A3" t="str">
            <v>CMS</v>
          </cell>
          <cell r="B3" t="str">
            <v>CMS</v>
          </cell>
          <cell r="C3" t="str">
            <v>CMS ENERGY CORP</v>
          </cell>
          <cell r="D3">
            <v>20141218</v>
          </cell>
          <cell r="E3" t="str">
            <v>EPS</v>
          </cell>
          <cell r="F3" t="str">
            <v>LTG</v>
          </cell>
          <cell r="G3">
            <v>0</v>
          </cell>
          <cell r="H3">
            <v>3</v>
          </cell>
          <cell r="I3">
            <v>6.41</v>
          </cell>
          <cell r="J3">
            <v>6.6</v>
          </cell>
          <cell r="K3">
            <v>0.34</v>
          </cell>
          <cell r="L3">
            <v>1</v>
          </cell>
        </row>
        <row r="4">
          <cell r="A4" t="str">
            <v>CNL</v>
          </cell>
          <cell r="B4" t="str">
            <v>CNL</v>
          </cell>
          <cell r="C4" t="str">
            <v>CLECO CORP</v>
          </cell>
          <cell r="D4">
            <v>20141218</v>
          </cell>
          <cell r="E4" t="str">
            <v>EPS</v>
          </cell>
          <cell r="F4" t="str">
            <v>LTG</v>
          </cell>
          <cell r="G4">
            <v>0</v>
          </cell>
          <cell r="H4">
            <v>1</v>
          </cell>
          <cell r="I4">
            <v>4</v>
          </cell>
          <cell r="J4">
            <v>4</v>
          </cell>
          <cell r="L4">
            <v>1</v>
          </cell>
        </row>
        <row r="5">
          <cell r="A5" t="str">
            <v>D</v>
          </cell>
          <cell r="B5" t="str">
            <v>D</v>
          </cell>
          <cell r="C5" t="str">
            <v>DOMINION RES INC</v>
          </cell>
          <cell r="D5">
            <v>20141218</v>
          </cell>
          <cell r="E5" t="str">
            <v>EPS</v>
          </cell>
          <cell r="F5" t="str">
            <v>LTG</v>
          </cell>
          <cell r="G5">
            <v>0</v>
          </cell>
          <cell r="H5">
            <v>4</v>
          </cell>
          <cell r="I5">
            <v>6.7</v>
          </cell>
          <cell r="J5">
            <v>6.67</v>
          </cell>
          <cell r="K5">
            <v>0.31</v>
          </cell>
          <cell r="L5">
            <v>1</v>
          </cell>
        </row>
        <row r="6">
          <cell r="A6" t="str">
            <v>DTE</v>
          </cell>
          <cell r="B6" t="str">
            <v>DTE</v>
          </cell>
          <cell r="C6" t="str">
            <v>DTE ENERGY</v>
          </cell>
          <cell r="D6">
            <v>20141218</v>
          </cell>
          <cell r="E6" t="str">
            <v>EPS</v>
          </cell>
          <cell r="F6" t="str">
            <v>LTG</v>
          </cell>
          <cell r="G6">
            <v>0</v>
          </cell>
          <cell r="H6">
            <v>4</v>
          </cell>
          <cell r="I6">
            <v>5.95</v>
          </cell>
          <cell r="J6">
            <v>6.17</v>
          </cell>
          <cell r="K6">
            <v>0.56000000000000005</v>
          </cell>
          <cell r="L6">
            <v>1</v>
          </cell>
        </row>
        <row r="7">
          <cell r="A7" t="str">
            <v>DUK</v>
          </cell>
          <cell r="B7" t="str">
            <v>DUK</v>
          </cell>
          <cell r="C7" t="str">
            <v>DUKE ENERGY CORP</v>
          </cell>
          <cell r="D7">
            <v>20141218</v>
          </cell>
          <cell r="E7" t="str">
            <v>EPS</v>
          </cell>
          <cell r="F7" t="str">
            <v>LTG</v>
          </cell>
          <cell r="G7">
            <v>0</v>
          </cell>
          <cell r="H7">
            <v>5</v>
          </cell>
          <cell r="I7">
            <v>4.75</v>
          </cell>
          <cell r="J7">
            <v>4.79</v>
          </cell>
          <cell r="K7">
            <v>0.42</v>
          </cell>
          <cell r="L7">
            <v>1</v>
          </cell>
        </row>
        <row r="8">
          <cell r="A8" t="str">
            <v>ED</v>
          </cell>
          <cell r="B8" t="str">
            <v>ED</v>
          </cell>
          <cell r="C8" t="str">
            <v>CONSOLIDATED EDI</v>
          </cell>
          <cell r="D8">
            <v>20141218</v>
          </cell>
          <cell r="E8" t="str">
            <v>EPS</v>
          </cell>
          <cell r="F8" t="str">
            <v>LTG</v>
          </cell>
          <cell r="G8">
            <v>0</v>
          </cell>
          <cell r="H8">
            <v>3</v>
          </cell>
          <cell r="I8">
            <v>2.5</v>
          </cell>
          <cell r="J8">
            <v>2.38</v>
          </cell>
          <cell r="K8">
            <v>0.39</v>
          </cell>
          <cell r="L8">
            <v>1</v>
          </cell>
        </row>
        <row r="9">
          <cell r="A9" t="str">
            <v>EDE</v>
          </cell>
          <cell r="B9" t="str">
            <v>EDE</v>
          </cell>
          <cell r="C9" t="str">
            <v>EMPIRE DIST ELEC</v>
          </cell>
          <cell r="D9">
            <v>20141218</v>
          </cell>
          <cell r="E9" t="str">
            <v>EPS</v>
          </cell>
          <cell r="F9" t="str">
            <v>LTG</v>
          </cell>
          <cell r="G9">
            <v>0</v>
          </cell>
          <cell r="H9">
            <v>1</v>
          </cell>
          <cell r="I9">
            <v>3</v>
          </cell>
          <cell r="J9">
            <v>3</v>
          </cell>
          <cell r="L9">
            <v>1</v>
          </cell>
        </row>
        <row r="10">
          <cell r="A10" t="str">
            <v>NEE</v>
          </cell>
          <cell r="B10" t="str">
            <v>FPL</v>
          </cell>
          <cell r="C10" t="str">
            <v>NEXTERA ENERGY I</v>
          </cell>
          <cell r="D10">
            <v>20141218</v>
          </cell>
          <cell r="E10" t="str">
            <v>EPS</v>
          </cell>
          <cell r="F10" t="str">
            <v>LTG</v>
          </cell>
          <cell r="G10">
            <v>0</v>
          </cell>
          <cell r="H10">
            <v>5</v>
          </cell>
          <cell r="I10">
            <v>6.4</v>
          </cell>
          <cell r="J10">
            <v>6.68</v>
          </cell>
          <cell r="K10">
            <v>0.64</v>
          </cell>
          <cell r="L10">
            <v>1</v>
          </cell>
        </row>
        <row r="11">
          <cell r="A11" t="str">
            <v>HE</v>
          </cell>
          <cell r="B11" t="str">
            <v>HE</v>
          </cell>
          <cell r="C11" t="str">
            <v>HAWAIIAN ELEC</v>
          </cell>
          <cell r="D11">
            <v>20141218</v>
          </cell>
          <cell r="E11" t="str">
            <v>EPS</v>
          </cell>
          <cell r="F11" t="str">
            <v>LTG</v>
          </cell>
          <cell r="G11">
            <v>0</v>
          </cell>
          <cell r="H11">
            <v>3</v>
          </cell>
          <cell r="I11">
            <v>3.9</v>
          </cell>
          <cell r="J11">
            <v>3.35</v>
          </cell>
          <cell r="K11">
            <v>1.04</v>
          </cell>
          <cell r="L11">
            <v>1</v>
          </cell>
        </row>
        <row r="12">
          <cell r="A12" t="str">
            <v>CNP</v>
          </cell>
          <cell r="B12" t="str">
            <v>HOU</v>
          </cell>
          <cell r="C12" t="str">
            <v>CENTERPOINT ENER</v>
          </cell>
          <cell r="D12">
            <v>20141218</v>
          </cell>
          <cell r="E12" t="str">
            <v>EPS</v>
          </cell>
          <cell r="F12" t="str">
            <v>LTG</v>
          </cell>
          <cell r="G12">
            <v>0</v>
          </cell>
          <cell r="H12">
            <v>2</v>
          </cell>
          <cell r="I12">
            <v>2.81</v>
          </cell>
          <cell r="J12">
            <v>2.81</v>
          </cell>
          <cell r="K12">
            <v>0.27</v>
          </cell>
          <cell r="L12">
            <v>1</v>
          </cell>
        </row>
        <row r="13">
          <cell r="A13" t="str">
            <v>IDA</v>
          </cell>
          <cell r="B13" t="str">
            <v>IDA</v>
          </cell>
          <cell r="C13" t="str">
            <v>IDACORP INC.</v>
          </cell>
          <cell r="D13">
            <v>20141218</v>
          </cell>
          <cell r="E13" t="str">
            <v>EPS</v>
          </cell>
          <cell r="F13" t="str">
            <v>LTG</v>
          </cell>
          <cell r="G13">
            <v>0</v>
          </cell>
          <cell r="H13">
            <v>1</v>
          </cell>
          <cell r="I13">
            <v>4</v>
          </cell>
          <cell r="J13">
            <v>4</v>
          </cell>
          <cell r="L13">
            <v>1</v>
          </cell>
        </row>
        <row r="14">
          <cell r="A14" t="str">
            <v>WR</v>
          </cell>
          <cell r="B14" t="str">
            <v>KAN</v>
          </cell>
          <cell r="C14" t="str">
            <v>WESTAR ENERGY</v>
          </cell>
          <cell r="D14">
            <v>20141218</v>
          </cell>
          <cell r="E14" t="str">
            <v>EPS</v>
          </cell>
          <cell r="F14" t="str">
            <v>LTG</v>
          </cell>
          <cell r="G14">
            <v>0</v>
          </cell>
          <cell r="H14">
            <v>2</v>
          </cell>
          <cell r="I14">
            <v>3.2</v>
          </cell>
          <cell r="J14">
            <v>3.2</v>
          </cell>
          <cell r="K14">
            <v>1.1299999999999999</v>
          </cell>
          <cell r="L14">
            <v>1</v>
          </cell>
        </row>
        <row r="15">
          <cell r="A15" t="str">
            <v>GXP</v>
          </cell>
          <cell r="B15" t="str">
            <v>KLT</v>
          </cell>
          <cell r="C15" t="str">
            <v>GREAT PLAINS</v>
          </cell>
          <cell r="D15">
            <v>20141218</v>
          </cell>
          <cell r="E15" t="str">
            <v>EPS</v>
          </cell>
          <cell r="F15" t="str">
            <v>LTG</v>
          </cell>
          <cell r="G15">
            <v>0</v>
          </cell>
          <cell r="H15">
            <v>2</v>
          </cell>
          <cell r="I15">
            <v>5</v>
          </cell>
          <cell r="J15">
            <v>5</v>
          </cell>
          <cell r="K15">
            <v>0</v>
          </cell>
          <cell r="L15">
            <v>1</v>
          </cell>
        </row>
        <row r="16">
          <cell r="A16" t="str">
            <v>ETR</v>
          </cell>
          <cell r="B16" t="str">
            <v>MSU</v>
          </cell>
          <cell r="C16" t="str">
            <v>ENTERGY CP</v>
          </cell>
          <cell r="D16">
            <v>20141218</v>
          </cell>
          <cell r="E16" t="str">
            <v>EPS</v>
          </cell>
          <cell r="F16" t="str">
            <v>LTG</v>
          </cell>
          <cell r="G16">
            <v>0</v>
          </cell>
          <cell r="H16">
            <v>4</v>
          </cell>
          <cell r="I16">
            <v>0.98</v>
          </cell>
          <cell r="J16">
            <v>0.39</v>
          </cell>
          <cell r="K16">
            <v>2.72</v>
          </cell>
          <cell r="L16">
            <v>1</v>
          </cell>
        </row>
        <row r="17">
          <cell r="A17" t="str">
            <v>XEL</v>
          </cell>
          <cell r="B17" t="str">
            <v>NSP</v>
          </cell>
          <cell r="C17" t="str">
            <v>XCEL ENERGY INC</v>
          </cell>
          <cell r="D17">
            <v>20141218</v>
          </cell>
          <cell r="E17" t="str">
            <v>EPS</v>
          </cell>
          <cell r="F17" t="str">
            <v>LTG</v>
          </cell>
          <cell r="G17">
            <v>0</v>
          </cell>
          <cell r="H17">
            <v>3</v>
          </cell>
          <cell r="I17">
            <v>4.0999999999999996</v>
          </cell>
          <cell r="J17">
            <v>4.33</v>
          </cell>
          <cell r="K17">
            <v>0.59</v>
          </cell>
          <cell r="L17">
            <v>1</v>
          </cell>
        </row>
        <row r="18">
          <cell r="A18" t="str">
            <v>NU</v>
          </cell>
          <cell r="B18" t="str">
            <v>NU</v>
          </cell>
          <cell r="C18" t="str">
            <v>NORTHEAST UTILS</v>
          </cell>
          <cell r="D18">
            <v>20141218</v>
          </cell>
          <cell r="E18" t="str">
            <v>EPS</v>
          </cell>
          <cell r="F18" t="str">
            <v>LTG</v>
          </cell>
          <cell r="G18">
            <v>0</v>
          </cell>
          <cell r="H18">
            <v>3</v>
          </cell>
          <cell r="I18">
            <v>6</v>
          </cell>
          <cell r="J18">
            <v>5.88</v>
          </cell>
          <cell r="K18">
            <v>1.18</v>
          </cell>
          <cell r="L18">
            <v>1</v>
          </cell>
        </row>
        <row r="19">
          <cell r="A19" t="str">
            <v>NWE</v>
          </cell>
          <cell r="B19" t="str">
            <v>NWPS</v>
          </cell>
          <cell r="C19" t="str">
            <v>NORTHWESTERN CP</v>
          </cell>
          <cell r="D19">
            <v>20141218</v>
          </cell>
          <cell r="E19" t="str">
            <v>EPS</v>
          </cell>
          <cell r="F19" t="str">
            <v>LTG</v>
          </cell>
          <cell r="G19">
            <v>0</v>
          </cell>
          <cell r="H19">
            <v>2</v>
          </cell>
          <cell r="I19">
            <v>7.05</v>
          </cell>
          <cell r="J19">
            <v>7.05</v>
          </cell>
          <cell r="K19">
            <v>4.3099999999999996</v>
          </cell>
          <cell r="L19">
            <v>1</v>
          </cell>
        </row>
        <row r="20">
          <cell r="A20" t="str">
            <v>FE</v>
          </cell>
          <cell r="B20" t="str">
            <v>OEC</v>
          </cell>
          <cell r="C20" t="str">
            <v>FIRSTENERGY CORP</v>
          </cell>
          <cell r="D20">
            <v>20141218</v>
          </cell>
          <cell r="E20" t="str">
            <v>EPS</v>
          </cell>
          <cell r="F20" t="str">
            <v>LTG</v>
          </cell>
          <cell r="G20">
            <v>0</v>
          </cell>
          <cell r="H20">
            <v>2</v>
          </cell>
          <cell r="I20">
            <v>-2.8</v>
          </cell>
          <cell r="J20">
            <v>-2.8</v>
          </cell>
          <cell r="K20">
            <v>0.99</v>
          </cell>
          <cell r="L20">
            <v>1</v>
          </cell>
        </row>
        <row r="21">
          <cell r="A21" t="str">
            <v>OGE</v>
          </cell>
          <cell r="B21" t="str">
            <v>OGE</v>
          </cell>
          <cell r="C21" t="str">
            <v>OGE ENERGY CORP</v>
          </cell>
          <cell r="D21">
            <v>20141218</v>
          </cell>
          <cell r="E21" t="str">
            <v>EPS</v>
          </cell>
          <cell r="F21" t="str">
            <v>LTG</v>
          </cell>
          <cell r="G21">
            <v>0</v>
          </cell>
          <cell r="H21">
            <v>2</v>
          </cell>
          <cell r="I21">
            <v>7.05</v>
          </cell>
          <cell r="J21">
            <v>7.05</v>
          </cell>
          <cell r="K21">
            <v>7.0000000000000007E-2</v>
          </cell>
          <cell r="L21">
            <v>1</v>
          </cell>
        </row>
        <row r="22">
          <cell r="A22" t="str">
            <v>PCG</v>
          </cell>
          <cell r="B22" t="str">
            <v>PCG</v>
          </cell>
          <cell r="C22" t="str">
            <v>P G &amp; E CORP</v>
          </cell>
          <cell r="D22">
            <v>20141218</v>
          </cell>
          <cell r="E22" t="str">
            <v>EPS</v>
          </cell>
          <cell r="F22" t="str">
            <v>LTG</v>
          </cell>
          <cell r="G22">
            <v>0</v>
          </cell>
          <cell r="H22">
            <v>4</v>
          </cell>
          <cell r="I22">
            <v>8.1</v>
          </cell>
          <cell r="J22">
            <v>8.51</v>
          </cell>
          <cell r="K22">
            <v>0.89</v>
          </cell>
          <cell r="L22">
            <v>1</v>
          </cell>
        </row>
        <row r="23">
          <cell r="A23" t="str">
            <v>EXC</v>
          </cell>
          <cell r="B23" t="str">
            <v>PE</v>
          </cell>
          <cell r="C23" t="str">
            <v>EXELON CORP</v>
          </cell>
          <cell r="D23">
            <v>20141218</v>
          </cell>
          <cell r="E23" t="str">
            <v>EPS</v>
          </cell>
          <cell r="F23" t="str">
            <v>LTG</v>
          </cell>
          <cell r="G23">
            <v>0</v>
          </cell>
          <cell r="H23">
            <v>1</v>
          </cell>
          <cell r="I23">
            <v>3.27</v>
          </cell>
          <cell r="J23">
            <v>3.27</v>
          </cell>
          <cell r="L23">
            <v>1</v>
          </cell>
        </row>
        <row r="24">
          <cell r="A24" t="str">
            <v>PEG</v>
          </cell>
          <cell r="B24" t="str">
            <v>PEG</v>
          </cell>
          <cell r="C24" t="str">
            <v>PUB SVC ENTERS</v>
          </cell>
          <cell r="D24">
            <v>20141218</v>
          </cell>
          <cell r="E24" t="str">
            <v>EPS</v>
          </cell>
          <cell r="F24" t="str">
            <v>LTG</v>
          </cell>
          <cell r="G24">
            <v>0</v>
          </cell>
          <cell r="H24">
            <v>2</v>
          </cell>
          <cell r="I24">
            <v>2.67</v>
          </cell>
          <cell r="J24">
            <v>2.67</v>
          </cell>
          <cell r="K24">
            <v>0.95</v>
          </cell>
          <cell r="L24">
            <v>1</v>
          </cell>
        </row>
        <row r="25">
          <cell r="A25" t="str">
            <v>PNM</v>
          </cell>
          <cell r="B25" t="str">
            <v>PNM</v>
          </cell>
          <cell r="C25" t="str">
            <v>PNM RESOURCES</v>
          </cell>
          <cell r="D25">
            <v>20141218</v>
          </cell>
          <cell r="E25" t="str">
            <v>EPS</v>
          </cell>
          <cell r="F25" t="str">
            <v>LTG</v>
          </cell>
          <cell r="G25">
            <v>0</v>
          </cell>
          <cell r="H25">
            <v>2</v>
          </cell>
          <cell r="I25">
            <v>9.86</v>
          </cell>
          <cell r="J25">
            <v>9.86</v>
          </cell>
          <cell r="K25">
            <v>1.9</v>
          </cell>
          <cell r="L25">
            <v>1</v>
          </cell>
        </row>
        <row r="26">
          <cell r="A26" t="str">
            <v>POM</v>
          </cell>
          <cell r="B26" t="str">
            <v>POM</v>
          </cell>
          <cell r="C26" t="str">
            <v>PEPCO HOLDINGS</v>
          </cell>
          <cell r="D26">
            <v>20141218</v>
          </cell>
          <cell r="E26" t="str">
            <v>EPS</v>
          </cell>
          <cell r="F26" t="str">
            <v>LTG</v>
          </cell>
          <cell r="G26">
            <v>0</v>
          </cell>
          <cell r="H26">
            <v>1</v>
          </cell>
          <cell r="I26">
            <v>7.8</v>
          </cell>
          <cell r="J26">
            <v>7.8</v>
          </cell>
          <cell r="L26">
            <v>1</v>
          </cell>
        </row>
        <row r="27">
          <cell r="A27" t="str">
            <v>POR</v>
          </cell>
          <cell r="B27" t="str">
            <v>PORO</v>
          </cell>
          <cell r="C27" t="str">
            <v>PORTLAND GENERAL</v>
          </cell>
          <cell r="D27">
            <v>20141218</v>
          </cell>
          <cell r="E27" t="str">
            <v>EPS</v>
          </cell>
          <cell r="F27" t="str">
            <v>LTG</v>
          </cell>
          <cell r="G27">
            <v>0</v>
          </cell>
          <cell r="H27">
            <v>3</v>
          </cell>
          <cell r="I27">
            <v>7.9</v>
          </cell>
          <cell r="J27">
            <v>7.97</v>
          </cell>
          <cell r="K27">
            <v>3</v>
          </cell>
          <cell r="L27">
            <v>1</v>
          </cell>
        </row>
        <row r="28">
          <cell r="A28" t="str">
            <v>PPL</v>
          </cell>
          <cell r="B28" t="str">
            <v>PPL</v>
          </cell>
          <cell r="C28" t="str">
            <v>PP&amp;L CORP</v>
          </cell>
          <cell r="D28">
            <v>20141218</v>
          </cell>
          <cell r="E28" t="str">
            <v>EPS</v>
          </cell>
          <cell r="F28" t="str">
            <v>LTG</v>
          </cell>
          <cell r="G28">
            <v>0</v>
          </cell>
          <cell r="H28">
            <v>1</v>
          </cell>
          <cell r="I28">
            <v>-2.1</v>
          </cell>
          <cell r="J28">
            <v>-2.1</v>
          </cell>
          <cell r="L28">
            <v>1</v>
          </cell>
        </row>
        <row r="29">
          <cell r="A29" t="str">
            <v>EIX</v>
          </cell>
          <cell r="B29" t="str">
            <v>SCE</v>
          </cell>
          <cell r="C29" t="str">
            <v>EDISON INTL</v>
          </cell>
          <cell r="D29">
            <v>20141218</v>
          </cell>
          <cell r="E29" t="str">
            <v>EPS</v>
          </cell>
          <cell r="F29" t="str">
            <v>LTG</v>
          </cell>
          <cell r="G29">
            <v>0</v>
          </cell>
          <cell r="H29">
            <v>3</v>
          </cell>
          <cell r="I29">
            <v>1.25</v>
          </cell>
          <cell r="J29">
            <v>3.38</v>
          </cell>
          <cell r="K29">
            <v>4</v>
          </cell>
          <cell r="L29">
            <v>1</v>
          </cell>
        </row>
        <row r="30">
          <cell r="A30" t="str">
            <v>SCG</v>
          </cell>
          <cell r="B30" t="str">
            <v>SCG</v>
          </cell>
          <cell r="C30" t="str">
            <v>SCANA CP</v>
          </cell>
          <cell r="D30">
            <v>20141218</v>
          </cell>
          <cell r="E30" t="str">
            <v>EPS</v>
          </cell>
          <cell r="F30" t="str">
            <v>LTG</v>
          </cell>
          <cell r="G30">
            <v>0</v>
          </cell>
          <cell r="H30">
            <v>2</v>
          </cell>
          <cell r="I30">
            <v>5.35</v>
          </cell>
          <cell r="J30">
            <v>5.35</v>
          </cell>
          <cell r="K30">
            <v>0.92</v>
          </cell>
          <cell r="L30">
            <v>1</v>
          </cell>
        </row>
        <row r="31">
          <cell r="A31" t="str">
            <v>SRE</v>
          </cell>
          <cell r="B31" t="str">
            <v>SDO</v>
          </cell>
          <cell r="C31" t="str">
            <v>SEMPRA ENERGY</v>
          </cell>
          <cell r="D31">
            <v>20141218</v>
          </cell>
          <cell r="E31" t="str">
            <v>EPS</v>
          </cell>
          <cell r="F31" t="str">
            <v>LTG</v>
          </cell>
          <cell r="G31">
            <v>0</v>
          </cell>
          <cell r="H31">
            <v>4</v>
          </cell>
          <cell r="I31">
            <v>8.02</v>
          </cell>
          <cell r="J31">
            <v>7.71</v>
          </cell>
          <cell r="K31">
            <v>1.35</v>
          </cell>
          <cell r="L31">
            <v>1</v>
          </cell>
        </row>
        <row r="32">
          <cell r="A32" t="str">
            <v>VVC</v>
          </cell>
          <cell r="B32" t="str">
            <v>SIG</v>
          </cell>
          <cell r="C32" t="str">
            <v>VECTREN CORP</v>
          </cell>
          <cell r="D32">
            <v>20141218</v>
          </cell>
          <cell r="E32" t="str">
            <v>EPS</v>
          </cell>
          <cell r="F32" t="str">
            <v>LTG</v>
          </cell>
          <cell r="G32">
            <v>0</v>
          </cell>
          <cell r="H32">
            <v>2</v>
          </cell>
          <cell r="I32">
            <v>4.5</v>
          </cell>
          <cell r="J32">
            <v>4.5</v>
          </cell>
          <cell r="K32">
            <v>0.71</v>
          </cell>
          <cell r="L32">
            <v>1</v>
          </cell>
        </row>
        <row r="33">
          <cell r="A33" t="str">
            <v>SO</v>
          </cell>
          <cell r="B33" t="str">
            <v>SO</v>
          </cell>
          <cell r="C33" t="str">
            <v>SOUTHN CO</v>
          </cell>
          <cell r="D33">
            <v>20141218</v>
          </cell>
          <cell r="E33" t="str">
            <v>EPS</v>
          </cell>
          <cell r="F33" t="str">
            <v>LTG</v>
          </cell>
          <cell r="G33">
            <v>0</v>
          </cell>
          <cell r="H33">
            <v>5</v>
          </cell>
          <cell r="I33">
            <v>3.1</v>
          </cell>
          <cell r="J33">
            <v>3.34</v>
          </cell>
          <cell r="K33">
            <v>0.59</v>
          </cell>
          <cell r="L33">
            <v>1</v>
          </cell>
        </row>
        <row r="34">
          <cell r="A34" t="str">
            <v>TE</v>
          </cell>
          <cell r="B34" t="str">
            <v>TE</v>
          </cell>
          <cell r="C34" t="str">
            <v>TECO ENERGY INC</v>
          </cell>
          <cell r="D34">
            <v>20141218</v>
          </cell>
          <cell r="E34" t="str">
            <v>EPS</v>
          </cell>
          <cell r="F34" t="str">
            <v>LTG</v>
          </cell>
          <cell r="G34">
            <v>0</v>
          </cell>
          <cell r="H34">
            <v>2</v>
          </cell>
          <cell r="I34">
            <v>6.43</v>
          </cell>
          <cell r="J34">
            <v>6.43</v>
          </cell>
          <cell r="K34">
            <v>2.08</v>
          </cell>
          <cell r="L34">
            <v>1</v>
          </cell>
        </row>
        <row r="35">
          <cell r="A35" t="str">
            <v>AEE</v>
          </cell>
          <cell r="B35" t="str">
            <v>UEP</v>
          </cell>
          <cell r="C35" t="str">
            <v>AMEREN CP</v>
          </cell>
          <cell r="D35">
            <v>20141218</v>
          </cell>
          <cell r="E35" t="str">
            <v>EPS</v>
          </cell>
          <cell r="F35" t="str">
            <v>LTG</v>
          </cell>
          <cell r="G35">
            <v>0</v>
          </cell>
          <cell r="H35">
            <v>2</v>
          </cell>
          <cell r="I35">
            <v>8.9</v>
          </cell>
          <cell r="J35">
            <v>8.9</v>
          </cell>
          <cell r="K35">
            <v>1.27</v>
          </cell>
          <cell r="L35">
            <v>1</v>
          </cell>
        </row>
        <row r="36">
          <cell r="A36" t="str">
            <v>UIL</v>
          </cell>
          <cell r="B36" t="str">
            <v>UIL</v>
          </cell>
          <cell r="C36" t="str">
            <v>UIL HOLDING CORP</v>
          </cell>
          <cell r="D36">
            <v>20141218</v>
          </cell>
          <cell r="E36" t="str">
            <v>EPS</v>
          </cell>
          <cell r="F36" t="str">
            <v>LTG</v>
          </cell>
          <cell r="G36">
            <v>0</v>
          </cell>
          <cell r="H36">
            <v>3</v>
          </cell>
          <cell r="I36">
            <v>5.6</v>
          </cell>
          <cell r="J36">
            <v>5.37</v>
          </cell>
          <cell r="K36">
            <v>0.78</v>
          </cell>
          <cell r="L36">
            <v>1</v>
          </cell>
        </row>
        <row r="37">
          <cell r="A37" t="str">
            <v>WEC</v>
          </cell>
          <cell r="B37" t="str">
            <v>WPC</v>
          </cell>
          <cell r="C37" t="str">
            <v>WISCONSIN ENERGY</v>
          </cell>
          <cell r="D37">
            <v>20141218</v>
          </cell>
          <cell r="E37" t="str">
            <v>EPS</v>
          </cell>
          <cell r="F37" t="str">
            <v>LTG</v>
          </cell>
          <cell r="G37">
            <v>0</v>
          </cell>
          <cell r="H37">
            <v>3</v>
          </cell>
          <cell r="I37">
            <v>6</v>
          </cell>
          <cell r="J37">
            <v>5.62</v>
          </cell>
          <cell r="K37">
            <v>0.65</v>
          </cell>
          <cell r="L37">
            <v>1</v>
          </cell>
        </row>
        <row r="38">
          <cell r="A38" t="str">
            <v>LNT</v>
          </cell>
          <cell r="B38" t="str">
            <v>WPL</v>
          </cell>
          <cell r="C38" t="str">
            <v>ALLIANT ENER</v>
          </cell>
          <cell r="D38">
            <v>20141218</v>
          </cell>
          <cell r="E38" t="str">
            <v>EPS</v>
          </cell>
          <cell r="F38" t="str">
            <v>LTG</v>
          </cell>
          <cell r="G38">
            <v>0</v>
          </cell>
          <cell r="H38">
            <v>2</v>
          </cell>
          <cell r="I38">
            <v>4.9000000000000004</v>
          </cell>
          <cell r="J38">
            <v>4.9000000000000004</v>
          </cell>
          <cell r="K38">
            <v>0.14000000000000001</v>
          </cell>
          <cell r="L38">
            <v>1</v>
          </cell>
        </row>
        <row r="39">
          <cell r="A39" t="str">
            <v>SCG</v>
          </cell>
          <cell r="B39" t="str">
            <v>@006C</v>
          </cell>
          <cell r="C39" t="str">
            <v>SCENTRE GROUP</v>
          </cell>
          <cell r="D39">
            <v>20141218</v>
          </cell>
          <cell r="E39" t="str">
            <v>EPS</v>
          </cell>
          <cell r="F39" t="str">
            <v>LTG</v>
          </cell>
          <cell r="G39">
            <v>0</v>
          </cell>
          <cell r="H39">
            <v>1</v>
          </cell>
          <cell r="I39">
            <v>-14.3</v>
          </cell>
          <cell r="J39">
            <v>-14.3</v>
          </cell>
          <cell r="L39">
            <v>0</v>
          </cell>
        </row>
        <row r="40">
          <cell r="A40" t="str">
            <v>SO</v>
          </cell>
          <cell r="B40" t="str">
            <v>@DAM</v>
          </cell>
          <cell r="C40" t="str">
            <v>SOMFY</v>
          </cell>
          <cell r="D40">
            <v>20141218</v>
          </cell>
          <cell r="E40" t="str">
            <v>EPS</v>
          </cell>
          <cell r="F40" t="str">
            <v>LTG</v>
          </cell>
          <cell r="G40">
            <v>0</v>
          </cell>
          <cell r="H40">
            <v>1</v>
          </cell>
          <cell r="I40">
            <v>11.6</v>
          </cell>
          <cell r="J40">
            <v>11.6</v>
          </cell>
          <cell r="L40">
            <v>0</v>
          </cell>
        </row>
        <row r="41">
          <cell r="A41" t="str">
            <v>DTE</v>
          </cell>
          <cell r="B41" t="str">
            <v>@DT</v>
          </cell>
          <cell r="C41" t="str">
            <v>DEUTSCHE TELEKOM</v>
          </cell>
          <cell r="D41">
            <v>20141218</v>
          </cell>
          <cell r="E41" t="str">
            <v>EPS</v>
          </cell>
          <cell r="F41" t="str">
            <v>LTG</v>
          </cell>
          <cell r="G41">
            <v>0</v>
          </cell>
          <cell r="H41">
            <v>6</v>
          </cell>
          <cell r="I41">
            <v>9.35</v>
          </cell>
          <cell r="J41">
            <v>13.63</v>
          </cell>
          <cell r="K41">
            <v>10.62</v>
          </cell>
          <cell r="L41">
            <v>0</v>
          </cell>
        </row>
        <row r="42">
          <cell r="A42" t="str">
            <v>PGN</v>
          </cell>
          <cell r="B42" t="str">
            <v>@J5W</v>
          </cell>
          <cell r="C42" t="str">
            <v>POLISH OIL &amp; GAS</v>
          </cell>
          <cell r="D42">
            <v>20141218</v>
          </cell>
          <cell r="E42" t="str">
            <v>EPS</v>
          </cell>
          <cell r="F42" t="str">
            <v>LTG</v>
          </cell>
          <cell r="G42">
            <v>0</v>
          </cell>
          <cell r="H42">
            <v>1</v>
          </cell>
          <cell r="I42">
            <v>-8.1999999999999993</v>
          </cell>
          <cell r="J42">
            <v>-8.1999999999999993</v>
          </cell>
          <cell r="L42">
            <v>0</v>
          </cell>
        </row>
        <row r="43">
          <cell r="A43" t="str">
            <v>POM</v>
          </cell>
          <cell r="B43" t="str">
            <v>@PO8</v>
          </cell>
          <cell r="C43" t="str">
            <v>COMPAGNIE PLA OM</v>
          </cell>
          <cell r="D43">
            <v>20141218</v>
          </cell>
          <cell r="E43" t="str">
            <v>EPS</v>
          </cell>
          <cell r="F43" t="str">
            <v>LTG</v>
          </cell>
          <cell r="G43">
            <v>0</v>
          </cell>
          <cell r="H43">
            <v>1</v>
          </cell>
          <cell r="I43">
            <v>14.3</v>
          </cell>
          <cell r="J43">
            <v>14.3</v>
          </cell>
          <cell r="L43">
            <v>0</v>
          </cell>
        </row>
        <row r="44">
          <cell r="A44" t="str">
            <v>NST</v>
          </cell>
          <cell r="B44" t="str">
            <v>@T6I</v>
          </cell>
          <cell r="C44" t="str">
            <v>NORTHERN STAR RE</v>
          </cell>
          <cell r="D44">
            <v>20141218</v>
          </cell>
          <cell r="E44" t="str">
            <v>EPS</v>
          </cell>
          <cell r="F44" t="str">
            <v>LTG</v>
          </cell>
          <cell r="G44">
            <v>0</v>
          </cell>
          <cell r="H44">
            <v>1</v>
          </cell>
          <cell r="I44">
            <v>39</v>
          </cell>
          <cell r="J44">
            <v>39</v>
          </cell>
          <cell r="L44">
            <v>0</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RDS"/>
    </sheetNames>
    <sheetDataSet>
      <sheetData sheetId="0">
        <row r="1">
          <cell r="B1" t="str">
            <v>Official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Forecast Period End Date (SAS Format)</v>
          </cell>
          <cell r="M1" t="str">
            <v>Actual Value, from the Detail Actuals File</v>
          </cell>
          <cell r="N1" t="str">
            <v>Announce date of the Actual, from the Detail Actuals File</v>
          </cell>
        </row>
        <row r="2">
          <cell r="B2" t="str">
            <v>CPK</v>
          </cell>
          <cell r="C2" t="str">
            <v>CHESAPEAKE US</v>
          </cell>
          <cell r="D2">
            <v>20181220</v>
          </cell>
          <cell r="E2" t="str">
            <v>EPS</v>
          </cell>
          <cell r="F2" t="str">
            <v>ANN</v>
          </cell>
          <cell r="G2">
            <v>1</v>
          </cell>
          <cell r="H2">
            <v>4</v>
          </cell>
          <cell r="I2">
            <v>3.42</v>
          </cell>
          <cell r="J2">
            <v>3.42</v>
          </cell>
          <cell r="K2">
            <v>0.04</v>
          </cell>
          <cell r="L2">
            <v>20181231</v>
          </cell>
          <cell r="M2">
            <v>3.31</v>
          </cell>
          <cell r="N2">
            <v>20190226</v>
          </cell>
        </row>
        <row r="3">
          <cell r="B3" t="str">
            <v>ATO</v>
          </cell>
          <cell r="C3" t="str">
            <v>ATMOS ENERGY CP</v>
          </cell>
          <cell r="D3">
            <v>20181220</v>
          </cell>
          <cell r="E3" t="str">
            <v>EPS</v>
          </cell>
          <cell r="F3" t="str">
            <v>ANN</v>
          </cell>
          <cell r="G3">
            <v>1</v>
          </cell>
          <cell r="H3">
            <v>7</v>
          </cell>
          <cell r="I3">
            <v>4.28</v>
          </cell>
          <cell r="J3">
            <v>4.28</v>
          </cell>
          <cell r="K3">
            <v>0.03</v>
          </cell>
          <cell r="L3">
            <v>20190930</v>
          </cell>
          <cell r="M3">
            <v>4.3499999999999996</v>
          </cell>
          <cell r="N3">
            <v>20191106</v>
          </cell>
        </row>
        <row r="4">
          <cell r="B4" t="str">
            <v>SR</v>
          </cell>
          <cell r="C4" t="str">
            <v>SPIRE INC</v>
          </cell>
          <cell r="D4">
            <v>20181220</v>
          </cell>
          <cell r="E4" t="str">
            <v>EPS</v>
          </cell>
          <cell r="F4" t="str">
            <v>ANN</v>
          </cell>
          <cell r="G4">
            <v>1</v>
          </cell>
          <cell r="H4">
            <v>6</v>
          </cell>
          <cell r="I4">
            <v>3.73</v>
          </cell>
          <cell r="J4">
            <v>3.72</v>
          </cell>
          <cell r="K4">
            <v>0.05</v>
          </cell>
          <cell r="L4">
            <v>20190930</v>
          </cell>
          <cell r="M4">
            <v>3.73</v>
          </cell>
          <cell r="N4">
            <v>20191125</v>
          </cell>
        </row>
        <row r="5">
          <cell r="B5" t="str">
            <v>NI</v>
          </cell>
          <cell r="C5" t="str">
            <v>NISOURCE</v>
          </cell>
          <cell r="D5">
            <v>20181220</v>
          </cell>
          <cell r="E5" t="str">
            <v>EPS</v>
          </cell>
          <cell r="F5" t="str">
            <v>ANN</v>
          </cell>
          <cell r="G5">
            <v>1</v>
          </cell>
          <cell r="H5">
            <v>15</v>
          </cell>
          <cell r="I5">
            <v>1.29</v>
          </cell>
          <cell r="J5">
            <v>1.28</v>
          </cell>
          <cell r="K5">
            <v>0.02</v>
          </cell>
          <cell r="L5">
            <v>20181231</v>
          </cell>
          <cell r="M5">
            <v>1.3</v>
          </cell>
          <cell r="N5">
            <v>20190220</v>
          </cell>
        </row>
        <row r="6">
          <cell r="B6" t="str">
            <v>NJR</v>
          </cell>
          <cell r="C6" t="str">
            <v>NEW JERSEY RES</v>
          </cell>
          <cell r="D6">
            <v>20181220</v>
          </cell>
          <cell r="E6" t="str">
            <v>EPS</v>
          </cell>
          <cell r="F6" t="str">
            <v>ANN</v>
          </cell>
          <cell r="G6">
            <v>1</v>
          </cell>
          <cell r="H6">
            <v>7</v>
          </cell>
          <cell r="I6">
            <v>2</v>
          </cell>
          <cell r="J6">
            <v>2.0099999999999998</v>
          </cell>
          <cell r="K6">
            <v>0.06</v>
          </cell>
          <cell r="L6">
            <v>20190930</v>
          </cell>
          <cell r="M6">
            <v>1.96</v>
          </cell>
          <cell r="N6">
            <v>20191119</v>
          </cell>
        </row>
        <row r="7">
          <cell r="B7" t="str">
            <v>NWN</v>
          </cell>
          <cell r="C7" t="str">
            <v>NORTHWEST NATRL</v>
          </cell>
          <cell r="D7">
            <v>20181220</v>
          </cell>
          <cell r="E7" t="str">
            <v>EPS</v>
          </cell>
          <cell r="F7" t="str">
            <v>ANN</v>
          </cell>
          <cell r="G7">
            <v>1</v>
          </cell>
          <cell r="H7">
            <v>5</v>
          </cell>
          <cell r="I7">
            <v>2.2000000000000002</v>
          </cell>
          <cell r="J7">
            <v>2.21</v>
          </cell>
          <cell r="K7">
            <v>0.04</v>
          </cell>
          <cell r="L7">
            <v>20181231</v>
          </cell>
          <cell r="M7">
            <v>2.2400000000000002</v>
          </cell>
          <cell r="N7">
            <v>20190301</v>
          </cell>
        </row>
        <row r="8">
          <cell r="B8" t="str">
            <v>OGS</v>
          </cell>
          <cell r="C8" t="str">
            <v>ONE GAS INC</v>
          </cell>
          <cell r="D8">
            <v>20181220</v>
          </cell>
          <cell r="E8" t="str">
            <v>EPS</v>
          </cell>
          <cell r="F8" t="str">
            <v>ANN</v>
          </cell>
          <cell r="G8">
            <v>1</v>
          </cell>
          <cell r="H8">
            <v>6</v>
          </cell>
          <cell r="I8">
            <v>3.27</v>
          </cell>
          <cell r="J8">
            <v>3.28</v>
          </cell>
          <cell r="K8">
            <v>0.03</v>
          </cell>
          <cell r="L8">
            <v>20181231</v>
          </cell>
          <cell r="M8">
            <v>3.25</v>
          </cell>
          <cell r="N8">
            <v>20190220</v>
          </cell>
        </row>
        <row r="9">
          <cell r="B9" t="str">
            <v>SJI</v>
          </cell>
          <cell r="C9" t="str">
            <v>SO JERSEY INDS</v>
          </cell>
          <cell r="D9">
            <v>20181220</v>
          </cell>
          <cell r="E9" t="str">
            <v>EPS</v>
          </cell>
          <cell r="F9" t="str">
            <v>ANN</v>
          </cell>
          <cell r="G9">
            <v>1</v>
          </cell>
          <cell r="H9">
            <v>4</v>
          </cell>
          <cell r="I9">
            <v>1.38</v>
          </cell>
          <cell r="J9">
            <v>1.44</v>
          </cell>
          <cell r="K9">
            <v>0.12</v>
          </cell>
          <cell r="L9">
            <v>20181231</v>
          </cell>
          <cell r="M9">
            <v>1.38</v>
          </cell>
          <cell r="N9">
            <v>20190227</v>
          </cell>
        </row>
        <row r="10">
          <cell r="B10" t="str">
            <v>SWX</v>
          </cell>
          <cell r="C10" t="str">
            <v>SOUTHWEST HOLDG</v>
          </cell>
          <cell r="D10">
            <v>20181220</v>
          </cell>
          <cell r="E10" t="str">
            <v>EPS</v>
          </cell>
          <cell r="F10" t="str">
            <v>ANN</v>
          </cell>
          <cell r="G10">
            <v>1</v>
          </cell>
          <cell r="H10">
            <v>7</v>
          </cell>
          <cell r="I10">
            <v>3.79</v>
          </cell>
          <cell r="J10">
            <v>3.81</v>
          </cell>
          <cell r="K10">
            <v>7.0000000000000007E-2</v>
          </cell>
          <cell r="L10">
            <v>20181231</v>
          </cell>
          <cell r="M10">
            <v>3.68</v>
          </cell>
          <cell r="N10">
            <v>20190227</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RDS"/>
    </sheetNames>
    <sheetDataSet>
      <sheetData sheetId="0">
        <row r="1">
          <cell r="B1" t="str">
            <v>Official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Forecast Period End Date (SAS Format)</v>
          </cell>
          <cell r="M1" t="str">
            <v>Actual Value, from the Detail Actuals File</v>
          </cell>
          <cell r="N1" t="str">
            <v>Announce date of the Actual, from the Detail Actuals File</v>
          </cell>
        </row>
        <row r="2">
          <cell r="B2" t="str">
            <v>GAS</v>
          </cell>
          <cell r="C2" t="str">
            <v>AGL RESOURCES</v>
          </cell>
          <cell r="D2">
            <v>20141218</v>
          </cell>
          <cell r="E2" t="str">
            <v>EPS</v>
          </cell>
          <cell r="F2" t="str">
            <v>ANN</v>
          </cell>
          <cell r="G2">
            <v>1</v>
          </cell>
          <cell r="H2">
            <v>5</v>
          </cell>
          <cell r="I2">
            <v>4.26</v>
          </cell>
          <cell r="J2">
            <v>4.3</v>
          </cell>
          <cell r="K2">
            <v>0.23</v>
          </cell>
          <cell r="L2">
            <v>20141231</v>
          </cell>
          <cell r="M2">
            <v>4.71</v>
          </cell>
          <cell r="N2">
            <v>20150211</v>
          </cell>
        </row>
        <row r="3">
          <cell r="B3" t="str">
            <v>CPK</v>
          </cell>
          <cell r="C3" t="str">
            <v>CHESAPEAKE UTIL</v>
          </cell>
          <cell r="D3">
            <v>20141218</v>
          </cell>
          <cell r="E3" t="str">
            <v>EPS</v>
          </cell>
          <cell r="F3" t="str">
            <v>ANN</v>
          </cell>
          <cell r="G3">
            <v>1</v>
          </cell>
          <cell r="H3">
            <v>3</v>
          </cell>
          <cell r="I3">
            <v>2.5099999999999998</v>
          </cell>
          <cell r="J3">
            <v>2.57</v>
          </cell>
          <cell r="K3">
            <v>0.15</v>
          </cell>
          <cell r="L3">
            <v>20141231</v>
          </cell>
          <cell r="M3">
            <v>2.75</v>
          </cell>
          <cell r="N3">
            <v>20150305</v>
          </cell>
        </row>
        <row r="4">
          <cell r="B4" t="str">
            <v>ATO</v>
          </cell>
          <cell r="C4" t="str">
            <v>ATMOS ENERGY CP</v>
          </cell>
          <cell r="D4">
            <v>20141218</v>
          </cell>
          <cell r="E4" t="str">
            <v>EPS</v>
          </cell>
          <cell r="F4" t="str">
            <v>ANN</v>
          </cell>
          <cell r="G4">
            <v>1</v>
          </cell>
          <cell r="H4">
            <v>8</v>
          </cell>
          <cell r="I4">
            <v>2.97</v>
          </cell>
          <cell r="J4">
            <v>2.98</v>
          </cell>
          <cell r="K4">
            <v>0.03</v>
          </cell>
          <cell r="L4">
            <v>20150930</v>
          </cell>
          <cell r="M4">
            <v>3.1</v>
          </cell>
          <cell r="N4">
            <v>20151104</v>
          </cell>
        </row>
        <row r="5">
          <cell r="B5" t="str">
            <v>LG</v>
          </cell>
          <cell r="C5" t="str">
            <v>LACLEDE GROUP</v>
          </cell>
          <cell r="D5">
            <v>20141218</v>
          </cell>
          <cell r="E5" t="str">
            <v>EPS</v>
          </cell>
          <cell r="F5" t="str">
            <v>ANN</v>
          </cell>
          <cell r="G5">
            <v>1</v>
          </cell>
          <cell r="H5">
            <v>9</v>
          </cell>
          <cell r="I5">
            <v>3.15</v>
          </cell>
          <cell r="J5">
            <v>3.17</v>
          </cell>
          <cell r="K5">
            <v>0.06</v>
          </cell>
          <cell r="L5">
            <v>20150930</v>
          </cell>
          <cell r="M5">
            <v>3.19</v>
          </cell>
          <cell r="N5">
            <v>20151124</v>
          </cell>
        </row>
        <row r="6">
          <cell r="B6" t="str">
            <v>NI</v>
          </cell>
          <cell r="C6" t="str">
            <v>NISOURCE INC</v>
          </cell>
          <cell r="D6">
            <v>20141218</v>
          </cell>
          <cell r="E6" t="str">
            <v>EPS</v>
          </cell>
          <cell r="F6" t="str">
            <v>ANN</v>
          </cell>
          <cell r="G6">
            <v>1</v>
          </cell>
          <cell r="H6">
            <v>7</v>
          </cell>
          <cell r="I6">
            <v>1.7</v>
          </cell>
          <cell r="J6">
            <v>1.71</v>
          </cell>
          <cell r="K6">
            <v>0.03</v>
          </cell>
          <cell r="L6">
            <v>20141231</v>
          </cell>
          <cell r="M6">
            <v>1.72</v>
          </cell>
          <cell r="N6">
            <v>20150218</v>
          </cell>
        </row>
        <row r="7">
          <cell r="B7" t="str">
            <v>NJR</v>
          </cell>
          <cell r="C7" t="str">
            <v>NEW JERSEY RES</v>
          </cell>
          <cell r="D7">
            <v>20141218</v>
          </cell>
          <cell r="E7" t="str">
            <v>EPS</v>
          </cell>
          <cell r="F7" t="str">
            <v>ANN</v>
          </cell>
          <cell r="G7">
            <v>1</v>
          </cell>
          <cell r="H7">
            <v>4</v>
          </cell>
          <cell r="I7">
            <v>1.52</v>
          </cell>
          <cell r="J7">
            <v>1.53</v>
          </cell>
          <cell r="K7">
            <v>0.02</v>
          </cell>
          <cell r="L7">
            <v>20150930</v>
          </cell>
          <cell r="M7">
            <v>1.76</v>
          </cell>
          <cell r="N7">
            <v>20151124</v>
          </cell>
        </row>
        <row r="8">
          <cell r="B8" t="str">
            <v>NWN</v>
          </cell>
          <cell r="C8" t="str">
            <v>NW NATURAL GAS</v>
          </cell>
          <cell r="D8">
            <v>20141218</v>
          </cell>
          <cell r="E8" t="str">
            <v>EPS</v>
          </cell>
          <cell r="F8" t="str">
            <v>ANN</v>
          </cell>
          <cell r="G8">
            <v>1</v>
          </cell>
          <cell r="H8">
            <v>4</v>
          </cell>
          <cell r="I8">
            <v>2.23</v>
          </cell>
          <cell r="J8">
            <v>2.2400000000000002</v>
          </cell>
          <cell r="K8">
            <v>0.04</v>
          </cell>
          <cell r="L8">
            <v>20141231</v>
          </cell>
          <cell r="M8">
            <v>2.16</v>
          </cell>
          <cell r="N8">
            <v>20150227</v>
          </cell>
        </row>
        <row r="9">
          <cell r="B9" t="str">
            <v>OGS</v>
          </cell>
          <cell r="C9" t="str">
            <v>ONE GAS INC</v>
          </cell>
          <cell r="D9">
            <v>20141218</v>
          </cell>
          <cell r="E9" t="str">
            <v>EPS</v>
          </cell>
          <cell r="F9" t="str">
            <v>ANN</v>
          </cell>
          <cell r="G9">
            <v>1</v>
          </cell>
          <cell r="H9">
            <v>5</v>
          </cell>
          <cell r="I9">
            <v>2.0499999999999998</v>
          </cell>
          <cell r="J9">
            <v>2.0299999999999998</v>
          </cell>
          <cell r="K9">
            <v>0.04</v>
          </cell>
          <cell r="L9">
            <v>20141231</v>
          </cell>
          <cell r="M9">
            <v>2.0699999999999998</v>
          </cell>
          <cell r="N9">
            <v>20150218</v>
          </cell>
        </row>
        <row r="10">
          <cell r="B10" t="str">
            <v>PNY</v>
          </cell>
          <cell r="C10" t="str">
            <v>PIEDMONT NAT GAS</v>
          </cell>
          <cell r="D10">
            <v>20141218</v>
          </cell>
          <cell r="E10" t="str">
            <v>EPS</v>
          </cell>
          <cell r="F10" t="str">
            <v>ANN</v>
          </cell>
          <cell r="G10">
            <v>1</v>
          </cell>
          <cell r="H10">
            <v>8</v>
          </cell>
          <cell r="I10">
            <v>1.9</v>
          </cell>
          <cell r="J10">
            <v>1.9</v>
          </cell>
          <cell r="K10">
            <v>0.02</v>
          </cell>
          <cell r="L10">
            <v>20141031</v>
          </cell>
          <cell r="M10">
            <v>1.84</v>
          </cell>
          <cell r="N10">
            <v>20141223</v>
          </cell>
        </row>
        <row r="11">
          <cell r="B11" t="str">
            <v>SJI</v>
          </cell>
          <cell r="C11" t="str">
            <v>SO JERSEY INDS</v>
          </cell>
          <cell r="D11">
            <v>20141218</v>
          </cell>
          <cell r="E11" t="str">
            <v>EPS</v>
          </cell>
          <cell r="F11" t="str">
            <v>ANN</v>
          </cell>
          <cell r="G11">
            <v>1</v>
          </cell>
          <cell r="H11">
            <v>3</v>
          </cell>
          <cell r="I11">
            <v>1.68</v>
          </cell>
          <cell r="J11">
            <v>1.67</v>
          </cell>
          <cell r="K11">
            <v>0.04</v>
          </cell>
          <cell r="L11">
            <v>20141231</v>
          </cell>
          <cell r="M11">
            <v>1.5649999999999999</v>
          </cell>
          <cell r="N11">
            <v>20150227</v>
          </cell>
        </row>
        <row r="12">
          <cell r="B12" t="str">
            <v>SWX</v>
          </cell>
          <cell r="C12" t="str">
            <v>SOUTHWEST GAS</v>
          </cell>
          <cell r="D12">
            <v>20141218</v>
          </cell>
          <cell r="E12" t="str">
            <v>EPS</v>
          </cell>
          <cell r="F12" t="str">
            <v>ANN</v>
          </cell>
          <cell r="G12">
            <v>1</v>
          </cell>
          <cell r="H12">
            <v>3</v>
          </cell>
          <cell r="I12">
            <v>2.9</v>
          </cell>
          <cell r="J12">
            <v>2.91</v>
          </cell>
          <cell r="K12">
            <v>0.01</v>
          </cell>
          <cell r="L12">
            <v>20141231</v>
          </cell>
          <cell r="M12">
            <v>2.9</v>
          </cell>
          <cell r="N12">
            <v>20150225</v>
          </cell>
        </row>
        <row r="13">
          <cell r="B13" t="str">
            <v>WGL</v>
          </cell>
          <cell r="C13" t="str">
            <v>WGL HOLDING INC</v>
          </cell>
          <cell r="D13">
            <v>20141218</v>
          </cell>
          <cell r="E13" t="str">
            <v>EPS</v>
          </cell>
          <cell r="F13" t="str">
            <v>ANN</v>
          </cell>
          <cell r="G13">
            <v>1</v>
          </cell>
          <cell r="H13">
            <v>4</v>
          </cell>
          <cell r="I13">
            <v>2.77</v>
          </cell>
          <cell r="J13">
            <v>2.75</v>
          </cell>
          <cell r="K13">
            <v>0.11</v>
          </cell>
          <cell r="L13">
            <v>20150930</v>
          </cell>
          <cell r="M13">
            <v>3.16</v>
          </cell>
          <cell r="N13">
            <v>20151113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ljczmfzbk41mbxj"/>
    </sheetNames>
    <sheetDataSet>
      <sheetData sheetId="0">
        <row r="2">
          <cell r="B2" t="str">
            <v>PNW</v>
          </cell>
          <cell r="C2" t="str">
            <v>PINNACLE WEST</v>
          </cell>
          <cell r="D2">
            <v>42719</v>
          </cell>
          <cell r="E2" t="str">
            <v>EPS</v>
          </cell>
          <cell r="F2" t="str">
            <v>LTG</v>
          </cell>
          <cell r="G2" t="str">
            <v>0</v>
          </cell>
          <cell r="H2">
            <v>3</v>
          </cell>
          <cell r="I2">
            <v>4.2</v>
          </cell>
          <cell r="J2">
            <v>4.3</v>
          </cell>
          <cell r="K2">
            <v>0.36</v>
          </cell>
        </row>
        <row r="3">
          <cell r="B3" t="str">
            <v>BKH</v>
          </cell>
          <cell r="C3" t="str">
            <v>BLACK HILLS CP</v>
          </cell>
          <cell r="D3">
            <v>42719</v>
          </cell>
          <cell r="E3" t="str">
            <v>EPS</v>
          </cell>
          <cell r="F3" t="str">
            <v>LTG</v>
          </cell>
          <cell r="G3" t="str">
            <v>0</v>
          </cell>
          <cell r="H3">
            <v>1</v>
          </cell>
          <cell r="I3">
            <v>7</v>
          </cell>
          <cell r="J3">
            <v>7</v>
          </cell>
        </row>
        <row r="4">
          <cell r="B4" t="str">
            <v>CMS</v>
          </cell>
          <cell r="C4" t="str">
            <v>CMS ENERGY</v>
          </cell>
          <cell r="D4">
            <v>42719</v>
          </cell>
          <cell r="E4" t="str">
            <v>EPS</v>
          </cell>
          <cell r="F4" t="str">
            <v>LTG</v>
          </cell>
          <cell r="G4" t="str">
            <v>0</v>
          </cell>
          <cell r="H4">
            <v>2</v>
          </cell>
          <cell r="I4">
            <v>7.26</v>
          </cell>
          <cell r="J4">
            <v>7.26</v>
          </cell>
          <cell r="K4">
            <v>0.37</v>
          </cell>
        </row>
        <row r="5">
          <cell r="B5" t="str">
            <v>D</v>
          </cell>
          <cell r="C5" t="str">
            <v>DOMINION RESOURC</v>
          </cell>
          <cell r="D5">
            <v>42719</v>
          </cell>
          <cell r="E5" t="str">
            <v>EPS</v>
          </cell>
          <cell r="F5" t="str">
            <v>LTG</v>
          </cell>
          <cell r="G5" t="str">
            <v>0</v>
          </cell>
          <cell r="H5">
            <v>4</v>
          </cell>
          <cell r="I5">
            <v>6.22</v>
          </cell>
          <cell r="J5">
            <v>6.16</v>
          </cell>
          <cell r="K5">
            <v>0.92</v>
          </cell>
        </row>
        <row r="6">
          <cell r="B6" t="str">
            <v>DTE</v>
          </cell>
          <cell r="C6" t="str">
            <v>DTE ENERGY</v>
          </cell>
          <cell r="D6">
            <v>42719</v>
          </cell>
          <cell r="E6" t="str">
            <v>EPS</v>
          </cell>
          <cell r="F6" t="str">
            <v>LTG</v>
          </cell>
          <cell r="G6" t="str">
            <v>0</v>
          </cell>
          <cell r="H6">
            <v>3</v>
          </cell>
          <cell r="I6">
            <v>5</v>
          </cell>
          <cell r="J6">
            <v>5.3</v>
          </cell>
          <cell r="K6">
            <v>0.7</v>
          </cell>
        </row>
        <row r="7">
          <cell r="B7" t="str">
            <v>DUK</v>
          </cell>
          <cell r="C7" t="str">
            <v>DUKE ENERGY</v>
          </cell>
          <cell r="D7">
            <v>42719</v>
          </cell>
          <cell r="E7" t="str">
            <v>EPS</v>
          </cell>
          <cell r="F7" t="str">
            <v>LTG</v>
          </cell>
          <cell r="G7" t="str">
            <v>0</v>
          </cell>
          <cell r="H7">
            <v>3</v>
          </cell>
          <cell r="I7">
            <v>4</v>
          </cell>
          <cell r="J7">
            <v>3.93</v>
          </cell>
          <cell r="K7">
            <v>2.2000000000000002</v>
          </cell>
        </row>
        <row r="8">
          <cell r="B8" t="str">
            <v>ED</v>
          </cell>
          <cell r="C8" t="str">
            <v>CONSOLIDATED EDI</v>
          </cell>
          <cell r="D8">
            <v>42719</v>
          </cell>
          <cell r="E8" t="str">
            <v>EPS</v>
          </cell>
          <cell r="F8" t="str">
            <v>LTG</v>
          </cell>
          <cell r="G8" t="str">
            <v>0</v>
          </cell>
          <cell r="H8">
            <v>3</v>
          </cell>
          <cell r="I8">
            <v>2.1</v>
          </cell>
          <cell r="J8">
            <v>2.12</v>
          </cell>
          <cell r="K8">
            <v>0.13</v>
          </cell>
        </row>
        <row r="9">
          <cell r="B9" t="str">
            <v>NEE</v>
          </cell>
          <cell r="C9" t="str">
            <v>NEXTERA</v>
          </cell>
          <cell r="D9">
            <v>42719</v>
          </cell>
          <cell r="E9" t="str">
            <v>EPS</v>
          </cell>
          <cell r="F9" t="str">
            <v>LTG</v>
          </cell>
          <cell r="G9" t="str">
            <v>0</v>
          </cell>
          <cell r="H9">
            <v>4</v>
          </cell>
          <cell r="I9">
            <v>7.01</v>
          </cell>
          <cell r="J9">
            <v>6.98</v>
          </cell>
          <cell r="K9">
            <v>0.21</v>
          </cell>
        </row>
        <row r="10">
          <cell r="B10" t="str">
            <v>HE</v>
          </cell>
          <cell r="C10" t="str">
            <v>HAWAIIAN ELEC</v>
          </cell>
          <cell r="D10">
            <v>42719</v>
          </cell>
          <cell r="E10" t="str">
            <v>EPS</v>
          </cell>
          <cell r="F10" t="str">
            <v>LTG</v>
          </cell>
          <cell r="G10" t="str">
            <v>0</v>
          </cell>
          <cell r="H10">
            <v>2</v>
          </cell>
          <cell r="I10">
            <v>2.75</v>
          </cell>
          <cell r="J10">
            <v>2.75</v>
          </cell>
          <cell r="K10">
            <v>1.77</v>
          </cell>
        </row>
        <row r="11">
          <cell r="B11" t="str">
            <v>CNP</v>
          </cell>
          <cell r="C11" t="str">
            <v>CENTERPNT ENERGY</v>
          </cell>
          <cell r="D11">
            <v>42719</v>
          </cell>
          <cell r="E11" t="str">
            <v>EPS</v>
          </cell>
          <cell r="F11" t="str">
            <v>LTG</v>
          </cell>
          <cell r="G11" t="str">
            <v>0</v>
          </cell>
          <cell r="H11">
            <v>4</v>
          </cell>
          <cell r="I11">
            <v>6.09</v>
          </cell>
          <cell r="J11">
            <v>6.07</v>
          </cell>
          <cell r="K11">
            <v>0.95</v>
          </cell>
        </row>
        <row r="12">
          <cell r="B12" t="str">
            <v>IDA</v>
          </cell>
          <cell r="C12" t="str">
            <v>IDACORP INC.</v>
          </cell>
          <cell r="D12">
            <v>42719</v>
          </cell>
          <cell r="E12" t="str">
            <v>EPS</v>
          </cell>
          <cell r="F12" t="str">
            <v>LTG</v>
          </cell>
          <cell r="G12" t="str">
            <v>0</v>
          </cell>
          <cell r="H12">
            <v>2</v>
          </cell>
          <cell r="I12">
            <v>4.0999999999999996</v>
          </cell>
          <cell r="J12">
            <v>4.0999999999999996</v>
          </cell>
          <cell r="K12">
            <v>0.14000000000000001</v>
          </cell>
        </row>
        <row r="13">
          <cell r="B13" t="str">
            <v>ALE</v>
          </cell>
          <cell r="C13" t="str">
            <v>ALLETE INC</v>
          </cell>
          <cell r="D13">
            <v>42719</v>
          </cell>
          <cell r="E13" t="str">
            <v>EPS</v>
          </cell>
          <cell r="F13" t="str">
            <v>LTG</v>
          </cell>
          <cell r="G13" t="str">
            <v>0</v>
          </cell>
          <cell r="H13">
            <v>1</v>
          </cell>
          <cell r="I13">
            <v>5</v>
          </cell>
          <cell r="J13">
            <v>5</v>
          </cell>
        </row>
        <row r="14">
          <cell r="B14" t="str">
            <v>ETR</v>
          </cell>
          <cell r="C14" t="str">
            <v>ENTERGY</v>
          </cell>
          <cell r="D14">
            <v>42719</v>
          </cell>
          <cell r="E14" t="str">
            <v>EPS</v>
          </cell>
          <cell r="F14" t="str">
            <v>LTG</v>
          </cell>
          <cell r="G14" t="str">
            <v>0</v>
          </cell>
          <cell r="H14">
            <v>2</v>
          </cell>
          <cell r="I14">
            <v>-8.34</v>
          </cell>
          <cell r="J14">
            <v>-8.34</v>
          </cell>
          <cell r="K14">
            <v>0.19</v>
          </cell>
        </row>
        <row r="15">
          <cell r="B15" t="str">
            <v>XEL</v>
          </cell>
          <cell r="C15" t="str">
            <v>XCEL ENERGY</v>
          </cell>
          <cell r="D15">
            <v>42719</v>
          </cell>
          <cell r="E15" t="str">
            <v>EPS</v>
          </cell>
          <cell r="F15" t="str">
            <v>LTG</v>
          </cell>
          <cell r="G15" t="str">
            <v>0</v>
          </cell>
          <cell r="H15">
            <v>3</v>
          </cell>
          <cell r="I15">
            <v>5.5</v>
          </cell>
          <cell r="J15">
            <v>5.65</v>
          </cell>
          <cell r="K15">
            <v>0.31</v>
          </cell>
        </row>
        <row r="16">
          <cell r="B16" t="str">
            <v>NWE</v>
          </cell>
          <cell r="C16" t="str">
            <v>NORTHWESTERN US</v>
          </cell>
          <cell r="D16">
            <v>42719</v>
          </cell>
          <cell r="E16" t="str">
            <v>EPS</v>
          </cell>
          <cell r="F16" t="str">
            <v>LTG</v>
          </cell>
          <cell r="G16" t="str">
            <v>0</v>
          </cell>
          <cell r="H16">
            <v>2</v>
          </cell>
          <cell r="I16">
            <v>4.5</v>
          </cell>
          <cell r="J16">
            <v>4.5</v>
          </cell>
          <cell r="K16">
            <v>0.71</v>
          </cell>
        </row>
        <row r="17">
          <cell r="B17" t="str">
            <v>FE</v>
          </cell>
          <cell r="C17" t="str">
            <v>FIRSTENERGY</v>
          </cell>
          <cell r="D17">
            <v>42719</v>
          </cell>
          <cell r="E17" t="str">
            <v>EPS</v>
          </cell>
          <cell r="F17" t="str">
            <v>LTG</v>
          </cell>
          <cell r="G17" t="str">
            <v>0</v>
          </cell>
          <cell r="H17">
            <v>4</v>
          </cell>
          <cell r="I17">
            <v>-4.6100000000000003</v>
          </cell>
          <cell r="J17">
            <v>-4.46</v>
          </cell>
          <cell r="K17">
            <v>1.97</v>
          </cell>
        </row>
        <row r="18">
          <cell r="B18" t="str">
            <v>OGE</v>
          </cell>
          <cell r="C18" t="str">
            <v>OGE ENERGY CORP</v>
          </cell>
          <cell r="D18">
            <v>42719</v>
          </cell>
          <cell r="E18" t="str">
            <v>EPS</v>
          </cell>
          <cell r="F18" t="str">
            <v>LTG</v>
          </cell>
          <cell r="G18" t="str">
            <v>0</v>
          </cell>
          <cell r="H18">
            <v>1</v>
          </cell>
          <cell r="I18">
            <v>4</v>
          </cell>
          <cell r="J18">
            <v>4</v>
          </cell>
        </row>
        <row r="19">
          <cell r="B19" t="str">
            <v>PCG</v>
          </cell>
          <cell r="C19" t="str">
            <v>PG&amp;E US</v>
          </cell>
          <cell r="D19">
            <v>42719</v>
          </cell>
          <cell r="E19" t="str">
            <v>EPS</v>
          </cell>
          <cell r="F19" t="str">
            <v>LTG</v>
          </cell>
          <cell r="G19" t="str">
            <v>0</v>
          </cell>
          <cell r="H19">
            <v>6</v>
          </cell>
          <cell r="I19">
            <v>6.75</v>
          </cell>
          <cell r="J19">
            <v>5.84</v>
          </cell>
          <cell r="K19">
            <v>2.37</v>
          </cell>
        </row>
        <row r="20">
          <cell r="B20" t="str">
            <v>EXC</v>
          </cell>
          <cell r="C20" t="str">
            <v>EXELON</v>
          </cell>
          <cell r="D20">
            <v>42719</v>
          </cell>
          <cell r="E20" t="str">
            <v>EPS</v>
          </cell>
          <cell r="F20" t="str">
            <v>LTG</v>
          </cell>
          <cell r="G20" t="str">
            <v>0</v>
          </cell>
          <cell r="H20">
            <v>2</v>
          </cell>
          <cell r="I20">
            <v>1.57</v>
          </cell>
          <cell r="J20">
            <v>1.57</v>
          </cell>
          <cell r="K20">
            <v>1.51</v>
          </cell>
        </row>
        <row r="21">
          <cell r="B21" t="str">
            <v>PEG</v>
          </cell>
          <cell r="C21" t="str">
            <v>PSEG</v>
          </cell>
          <cell r="D21">
            <v>42719</v>
          </cell>
          <cell r="E21" t="str">
            <v>EPS</v>
          </cell>
          <cell r="F21" t="str">
            <v>LTG</v>
          </cell>
          <cell r="G21" t="str">
            <v>0</v>
          </cell>
          <cell r="H21">
            <v>2</v>
          </cell>
          <cell r="I21">
            <v>1.23</v>
          </cell>
          <cell r="J21">
            <v>1.23</v>
          </cell>
          <cell r="K21">
            <v>0.6</v>
          </cell>
        </row>
        <row r="22">
          <cell r="B22" t="str">
            <v>PNM</v>
          </cell>
          <cell r="C22" t="str">
            <v>PNM RESOURCES</v>
          </cell>
          <cell r="D22">
            <v>42719</v>
          </cell>
          <cell r="E22" t="str">
            <v>EPS</v>
          </cell>
          <cell r="F22" t="str">
            <v>LTG</v>
          </cell>
          <cell r="G22" t="str">
            <v>0</v>
          </cell>
          <cell r="H22">
            <v>2</v>
          </cell>
          <cell r="I22">
            <v>6.85</v>
          </cell>
          <cell r="J22">
            <v>6.85</v>
          </cell>
          <cell r="K22">
            <v>0.78</v>
          </cell>
        </row>
        <row r="23">
          <cell r="B23" t="str">
            <v>POR</v>
          </cell>
          <cell r="C23" t="str">
            <v>PORTLAND GENERAL</v>
          </cell>
          <cell r="D23">
            <v>42719</v>
          </cell>
          <cell r="E23" t="str">
            <v>EPS</v>
          </cell>
          <cell r="F23" t="str">
            <v>LTG</v>
          </cell>
          <cell r="G23" t="str">
            <v>0</v>
          </cell>
          <cell r="H23">
            <v>3</v>
          </cell>
          <cell r="I23">
            <v>7</v>
          </cell>
          <cell r="J23">
            <v>6.67</v>
          </cell>
          <cell r="K23">
            <v>0.57999999999999996</v>
          </cell>
        </row>
        <row r="24">
          <cell r="B24" t="str">
            <v>PPL</v>
          </cell>
          <cell r="C24" t="str">
            <v>PPL</v>
          </cell>
          <cell r="D24">
            <v>42719</v>
          </cell>
          <cell r="E24" t="str">
            <v>EPS</v>
          </cell>
          <cell r="F24" t="str">
            <v>LTG</v>
          </cell>
          <cell r="G24" t="str">
            <v>0</v>
          </cell>
          <cell r="H24">
            <v>3</v>
          </cell>
          <cell r="I24">
            <v>2.2999999999999998</v>
          </cell>
          <cell r="J24">
            <v>2.44</v>
          </cell>
          <cell r="K24">
            <v>2.5</v>
          </cell>
        </row>
        <row r="25">
          <cell r="B25" t="str">
            <v>EIX</v>
          </cell>
          <cell r="C25" t="str">
            <v>EDISON INTL</v>
          </cell>
          <cell r="D25">
            <v>42719</v>
          </cell>
          <cell r="E25" t="str">
            <v>EPS</v>
          </cell>
          <cell r="F25" t="str">
            <v>LTG</v>
          </cell>
          <cell r="G25" t="str">
            <v>0</v>
          </cell>
          <cell r="H25">
            <v>2</v>
          </cell>
          <cell r="I25">
            <v>2.06</v>
          </cell>
          <cell r="J25">
            <v>2.06</v>
          </cell>
          <cell r="K25">
            <v>0.19</v>
          </cell>
        </row>
        <row r="26">
          <cell r="B26" t="str">
            <v>SRE</v>
          </cell>
          <cell r="C26" t="str">
            <v>SEMPRA ENER</v>
          </cell>
          <cell r="D26">
            <v>42719</v>
          </cell>
          <cell r="E26" t="str">
            <v>EPS</v>
          </cell>
          <cell r="F26" t="str">
            <v>LTG</v>
          </cell>
          <cell r="G26" t="str">
            <v>0</v>
          </cell>
          <cell r="H26">
            <v>3</v>
          </cell>
          <cell r="I26">
            <v>4.2</v>
          </cell>
          <cell r="J26">
            <v>6.5</v>
          </cell>
          <cell r="K26">
            <v>4.78</v>
          </cell>
        </row>
        <row r="27">
          <cell r="B27" t="str">
            <v>SO</v>
          </cell>
          <cell r="C27" t="str">
            <v>SOUTHERN CO</v>
          </cell>
          <cell r="D27">
            <v>42719</v>
          </cell>
          <cell r="E27" t="str">
            <v>EPS</v>
          </cell>
          <cell r="F27" t="str">
            <v>LTG</v>
          </cell>
          <cell r="G27" t="str">
            <v>0</v>
          </cell>
          <cell r="H27">
            <v>4</v>
          </cell>
          <cell r="I27">
            <v>2.85</v>
          </cell>
          <cell r="J27">
            <v>3.29</v>
          </cell>
          <cell r="K27">
            <v>1.17</v>
          </cell>
        </row>
        <row r="28">
          <cell r="B28" t="str">
            <v>AEE</v>
          </cell>
          <cell r="C28" t="str">
            <v>AMEREN</v>
          </cell>
          <cell r="D28">
            <v>42719</v>
          </cell>
          <cell r="E28" t="str">
            <v>EPS</v>
          </cell>
          <cell r="F28" t="str">
            <v>LTG</v>
          </cell>
          <cell r="G28" t="str">
            <v>0</v>
          </cell>
          <cell r="H28">
            <v>2</v>
          </cell>
          <cell r="I28">
            <v>5.65</v>
          </cell>
          <cell r="J28">
            <v>5.65</v>
          </cell>
          <cell r="K28">
            <v>0.49</v>
          </cell>
        </row>
        <row r="29">
          <cell r="B29" t="str">
            <v>WEC</v>
          </cell>
          <cell r="C29" t="str">
            <v>WEC ENERGY GROUP</v>
          </cell>
          <cell r="D29">
            <v>42719</v>
          </cell>
          <cell r="E29" t="str">
            <v>EPS</v>
          </cell>
          <cell r="F29" t="str">
            <v>LTG</v>
          </cell>
          <cell r="G29" t="str">
            <v>0</v>
          </cell>
          <cell r="H29">
            <v>4</v>
          </cell>
          <cell r="I29">
            <v>7.1</v>
          </cell>
          <cell r="J29">
            <v>6.93</v>
          </cell>
          <cell r="K29">
            <v>0.73</v>
          </cell>
        </row>
        <row r="30">
          <cell r="B30" t="str">
            <v>LNT</v>
          </cell>
          <cell r="C30" t="str">
            <v>ALLIANT ENER</v>
          </cell>
          <cell r="D30">
            <v>42719</v>
          </cell>
          <cell r="E30" t="str">
            <v>EPS</v>
          </cell>
          <cell r="F30" t="str">
            <v>LTG</v>
          </cell>
          <cell r="G30" t="str">
            <v>0</v>
          </cell>
          <cell r="H30">
            <v>1</v>
          </cell>
          <cell r="I30">
            <v>6</v>
          </cell>
          <cell r="J30">
            <v>6</v>
          </cell>
        </row>
        <row r="31">
          <cell r="B31" t="str">
            <v>AVA</v>
          </cell>
          <cell r="C31" t="str">
            <v>AVISTA US</v>
          </cell>
          <cell r="D31">
            <v>42719</v>
          </cell>
          <cell r="E31" t="str">
            <v>EPS</v>
          </cell>
          <cell r="F31" t="str">
            <v>LTG</v>
          </cell>
          <cell r="G31" t="str">
            <v>0</v>
          </cell>
          <cell r="H31">
            <v>2</v>
          </cell>
          <cell r="I31">
            <v>5.65</v>
          </cell>
          <cell r="J31">
            <v>5.65</v>
          </cell>
          <cell r="K31">
            <v>0.49</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cselnbj6assu4q"/>
    </sheetNames>
    <sheetDataSet>
      <sheetData sheetId="0">
        <row r="1">
          <cell r="B1" t="str">
            <v>Official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Forecast Period End Date (SAS Format)</v>
          </cell>
          <cell r="M1" t="str">
            <v>Actual Value, from the Detail Actuals File</v>
          </cell>
          <cell r="N1" t="str">
            <v>Announce date of the Actual, from the Detail Actuals File</v>
          </cell>
        </row>
        <row r="2">
          <cell r="B2" t="str">
            <v>GAS</v>
          </cell>
          <cell r="C2" t="str">
            <v>AGL RESOURCES</v>
          </cell>
          <cell r="D2">
            <v>41991</v>
          </cell>
          <cell r="E2" t="str">
            <v>EPS</v>
          </cell>
          <cell r="F2" t="str">
            <v>LTG</v>
          </cell>
          <cell r="G2" t="str">
            <v>0</v>
          </cell>
          <cell r="H2">
            <v>2</v>
          </cell>
          <cell r="I2">
            <v>1.5</v>
          </cell>
          <cell r="J2">
            <v>1.5</v>
          </cell>
          <cell r="K2">
            <v>3.54</v>
          </cell>
        </row>
        <row r="3">
          <cell r="B3" t="str">
            <v>ATO</v>
          </cell>
          <cell r="C3" t="str">
            <v>ATMOS ENERGY CP</v>
          </cell>
          <cell r="D3">
            <v>41991</v>
          </cell>
          <cell r="E3" t="str">
            <v>EPS</v>
          </cell>
          <cell r="F3" t="str">
            <v>LTG</v>
          </cell>
          <cell r="G3" t="str">
            <v>0</v>
          </cell>
          <cell r="H3">
            <v>2</v>
          </cell>
          <cell r="I3">
            <v>7</v>
          </cell>
          <cell r="J3">
            <v>7</v>
          </cell>
          <cell r="K3">
            <v>0</v>
          </cell>
        </row>
        <row r="4">
          <cell r="B4" t="str">
            <v>LG</v>
          </cell>
          <cell r="C4" t="str">
            <v>LACLEDE GROUP</v>
          </cell>
          <cell r="D4">
            <v>41991</v>
          </cell>
          <cell r="E4" t="str">
            <v>EPS</v>
          </cell>
          <cell r="F4" t="str">
            <v>LTG</v>
          </cell>
          <cell r="G4" t="str">
            <v>0</v>
          </cell>
          <cell r="H4">
            <v>2</v>
          </cell>
          <cell r="I4">
            <v>5.35</v>
          </cell>
          <cell r="J4">
            <v>5.35</v>
          </cell>
          <cell r="K4">
            <v>0.49</v>
          </cell>
        </row>
        <row r="5">
          <cell r="B5" t="str">
            <v>NWN</v>
          </cell>
          <cell r="C5" t="str">
            <v>NW NATURAL GAS</v>
          </cell>
          <cell r="D5">
            <v>41991</v>
          </cell>
          <cell r="E5" t="str">
            <v>EPS</v>
          </cell>
          <cell r="F5" t="str">
            <v>LTG</v>
          </cell>
          <cell r="G5" t="str">
            <v>0</v>
          </cell>
          <cell r="H5">
            <v>1</v>
          </cell>
          <cell r="I5">
            <v>4</v>
          </cell>
          <cell r="J5">
            <v>4</v>
          </cell>
        </row>
        <row r="6">
          <cell r="B6" t="str">
            <v>OGS</v>
          </cell>
          <cell r="C6" t="str">
            <v>ONE GAS INC</v>
          </cell>
          <cell r="D6">
            <v>41991</v>
          </cell>
          <cell r="E6" t="str">
            <v>EPS</v>
          </cell>
          <cell r="F6" t="str">
            <v>LTG</v>
          </cell>
          <cell r="G6" t="str">
            <v>0</v>
          </cell>
          <cell r="H6">
            <v>1</v>
          </cell>
          <cell r="I6">
            <v>5</v>
          </cell>
          <cell r="J6">
            <v>5</v>
          </cell>
        </row>
        <row r="7">
          <cell r="B7" t="str">
            <v>PNY</v>
          </cell>
          <cell r="C7" t="str">
            <v>PIEDMONT NAT GAS</v>
          </cell>
          <cell r="D7">
            <v>41991</v>
          </cell>
          <cell r="E7" t="str">
            <v>EPS</v>
          </cell>
          <cell r="F7" t="str">
            <v>LTG</v>
          </cell>
          <cell r="G7" t="str">
            <v>0</v>
          </cell>
          <cell r="H7">
            <v>2</v>
          </cell>
          <cell r="I7">
            <v>5</v>
          </cell>
          <cell r="J7">
            <v>5</v>
          </cell>
          <cell r="K7">
            <v>1.41</v>
          </cell>
        </row>
        <row r="8">
          <cell r="B8" t="str">
            <v>SWX</v>
          </cell>
          <cell r="C8" t="str">
            <v>SOUTHWEST GAS</v>
          </cell>
          <cell r="D8">
            <v>41991</v>
          </cell>
          <cell r="E8" t="str">
            <v>EPS</v>
          </cell>
          <cell r="F8" t="str">
            <v>LTG</v>
          </cell>
          <cell r="G8" t="str">
            <v>0</v>
          </cell>
          <cell r="H8">
            <v>1</v>
          </cell>
          <cell r="I8">
            <v>4</v>
          </cell>
          <cell r="J8">
            <v>4</v>
          </cell>
        </row>
        <row r="9">
          <cell r="B9" t="str">
            <v>NJR</v>
          </cell>
          <cell r="C9" t="str">
            <v>NEW JERSEY RES</v>
          </cell>
          <cell r="D9">
            <v>41928</v>
          </cell>
          <cell r="E9" t="str">
            <v>EPS</v>
          </cell>
          <cell r="F9" t="str">
            <v>LTG</v>
          </cell>
          <cell r="G9" t="str">
            <v>0</v>
          </cell>
          <cell r="H9">
            <v>1</v>
          </cell>
          <cell r="I9">
            <v>3.2</v>
          </cell>
          <cell r="J9">
            <v>3.2</v>
          </cell>
          <cell r="K9"/>
        </row>
        <row r="10">
          <cell r="B10" t="str">
            <v>NI</v>
          </cell>
          <cell r="C10" t="str">
            <v>NISOURCE INC</v>
          </cell>
          <cell r="D10">
            <v>41928</v>
          </cell>
          <cell r="E10" t="str">
            <v>EPS</v>
          </cell>
          <cell r="F10" t="str">
            <v>LTG</v>
          </cell>
          <cell r="G10" t="str">
            <v>0</v>
          </cell>
          <cell r="H10">
            <v>1</v>
          </cell>
          <cell r="I10">
            <v>10.4</v>
          </cell>
          <cell r="J10">
            <v>10.4</v>
          </cell>
        </row>
        <row r="11">
          <cell r="B11" t="str">
            <v>CPK</v>
          </cell>
          <cell r="C11" t="str">
            <v>CHESAPEAKE US</v>
          </cell>
          <cell r="D11">
            <v>41928</v>
          </cell>
          <cell r="E11" t="str">
            <v>EPS</v>
          </cell>
          <cell r="F11" t="str">
            <v>LTG</v>
          </cell>
          <cell r="G11" t="str">
            <v>0</v>
          </cell>
          <cell r="H11">
            <v>1</v>
          </cell>
          <cell r="I11">
            <v>5</v>
          </cell>
          <cell r="J11">
            <v>5</v>
          </cell>
        </row>
        <row r="12">
          <cell r="B12" t="str">
            <v>SJI</v>
          </cell>
          <cell r="C12" t="str">
            <v>SO JERSEY INDS</v>
          </cell>
          <cell r="D12">
            <v>41592</v>
          </cell>
          <cell r="E12" t="str">
            <v>EPS</v>
          </cell>
          <cell r="F12" t="str">
            <v>LTG</v>
          </cell>
          <cell r="G12" t="str">
            <v>0</v>
          </cell>
          <cell r="H12">
            <v>1</v>
          </cell>
          <cell r="I12">
            <v>7</v>
          </cell>
          <cell r="J12">
            <v>7</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RDS"/>
    </sheetNames>
    <sheetDataSet>
      <sheetData sheetId="0">
        <row r="1">
          <cell r="A1" t="str">
            <v>OFTIC</v>
          </cell>
          <cell r="B1" t="str">
            <v>IBES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USFIRM=0 if from .INT file and USFIRM=1 if from .US file</v>
          </cell>
          <cell r="L1" t="str">
            <v>Forecast Period End Date (SAS Format)</v>
          </cell>
          <cell r="M1" t="str">
            <v>Actual Value, from the Detail Actuals File</v>
          </cell>
          <cell r="N1" t="str">
            <v>Announce date of the Actual, from the Detail Actuals File</v>
          </cell>
        </row>
        <row r="2">
          <cell r="A2" t="str">
            <v>PNW</v>
          </cell>
          <cell r="B2" t="str">
            <v>AZP</v>
          </cell>
          <cell r="C2" t="str">
            <v>PINNACLE WST CAP</v>
          </cell>
          <cell r="D2">
            <v>20131219</v>
          </cell>
          <cell r="E2" t="str">
            <v>EPS</v>
          </cell>
          <cell r="F2" t="str">
            <v>ANN</v>
          </cell>
          <cell r="G2">
            <v>1</v>
          </cell>
          <cell r="H2">
            <v>19</v>
          </cell>
          <cell r="I2">
            <v>3.63</v>
          </cell>
          <cell r="J2">
            <v>3.63</v>
          </cell>
          <cell r="K2">
            <v>1</v>
          </cell>
          <cell r="L2">
            <v>20131231</v>
          </cell>
          <cell r="M2">
            <v>3.66</v>
          </cell>
          <cell r="N2">
            <v>20140221</v>
          </cell>
        </row>
        <row r="3">
          <cell r="A3" t="str">
            <v>BKH</v>
          </cell>
          <cell r="B3" t="str">
            <v>BHP</v>
          </cell>
          <cell r="C3" t="str">
            <v>BLACK HILLS CP</v>
          </cell>
          <cell r="D3">
            <v>20131219</v>
          </cell>
          <cell r="E3" t="str">
            <v>EPS</v>
          </cell>
          <cell r="F3" t="str">
            <v>ANN</v>
          </cell>
          <cell r="G3">
            <v>1</v>
          </cell>
          <cell r="H3">
            <v>6</v>
          </cell>
          <cell r="I3">
            <v>2.35</v>
          </cell>
          <cell r="J3">
            <v>2.35</v>
          </cell>
          <cell r="K3">
            <v>1</v>
          </cell>
          <cell r="L3">
            <v>20131231</v>
          </cell>
          <cell r="M3">
            <v>2.4300000000000002</v>
          </cell>
          <cell r="N3">
            <v>20140206</v>
          </cell>
        </row>
        <row r="4">
          <cell r="A4" t="str">
            <v>CMS</v>
          </cell>
          <cell r="B4" t="str">
            <v>CMS</v>
          </cell>
          <cell r="C4" t="str">
            <v>CMS ENERGY CORP</v>
          </cell>
          <cell r="D4">
            <v>20131219</v>
          </cell>
          <cell r="E4" t="str">
            <v>EPS</v>
          </cell>
          <cell r="F4" t="str">
            <v>ANN</v>
          </cell>
          <cell r="G4">
            <v>1</v>
          </cell>
          <cell r="H4">
            <v>15</v>
          </cell>
          <cell r="I4">
            <v>1.65</v>
          </cell>
          <cell r="J4">
            <v>1.65</v>
          </cell>
          <cell r="K4">
            <v>1</v>
          </cell>
          <cell r="L4">
            <v>20131231</v>
          </cell>
          <cell r="M4">
            <v>1.66</v>
          </cell>
          <cell r="N4">
            <v>20140130</v>
          </cell>
        </row>
        <row r="5">
          <cell r="A5" t="str">
            <v>CNL</v>
          </cell>
          <cell r="B5" t="str">
            <v>CNL</v>
          </cell>
          <cell r="C5" t="str">
            <v>CLECO CORP</v>
          </cell>
          <cell r="D5">
            <v>20131219</v>
          </cell>
          <cell r="E5" t="str">
            <v>EPS</v>
          </cell>
          <cell r="F5" t="str">
            <v>ANN</v>
          </cell>
          <cell r="G5">
            <v>1</v>
          </cell>
          <cell r="H5">
            <v>4</v>
          </cell>
          <cell r="I5">
            <v>2.5299999999999998</v>
          </cell>
          <cell r="J5">
            <v>2.5299999999999998</v>
          </cell>
          <cell r="K5">
            <v>1</v>
          </cell>
          <cell r="L5">
            <v>20131231</v>
          </cell>
          <cell r="M5">
            <v>2.5299999999999998</v>
          </cell>
          <cell r="N5">
            <v>20140225</v>
          </cell>
        </row>
        <row r="6">
          <cell r="A6" t="str">
            <v>D</v>
          </cell>
          <cell r="B6" t="str">
            <v>D</v>
          </cell>
          <cell r="C6" t="str">
            <v>DOMINION RES INC</v>
          </cell>
          <cell r="D6">
            <v>20131219</v>
          </cell>
          <cell r="E6" t="str">
            <v>EPS</v>
          </cell>
          <cell r="F6" t="str">
            <v>ANN</v>
          </cell>
          <cell r="G6">
            <v>1</v>
          </cell>
          <cell r="H6">
            <v>24</v>
          </cell>
          <cell r="I6">
            <v>3.35</v>
          </cell>
          <cell r="J6">
            <v>3.34</v>
          </cell>
          <cell r="K6">
            <v>1</v>
          </cell>
          <cell r="L6">
            <v>20131231</v>
          </cell>
          <cell r="M6">
            <v>3.25</v>
          </cell>
          <cell r="N6">
            <v>20140131</v>
          </cell>
        </row>
        <row r="7">
          <cell r="A7" t="str">
            <v>DTE</v>
          </cell>
          <cell r="B7" t="str">
            <v>DTE</v>
          </cell>
          <cell r="C7" t="str">
            <v>DTE ENERGY</v>
          </cell>
          <cell r="D7">
            <v>20131219</v>
          </cell>
          <cell r="E7" t="str">
            <v>EPS</v>
          </cell>
          <cell r="F7" t="str">
            <v>ANN</v>
          </cell>
          <cell r="G7">
            <v>1</v>
          </cell>
          <cell r="H7">
            <v>15</v>
          </cell>
          <cell r="I7">
            <v>4.04</v>
          </cell>
          <cell r="J7">
            <v>4.04</v>
          </cell>
          <cell r="K7">
            <v>1</v>
          </cell>
          <cell r="L7">
            <v>20131231</v>
          </cell>
          <cell r="M7">
            <v>4.09</v>
          </cell>
          <cell r="N7">
            <v>20140214</v>
          </cell>
        </row>
        <row r="8">
          <cell r="A8" t="str">
            <v>DUK</v>
          </cell>
          <cell r="B8" t="str">
            <v>DUK</v>
          </cell>
          <cell r="C8" t="str">
            <v>DUKE ENERGY CORP</v>
          </cell>
          <cell r="D8">
            <v>20131219</v>
          </cell>
          <cell r="E8" t="str">
            <v>EPS</v>
          </cell>
          <cell r="F8" t="str">
            <v>ANN</v>
          </cell>
          <cell r="G8">
            <v>1</v>
          </cell>
          <cell r="H8">
            <v>24</v>
          </cell>
          <cell r="I8">
            <v>4.3099999999999996</v>
          </cell>
          <cell r="J8">
            <v>4.32</v>
          </cell>
          <cell r="K8">
            <v>1</v>
          </cell>
          <cell r="L8">
            <v>20131231</v>
          </cell>
          <cell r="M8">
            <v>4.3499999999999996</v>
          </cell>
          <cell r="N8">
            <v>20140218</v>
          </cell>
        </row>
        <row r="9">
          <cell r="A9" t="str">
            <v>ED</v>
          </cell>
          <cell r="B9" t="str">
            <v>ED</v>
          </cell>
          <cell r="C9" t="str">
            <v>CONSOLIDATED EDI</v>
          </cell>
          <cell r="D9">
            <v>20131219</v>
          </cell>
          <cell r="E9" t="str">
            <v>EPS</v>
          </cell>
          <cell r="F9" t="str">
            <v>ANN</v>
          </cell>
          <cell r="G9">
            <v>1</v>
          </cell>
          <cell r="H9">
            <v>20</v>
          </cell>
          <cell r="I9">
            <v>3.75</v>
          </cell>
          <cell r="J9">
            <v>3.75</v>
          </cell>
          <cell r="K9">
            <v>1</v>
          </cell>
          <cell r="L9">
            <v>20131231</v>
          </cell>
          <cell r="M9">
            <v>3.8</v>
          </cell>
          <cell r="N9">
            <v>20140220</v>
          </cell>
        </row>
        <row r="10">
          <cell r="A10" t="str">
            <v>EDE</v>
          </cell>
          <cell r="B10" t="str">
            <v>EDE</v>
          </cell>
          <cell r="C10" t="str">
            <v>EMPIRE DIST ELEC</v>
          </cell>
          <cell r="D10">
            <v>20131219</v>
          </cell>
          <cell r="E10" t="str">
            <v>EPS</v>
          </cell>
          <cell r="F10" t="str">
            <v>ANN</v>
          </cell>
          <cell r="G10">
            <v>1</v>
          </cell>
          <cell r="H10">
            <v>3</v>
          </cell>
          <cell r="I10">
            <v>1.37</v>
          </cell>
          <cell r="J10">
            <v>1.37</v>
          </cell>
          <cell r="K10">
            <v>1</v>
          </cell>
          <cell r="L10">
            <v>20131231</v>
          </cell>
          <cell r="M10">
            <v>1.51</v>
          </cell>
          <cell r="N10">
            <v>20140206</v>
          </cell>
        </row>
        <row r="11">
          <cell r="A11" t="str">
            <v>NEE</v>
          </cell>
          <cell r="B11" t="str">
            <v>FPL</v>
          </cell>
          <cell r="C11" t="str">
            <v>NEXTERA ENERGY I</v>
          </cell>
          <cell r="D11">
            <v>20131219</v>
          </cell>
          <cell r="E11" t="str">
            <v>EPS</v>
          </cell>
          <cell r="F11" t="str">
            <v>ANN</v>
          </cell>
          <cell r="G11">
            <v>1</v>
          </cell>
          <cell r="H11">
            <v>24</v>
          </cell>
          <cell r="I11">
            <v>1.24</v>
          </cell>
          <cell r="J11">
            <v>1.24</v>
          </cell>
          <cell r="K11">
            <v>1</v>
          </cell>
          <cell r="L11">
            <v>20131231</v>
          </cell>
          <cell r="M11">
            <v>1.2424999999999999</v>
          </cell>
          <cell r="N11">
            <v>20140128</v>
          </cell>
        </row>
        <row r="12">
          <cell r="A12" t="str">
            <v>HE</v>
          </cell>
          <cell r="B12" t="str">
            <v>HE</v>
          </cell>
          <cell r="C12" t="str">
            <v>HAWAIIAN ELEC</v>
          </cell>
          <cell r="D12">
            <v>20131219</v>
          </cell>
          <cell r="E12" t="str">
            <v>EPS</v>
          </cell>
          <cell r="F12" t="str">
            <v>ANN</v>
          </cell>
          <cell r="G12">
            <v>1</v>
          </cell>
          <cell r="H12">
            <v>8</v>
          </cell>
          <cell r="I12">
            <v>1.6</v>
          </cell>
          <cell r="J12">
            <v>1.6</v>
          </cell>
          <cell r="K12">
            <v>1</v>
          </cell>
          <cell r="L12">
            <v>20131231</v>
          </cell>
          <cell r="M12">
            <v>1.62</v>
          </cell>
          <cell r="N12">
            <v>20140218</v>
          </cell>
        </row>
        <row r="13">
          <cell r="A13" t="str">
            <v>CNP</v>
          </cell>
          <cell r="B13" t="str">
            <v>HOU</v>
          </cell>
          <cell r="C13" t="str">
            <v>CENTERPOINT ENER</v>
          </cell>
          <cell r="D13">
            <v>20131219</v>
          </cell>
          <cell r="E13" t="str">
            <v>EPS</v>
          </cell>
          <cell r="F13" t="str">
            <v>ANN</v>
          </cell>
          <cell r="G13">
            <v>1</v>
          </cell>
          <cell r="H13">
            <v>11</v>
          </cell>
          <cell r="I13">
            <v>1.22</v>
          </cell>
          <cell r="J13">
            <v>1.22</v>
          </cell>
          <cell r="K13">
            <v>1</v>
          </cell>
          <cell r="L13">
            <v>20131231</v>
          </cell>
          <cell r="M13">
            <v>1.2</v>
          </cell>
          <cell r="N13">
            <v>20140226</v>
          </cell>
        </row>
        <row r="14">
          <cell r="A14" t="str">
            <v>IDA</v>
          </cell>
          <cell r="B14" t="str">
            <v>IDA</v>
          </cell>
          <cell r="C14" t="str">
            <v>IDACORP INC.</v>
          </cell>
          <cell r="D14">
            <v>20131219</v>
          </cell>
          <cell r="E14" t="str">
            <v>EPS</v>
          </cell>
          <cell r="F14" t="str">
            <v>ANN</v>
          </cell>
          <cell r="G14">
            <v>1</v>
          </cell>
          <cell r="H14">
            <v>3</v>
          </cell>
          <cell r="I14">
            <v>3.5</v>
          </cell>
          <cell r="J14">
            <v>3.49</v>
          </cell>
          <cell r="K14">
            <v>1</v>
          </cell>
          <cell r="L14">
            <v>20131231</v>
          </cell>
          <cell r="M14">
            <v>3.64</v>
          </cell>
          <cell r="N14">
            <v>20140220</v>
          </cell>
        </row>
        <row r="15">
          <cell r="A15" t="str">
            <v>WR</v>
          </cell>
          <cell r="B15" t="str">
            <v>KAN</v>
          </cell>
          <cell r="C15" t="str">
            <v>WESTAR ENERGY</v>
          </cell>
          <cell r="D15">
            <v>20131219</v>
          </cell>
          <cell r="E15" t="str">
            <v>EPS</v>
          </cell>
          <cell r="F15" t="str">
            <v>ANN</v>
          </cell>
          <cell r="G15">
            <v>1</v>
          </cell>
          <cell r="H15">
            <v>14</v>
          </cell>
          <cell r="I15">
            <v>2.25</v>
          </cell>
          <cell r="J15">
            <v>2.2400000000000002</v>
          </cell>
          <cell r="K15">
            <v>1</v>
          </cell>
          <cell r="L15">
            <v>20131231</v>
          </cell>
          <cell r="M15">
            <v>2.29</v>
          </cell>
          <cell r="N15">
            <v>20140226</v>
          </cell>
        </row>
        <row r="16">
          <cell r="A16" t="str">
            <v>GXP</v>
          </cell>
          <cell r="B16" t="str">
            <v>KLT</v>
          </cell>
          <cell r="C16" t="str">
            <v>GREAT PLAINS</v>
          </cell>
          <cell r="D16">
            <v>20131219</v>
          </cell>
          <cell r="E16" t="str">
            <v>EPS</v>
          </cell>
          <cell r="F16" t="str">
            <v>ANN</v>
          </cell>
          <cell r="G16">
            <v>1</v>
          </cell>
          <cell r="H16">
            <v>16</v>
          </cell>
          <cell r="I16">
            <v>1.59</v>
          </cell>
          <cell r="J16">
            <v>1.59</v>
          </cell>
          <cell r="K16">
            <v>1</v>
          </cell>
          <cell r="L16">
            <v>20131231</v>
          </cell>
          <cell r="M16">
            <v>1.62</v>
          </cell>
          <cell r="N16">
            <v>20140226</v>
          </cell>
        </row>
        <row r="17">
          <cell r="A17" t="str">
            <v>MGEE</v>
          </cell>
          <cell r="B17" t="str">
            <v>MDSN</v>
          </cell>
          <cell r="C17" t="str">
            <v>MGE ENERGY INC</v>
          </cell>
          <cell r="D17">
            <v>20131219</v>
          </cell>
          <cell r="E17" t="str">
            <v>EPS</v>
          </cell>
          <cell r="F17" t="str">
            <v>ANN</v>
          </cell>
          <cell r="G17">
            <v>1</v>
          </cell>
          <cell r="H17">
            <v>1</v>
          </cell>
          <cell r="I17">
            <v>2.0299999999999998</v>
          </cell>
          <cell r="J17">
            <v>2.0299999999999998</v>
          </cell>
          <cell r="K17">
            <v>1</v>
          </cell>
          <cell r="L17">
            <v>20131231</v>
          </cell>
          <cell r="M17">
            <v>2.16</v>
          </cell>
          <cell r="N17">
            <v>20140227</v>
          </cell>
        </row>
        <row r="18">
          <cell r="A18" t="str">
            <v>ALE</v>
          </cell>
          <cell r="B18" t="str">
            <v>MPL</v>
          </cell>
          <cell r="C18" t="str">
            <v>ALLETE INC</v>
          </cell>
          <cell r="D18">
            <v>20131219</v>
          </cell>
          <cell r="E18" t="str">
            <v>EPS</v>
          </cell>
          <cell r="F18" t="str">
            <v>ANN</v>
          </cell>
          <cell r="G18">
            <v>1</v>
          </cell>
          <cell r="H18">
            <v>4</v>
          </cell>
          <cell r="I18">
            <v>2.65</v>
          </cell>
          <cell r="J18">
            <v>2.64</v>
          </cell>
          <cell r="K18">
            <v>1</v>
          </cell>
          <cell r="L18">
            <v>20131231</v>
          </cell>
          <cell r="M18">
            <v>2.63</v>
          </cell>
          <cell r="N18">
            <v>20140214</v>
          </cell>
        </row>
        <row r="19">
          <cell r="A19" t="str">
            <v>ETR</v>
          </cell>
          <cell r="B19" t="str">
            <v>MSU</v>
          </cell>
          <cell r="C19" t="str">
            <v>ENTERGY CP</v>
          </cell>
          <cell r="D19">
            <v>20131219</v>
          </cell>
          <cell r="E19" t="str">
            <v>EPS</v>
          </cell>
          <cell r="F19" t="str">
            <v>ANN</v>
          </cell>
          <cell r="G19">
            <v>1</v>
          </cell>
          <cell r="H19">
            <v>19</v>
          </cell>
          <cell r="I19">
            <v>5</v>
          </cell>
          <cell r="J19">
            <v>4.9800000000000004</v>
          </cell>
          <cell r="K19">
            <v>1</v>
          </cell>
          <cell r="L19">
            <v>20131231</v>
          </cell>
          <cell r="M19">
            <v>5.36</v>
          </cell>
          <cell r="N19">
            <v>20140211</v>
          </cell>
        </row>
        <row r="20">
          <cell r="A20" t="str">
            <v>XEL</v>
          </cell>
          <cell r="B20" t="str">
            <v>NSP</v>
          </cell>
          <cell r="C20" t="str">
            <v>XCEL ENERGY INC</v>
          </cell>
          <cell r="D20">
            <v>20131219</v>
          </cell>
          <cell r="E20" t="str">
            <v>EPS</v>
          </cell>
          <cell r="F20" t="str">
            <v>ANN</v>
          </cell>
          <cell r="G20">
            <v>1</v>
          </cell>
          <cell r="H20">
            <v>19</v>
          </cell>
          <cell r="I20">
            <v>1.92</v>
          </cell>
          <cell r="J20">
            <v>1.93</v>
          </cell>
          <cell r="K20">
            <v>1</v>
          </cell>
          <cell r="L20">
            <v>20131231</v>
          </cell>
          <cell r="M20">
            <v>1.95</v>
          </cell>
          <cell r="N20">
            <v>20140130</v>
          </cell>
        </row>
        <row r="21">
          <cell r="A21" t="str">
            <v>NU</v>
          </cell>
          <cell r="B21" t="str">
            <v>NU</v>
          </cell>
          <cell r="C21" t="str">
            <v>NORTHEAST UTILS</v>
          </cell>
          <cell r="D21">
            <v>20131219</v>
          </cell>
          <cell r="E21" t="str">
            <v>EPS</v>
          </cell>
          <cell r="F21" t="str">
            <v>ANN</v>
          </cell>
          <cell r="G21">
            <v>1</v>
          </cell>
          <cell r="H21">
            <v>14</v>
          </cell>
          <cell r="I21">
            <v>2.5499999999999998</v>
          </cell>
          <cell r="J21">
            <v>2.5499999999999998</v>
          </cell>
          <cell r="K21">
            <v>1</v>
          </cell>
          <cell r="L21">
            <v>20131231</v>
          </cell>
          <cell r="M21">
            <v>2.4900000000000002</v>
          </cell>
          <cell r="N21">
            <v>20140206</v>
          </cell>
        </row>
        <row r="22">
          <cell r="A22" t="str">
            <v>NWE</v>
          </cell>
          <cell r="B22" t="str">
            <v>NWPS</v>
          </cell>
          <cell r="C22" t="str">
            <v>NORTHWESTERN CP</v>
          </cell>
          <cell r="D22">
            <v>20131219</v>
          </cell>
          <cell r="E22" t="str">
            <v>EPS</v>
          </cell>
          <cell r="F22" t="str">
            <v>ANN</v>
          </cell>
          <cell r="G22">
            <v>1</v>
          </cell>
          <cell r="H22">
            <v>4</v>
          </cell>
          <cell r="I22">
            <v>2.56</v>
          </cell>
          <cell r="J22">
            <v>2.57</v>
          </cell>
          <cell r="K22">
            <v>1</v>
          </cell>
          <cell r="L22">
            <v>20131231</v>
          </cell>
          <cell r="M22">
            <v>2.46</v>
          </cell>
          <cell r="N22">
            <v>20140219</v>
          </cell>
        </row>
        <row r="23">
          <cell r="A23" t="str">
            <v>FE</v>
          </cell>
          <cell r="B23" t="str">
            <v>OEC</v>
          </cell>
          <cell r="C23" t="str">
            <v>FIRSTENERGY CORP</v>
          </cell>
          <cell r="D23">
            <v>20131219</v>
          </cell>
          <cell r="E23" t="str">
            <v>EPS</v>
          </cell>
          <cell r="F23" t="str">
            <v>ANN</v>
          </cell>
          <cell r="G23">
            <v>1</v>
          </cell>
          <cell r="H23">
            <v>23</v>
          </cell>
          <cell r="I23">
            <v>2.98</v>
          </cell>
          <cell r="J23">
            <v>2.97</v>
          </cell>
          <cell r="K23">
            <v>1</v>
          </cell>
          <cell r="L23">
            <v>20131231</v>
          </cell>
          <cell r="M23">
            <v>3.04</v>
          </cell>
          <cell r="N23">
            <v>20140225</v>
          </cell>
        </row>
        <row r="24">
          <cell r="A24" t="str">
            <v>OGE</v>
          </cell>
          <cell r="B24" t="str">
            <v>OGE</v>
          </cell>
          <cell r="C24" t="str">
            <v>OGE ENERGY CORP</v>
          </cell>
          <cell r="D24">
            <v>20131219</v>
          </cell>
          <cell r="E24" t="str">
            <v>EPS</v>
          </cell>
          <cell r="F24" t="str">
            <v>ANN</v>
          </cell>
          <cell r="G24">
            <v>1</v>
          </cell>
          <cell r="H24">
            <v>6</v>
          </cell>
          <cell r="I24">
            <v>1.85</v>
          </cell>
          <cell r="J24">
            <v>1.82</v>
          </cell>
          <cell r="K24">
            <v>1</v>
          </cell>
          <cell r="L24">
            <v>20131231</v>
          </cell>
          <cell r="M24">
            <v>1.94</v>
          </cell>
          <cell r="N24">
            <v>20140225</v>
          </cell>
        </row>
        <row r="25">
          <cell r="A25" t="str">
            <v>OTTR</v>
          </cell>
          <cell r="B25" t="str">
            <v>OTTR</v>
          </cell>
          <cell r="C25" t="str">
            <v>OTTER TAIL CORP.</v>
          </cell>
          <cell r="D25">
            <v>20131219</v>
          </cell>
          <cell r="E25" t="str">
            <v>EPS</v>
          </cell>
          <cell r="F25" t="str">
            <v>ANN</v>
          </cell>
          <cell r="G25">
            <v>1</v>
          </cell>
          <cell r="H25">
            <v>2</v>
          </cell>
          <cell r="I25">
            <v>1.42</v>
          </cell>
          <cell r="J25">
            <v>1.42</v>
          </cell>
          <cell r="K25">
            <v>1</v>
          </cell>
          <cell r="L25">
            <v>20131231</v>
          </cell>
          <cell r="M25">
            <v>1.56</v>
          </cell>
          <cell r="N25">
            <v>20140210</v>
          </cell>
        </row>
        <row r="26">
          <cell r="A26" t="str">
            <v>PCG</v>
          </cell>
          <cell r="B26" t="str">
            <v>PCG</v>
          </cell>
          <cell r="C26" t="str">
            <v>P G &amp; E CORP</v>
          </cell>
          <cell r="D26">
            <v>20131219</v>
          </cell>
          <cell r="E26" t="str">
            <v>EPS</v>
          </cell>
          <cell r="F26" t="str">
            <v>ANN</v>
          </cell>
          <cell r="G26">
            <v>1</v>
          </cell>
          <cell r="H26">
            <v>22</v>
          </cell>
          <cell r="I26">
            <v>2.66</v>
          </cell>
          <cell r="J26">
            <v>2.67</v>
          </cell>
          <cell r="K26">
            <v>1</v>
          </cell>
          <cell r="L26">
            <v>20131231</v>
          </cell>
          <cell r="M26">
            <v>2.72</v>
          </cell>
          <cell r="N26">
            <v>20140211</v>
          </cell>
        </row>
        <row r="27">
          <cell r="A27" t="str">
            <v>EXC</v>
          </cell>
          <cell r="B27" t="str">
            <v>PE</v>
          </cell>
          <cell r="C27" t="str">
            <v>EXELON CORP</v>
          </cell>
          <cell r="D27">
            <v>20131219</v>
          </cell>
          <cell r="E27" t="str">
            <v>EPS</v>
          </cell>
          <cell r="F27" t="str">
            <v>ANN</v>
          </cell>
          <cell r="G27">
            <v>1</v>
          </cell>
          <cell r="H27">
            <v>23</v>
          </cell>
          <cell r="I27">
            <v>2.5</v>
          </cell>
          <cell r="J27">
            <v>2.5099999999999998</v>
          </cell>
          <cell r="K27">
            <v>1</v>
          </cell>
          <cell r="L27">
            <v>20131231</v>
          </cell>
          <cell r="M27">
            <v>2.5</v>
          </cell>
          <cell r="N27">
            <v>20140206</v>
          </cell>
        </row>
        <row r="28">
          <cell r="A28" t="str">
            <v>PEG</v>
          </cell>
          <cell r="B28" t="str">
            <v>PEG</v>
          </cell>
          <cell r="C28" t="str">
            <v>PUB SVC ENTERS</v>
          </cell>
          <cell r="D28">
            <v>20131219</v>
          </cell>
          <cell r="E28" t="str">
            <v>EPS</v>
          </cell>
          <cell r="F28" t="str">
            <v>ANN</v>
          </cell>
          <cell r="G28">
            <v>1</v>
          </cell>
          <cell r="H28">
            <v>19</v>
          </cell>
          <cell r="I28">
            <v>2.5099999999999998</v>
          </cell>
          <cell r="J28">
            <v>2.5099999999999998</v>
          </cell>
          <cell r="K28">
            <v>1</v>
          </cell>
          <cell r="L28">
            <v>20131231</v>
          </cell>
          <cell r="M28">
            <v>2.58</v>
          </cell>
          <cell r="N28">
            <v>20140220</v>
          </cell>
        </row>
        <row r="29">
          <cell r="A29" t="str">
            <v>PNM</v>
          </cell>
          <cell r="B29" t="str">
            <v>PNM</v>
          </cell>
          <cell r="C29" t="str">
            <v>PNM RESOURCES</v>
          </cell>
          <cell r="D29">
            <v>20131219</v>
          </cell>
          <cell r="E29" t="str">
            <v>EPS</v>
          </cell>
          <cell r="F29" t="str">
            <v>ANN</v>
          </cell>
          <cell r="G29">
            <v>1</v>
          </cell>
          <cell r="H29">
            <v>9</v>
          </cell>
          <cell r="I29">
            <v>1.38</v>
          </cell>
          <cell r="J29">
            <v>1.38</v>
          </cell>
          <cell r="K29">
            <v>1</v>
          </cell>
          <cell r="L29">
            <v>20131231</v>
          </cell>
          <cell r="M29">
            <v>1.41</v>
          </cell>
          <cell r="N29">
            <v>20140228</v>
          </cell>
        </row>
        <row r="30">
          <cell r="A30" t="str">
            <v>POM</v>
          </cell>
          <cell r="B30" t="str">
            <v>POM</v>
          </cell>
          <cell r="C30" t="str">
            <v>PEPCO HOLDINGS</v>
          </cell>
          <cell r="D30">
            <v>20131219</v>
          </cell>
          <cell r="E30" t="str">
            <v>EPS</v>
          </cell>
          <cell r="F30" t="str">
            <v>ANN</v>
          </cell>
          <cell r="G30">
            <v>1</v>
          </cell>
          <cell r="H30">
            <v>15</v>
          </cell>
          <cell r="I30">
            <v>1.1200000000000001</v>
          </cell>
          <cell r="J30">
            <v>1.1200000000000001</v>
          </cell>
          <cell r="K30">
            <v>1</v>
          </cell>
          <cell r="L30">
            <v>20131231</v>
          </cell>
          <cell r="M30">
            <v>1.1399999999999999</v>
          </cell>
          <cell r="N30">
            <v>20140228</v>
          </cell>
        </row>
        <row r="31">
          <cell r="A31" t="str">
            <v>POR</v>
          </cell>
          <cell r="B31" t="str">
            <v>PORO</v>
          </cell>
          <cell r="C31" t="str">
            <v>PORTLAND GENERAL</v>
          </cell>
          <cell r="D31">
            <v>20131219</v>
          </cell>
          <cell r="E31" t="str">
            <v>EPS</v>
          </cell>
          <cell r="F31" t="str">
            <v>ANN</v>
          </cell>
          <cell r="G31">
            <v>1</v>
          </cell>
          <cell r="H31">
            <v>7</v>
          </cell>
          <cell r="I31">
            <v>1.75</v>
          </cell>
          <cell r="J31">
            <v>1.75</v>
          </cell>
          <cell r="K31">
            <v>1</v>
          </cell>
          <cell r="L31">
            <v>20131231</v>
          </cell>
          <cell r="M31">
            <v>1.84</v>
          </cell>
          <cell r="N31">
            <v>20140214</v>
          </cell>
        </row>
        <row r="32">
          <cell r="A32" t="str">
            <v>PPL</v>
          </cell>
          <cell r="B32" t="str">
            <v>PPL</v>
          </cell>
          <cell r="C32" t="str">
            <v>PP&amp;L CORP</v>
          </cell>
          <cell r="D32">
            <v>20131219</v>
          </cell>
          <cell r="E32" t="str">
            <v>EPS</v>
          </cell>
          <cell r="F32" t="str">
            <v>ANN</v>
          </cell>
          <cell r="G32">
            <v>1</v>
          </cell>
          <cell r="H32">
            <v>20</v>
          </cell>
          <cell r="I32">
            <v>2.35</v>
          </cell>
          <cell r="J32">
            <v>2.35</v>
          </cell>
          <cell r="K32">
            <v>1</v>
          </cell>
          <cell r="L32">
            <v>20131231</v>
          </cell>
          <cell r="M32">
            <v>2.4500000000000002</v>
          </cell>
          <cell r="N32">
            <v>20140206</v>
          </cell>
        </row>
        <row r="33">
          <cell r="A33" t="str">
            <v>EIX</v>
          </cell>
          <cell r="B33" t="str">
            <v>SCE</v>
          </cell>
          <cell r="C33" t="str">
            <v>EDISON INTL</v>
          </cell>
          <cell r="D33">
            <v>20131219</v>
          </cell>
          <cell r="E33" t="str">
            <v>EPS</v>
          </cell>
          <cell r="F33" t="str">
            <v>ANN</v>
          </cell>
          <cell r="G33">
            <v>1</v>
          </cell>
          <cell r="H33">
            <v>20</v>
          </cell>
          <cell r="I33">
            <v>3.65</v>
          </cell>
          <cell r="J33">
            <v>3.61</v>
          </cell>
          <cell r="K33">
            <v>1</v>
          </cell>
          <cell r="L33">
            <v>20131231</v>
          </cell>
          <cell r="M33">
            <v>3.8</v>
          </cell>
          <cell r="N33">
            <v>20140225</v>
          </cell>
        </row>
        <row r="34">
          <cell r="A34" t="str">
            <v>SCG</v>
          </cell>
          <cell r="B34" t="str">
            <v>SCG</v>
          </cell>
          <cell r="C34" t="str">
            <v>SCANA CP</v>
          </cell>
          <cell r="D34">
            <v>20131219</v>
          </cell>
          <cell r="E34" t="str">
            <v>EPS</v>
          </cell>
          <cell r="F34" t="str">
            <v>ANN</v>
          </cell>
          <cell r="G34">
            <v>1</v>
          </cell>
          <cell r="H34">
            <v>11</v>
          </cell>
          <cell r="I34">
            <v>3.38</v>
          </cell>
          <cell r="J34">
            <v>3.39</v>
          </cell>
          <cell r="K34">
            <v>1</v>
          </cell>
          <cell r="L34">
            <v>20131231</v>
          </cell>
          <cell r="M34">
            <v>3.39</v>
          </cell>
          <cell r="N34">
            <v>20140220</v>
          </cell>
        </row>
        <row r="35">
          <cell r="A35" t="str">
            <v>SRE</v>
          </cell>
          <cell r="B35" t="str">
            <v>SDO</v>
          </cell>
          <cell r="C35" t="str">
            <v>SEMPRA ENERGY</v>
          </cell>
          <cell r="D35">
            <v>20131219</v>
          </cell>
          <cell r="E35" t="str">
            <v>EPS</v>
          </cell>
          <cell r="F35" t="str">
            <v>ANN</v>
          </cell>
          <cell r="G35">
            <v>1</v>
          </cell>
          <cell r="H35">
            <v>9</v>
          </cell>
          <cell r="I35">
            <v>4.45</v>
          </cell>
          <cell r="J35">
            <v>4.45</v>
          </cell>
          <cell r="K35">
            <v>1</v>
          </cell>
          <cell r="L35">
            <v>20131231</v>
          </cell>
          <cell r="M35">
            <v>4.49</v>
          </cell>
          <cell r="N35">
            <v>20140227</v>
          </cell>
        </row>
        <row r="36">
          <cell r="A36" t="str">
            <v>VVC</v>
          </cell>
          <cell r="B36" t="str">
            <v>SIG</v>
          </cell>
          <cell r="C36" t="str">
            <v>VECTREN CORP</v>
          </cell>
          <cell r="D36">
            <v>20131219</v>
          </cell>
          <cell r="E36" t="str">
            <v>EPS</v>
          </cell>
          <cell r="F36" t="str">
            <v>ANN</v>
          </cell>
          <cell r="G36">
            <v>1</v>
          </cell>
          <cell r="H36">
            <v>6</v>
          </cell>
          <cell r="I36">
            <v>2.06</v>
          </cell>
          <cell r="J36">
            <v>2.06</v>
          </cell>
          <cell r="K36">
            <v>1</v>
          </cell>
          <cell r="L36">
            <v>20131231</v>
          </cell>
          <cell r="M36">
            <v>2.12</v>
          </cell>
          <cell r="N36">
            <v>20140219</v>
          </cell>
        </row>
        <row r="37">
          <cell r="A37" t="str">
            <v>SO</v>
          </cell>
          <cell r="B37" t="str">
            <v>SO</v>
          </cell>
          <cell r="C37" t="str">
            <v>SOUTHN CO</v>
          </cell>
          <cell r="D37">
            <v>20131219</v>
          </cell>
          <cell r="E37" t="str">
            <v>EPS</v>
          </cell>
          <cell r="F37" t="str">
            <v>ANN</v>
          </cell>
          <cell r="G37">
            <v>1</v>
          </cell>
          <cell r="H37">
            <v>23</v>
          </cell>
          <cell r="I37">
            <v>2.68</v>
          </cell>
          <cell r="J37">
            <v>2.69</v>
          </cell>
          <cell r="K37">
            <v>1</v>
          </cell>
          <cell r="L37">
            <v>20131231</v>
          </cell>
          <cell r="M37">
            <v>2.73</v>
          </cell>
          <cell r="N37">
            <v>20140129</v>
          </cell>
        </row>
        <row r="38">
          <cell r="A38" t="str">
            <v>TE</v>
          </cell>
          <cell r="B38" t="str">
            <v>TE</v>
          </cell>
          <cell r="C38" t="str">
            <v>TECO ENERGY INC</v>
          </cell>
          <cell r="D38">
            <v>20131219</v>
          </cell>
          <cell r="E38" t="str">
            <v>EPS</v>
          </cell>
          <cell r="F38" t="str">
            <v>ANN</v>
          </cell>
          <cell r="G38">
            <v>1</v>
          </cell>
          <cell r="H38">
            <v>17</v>
          </cell>
          <cell r="I38">
            <v>0.93</v>
          </cell>
          <cell r="J38">
            <v>0.93</v>
          </cell>
          <cell r="K38">
            <v>1</v>
          </cell>
          <cell r="L38">
            <v>20131231</v>
          </cell>
          <cell r="M38">
            <v>0.95</v>
          </cell>
          <cell r="N38">
            <v>20140130</v>
          </cell>
        </row>
        <row r="39">
          <cell r="A39" t="str">
            <v>AEE</v>
          </cell>
          <cell r="B39" t="str">
            <v>UEP</v>
          </cell>
          <cell r="C39" t="str">
            <v>AMEREN CP</v>
          </cell>
          <cell r="D39">
            <v>20131219</v>
          </cell>
          <cell r="E39" t="str">
            <v>EPS</v>
          </cell>
          <cell r="F39" t="str">
            <v>ANN</v>
          </cell>
          <cell r="G39">
            <v>1</v>
          </cell>
          <cell r="H39">
            <v>11</v>
          </cell>
          <cell r="I39">
            <v>2.1</v>
          </cell>
          <cell r="J39">
            <v>2.08</v>
          </cell>
          <cell r="K39">
            <v>1</v>
          </cell>
          <cell r="L39">
            <v>20131231</v>
          </cell>
          <cell r="M39">
            <v>2.1</v>
          </cell>
          <cell r="N39">
            <v>20140221</v>
          </cell>
        </row>
        <row r="40">
          <cell r="A40" t="str">
            <v>UIL</v>
          </cell>
          <cell r="B40" t="str">
            <v>UIL</v>
          </cell>
          <cell r="C40" t="str">
            <v>UIL HOLDING CORP</v>
          </cell>
          <cell r="D40">
            <v>20131219</v>
          </cell>
          <cell r="E40" t="str">
            <v>EPS</v>
          </cell>
          <cell r="F40" t="str">
            <v>ANN</v>
          </cell>
          <cell r="G40">
            <v>1</v>
          </cell>
          <cell r="H40">
            <v>12</v>
          </cell>
          <cell r="I40">
            <v>2.15</v>
          </cell>
          <cell r="J40">
            <v>2.16</v>
          </cell>
          <cell r="K40">
            <v>1</v>
          </cell>
          <cell r="L40">
            <v>20131231</v>
          </cell>
          <cell r="M40">
            <v>2.2799999999999998</v>
          </cell>
          <cell r="N40">
            <v>20140220</v>
          </cell>
        </row>
        <row r="41">
          <cell r="A41" t="str">
            <v>WEC</v>
          </cell>
          <cell r="B41" t="str">
            <v>WPC</v>
          </cell>
          <cell r="C41" t="str">
            <v>WISCONSIN ENERGY</v>
          </cell>
          <cell r="D41">
            <v>20131219</v>
          </cell>
          <cell r="E41" t="str">
            <v>EPS</v>
          </cell>
          <cell r="F41" t="str">
            <v>ANN</v>
          </cell>
          <cell r="G41">
            <v>1</v>
          </cell>
          <cell r="H41">
            <v>21</v>
          </cell>
          <cell r="I41">
            <v>2.4500000000000002</v>
          </cell>
          <cell r="J41">
            <v>2.4500000000000002</v>
          </cell>
          <cell r="K41">
            <v>1</v>
          </cell>
          <cell r="L41">
            <v>20131231</v>
          </cell>
          <cell r="M41">
            <v>2.5099999999999998</v>
          </cell>
          <cell r="N41">
            <v>20140206</v>
          </cell>
        </row>
        <row r="42">
          <cell r="A42" t="str">
            <v>LNT</v>
          </cell>
          <cell r="B42" t="str">
            <v>WPL</v>
          </cell>
          <cell r="C42" t="str">
            <v>ALLIANT ENER</v>
          </cell>
          <cell r="D42">
            <v>20131219</v>
          </cell>
          <cell r="E42" t="str">
            <v>EPS</v>
          </cell>
          <cell r="F42" t="str">
            <v>ANN</v>
          </cell>
          <cell r="G42">
            <v>1</v>
          </cell>
          <cell r="H42">
            <v>10</v>
          </cell>
          <cell r="I42">
            <v>1.61</v>
          </cell>
          <cell r="J42">
            <v>1.61</v>
          </cell>
          <cell r="K42">
            <v>1</v>
          </cell>
          <cell r="L42">
            <v>20131231</v>
          </cell>
          <cell r="M42">
            <v>1.655</v>
          </cell>
          <cell r="N42">
            <v>20140225</v>
          </cell>
        </row>
        <row r="43">
          <cell r="A43" t="str">
            <v>AVA</v>
          </cell>
          <cell r="B43" t="str">
            <v>WWP</v>
          </cell>
          <cell r="C43" t="str">
            <v>AVISTA CORP</v>
          </cell>
          <cell r="D43">
            <v>20131219</v>
          </cell>
          <cell r="E43" t="str">
            <v>EPS</v>
          </cell>
          <cell r="F43" t="str">
            <v>ANN</v>
          </cell>
          <cell r="G43">
            <v>1</v>
          </cell>
          <cell r="H43">
            <v>3</v>
          </cell>
          <cell r="I43">
            <v>1.75</v>
          </cell>
          <cell r="J43">
            <v>1.76</v>
          </cell>
          <cell r="K43">
            <v>1</v>
          </cell>
          <cell r="L43">
            <v>20131231</v>
          </cell>
          <cell r="M43">
            <v>1.85</v>
          </cell>
          <cell r="N43">
            <v>20140226</v>
          </cell>
        </row>
        <row r="44">
          <cell r="A44" t="str">
            <v>PPL</v>
          </cell>
          <cell r="B44" t="str">
            <v>@1XJ</v>
          </cell>
          <cell r="C44" t="str">
            <v>PUMPKIN PATCH LT</v>
          </cell>
          <cell r="D44">
            <v>20131219</v>
          </cell>
          <cell r="E44" t="str">
            <v>EPS</v>
          </cell>
          <cell r="F44" t="str">
            <v>ANN</v>
          </cell>
          <cell r="G44">
            <v>1</v>
          </cell>
          <cell r="H44">
            <v>4</v>
          </cell>
          <cell r="I44">
            <v>4.8000000000000001E-2</v>
          </cell>
          <cell r="J44">
            <v>4.7E-2</v>
          </cell>
          <cell r="K44">
            <v>0</v>
          </cell>
          <cell r="L44">
            <v>20140731</v>
          </cell>
          <cell r="M44">
            <v>7.0000000000000001E-3</v>
          </cell>
          <cell r="N44">
            <v>20140925</v>
          </cell>
        </row>
        <row r="45">
          <cell r="A45" t="str">
            <v>PPL</v>
          </cell>
          <cell r="B45" t="str">
            <v>@1Z1</v>
          </cell>
          <cell r="C45" t="str">
            <v>PPL</v>
          </cell>
          <cell r="D45">
            <v>20131219</v>
          </cell>
          <cell r="E45" t="str">
            <v>EPS</v>
          </cell>
          <cell r="F45" t="str">
            <v>ANN</v>
          </cell>
          <cell r="G45">
            <v>1</v>
          </cell>
          <cell r="H45">
            <v>6</v>
          </cell>
          <cell r="I45">
            <v>19.190000000000001</v>
          </cell>
          <cell r="J45">
            <v>19.440000000000001</v>
          </cell>
          <cell r="K45">
            <v>0</v>
          </cell>
          <cell r="L45">
            <v>20140630</v>
          </cell>
          <cell r="M45">
            <v>18.688400000000001</v>
          </cell>
          <cell r="N45">
            <v>20140827</v>
          </cell>
        </row>
        <row r="46">
          <cell r="A46" t="str">
            <v>XEL</v>
          </cell>
          <cell r="B46" t="str">
            <v>@6Q7</v>
          </cell>
          <cell r="C46" t="str">
            <v>XCITE ENERGY LTD</v>
          </cell>
          <cell r="D46">
            <v>20131219</v>
          </cell>
          <cell r="E46" t="str">
            <v>EPS</v>
          </cell>
          <cell r="F46" t="str">
            <v>ANN</v>
          </cell>
          <cell r="G46">
            <v>1</v>
          </cell>
          <cell r="H46">
            <v>4</v>
          </cell>
          <cell r="I46">
            <v>0</v>
          </cell>
          <cell r="J46">
            <v>-0.47</v>
          </cell>
          <cell r="K46">
            <v>0</v>
          </cell>
          <cell r="L46">
            <v>20131231</v>
          </cell>
          <cell r="M46">
            <v>2</v>
          </cell>
          <cell r="N46">
            <v>20140327</v>
          </cell>
        </row>
        <row r="47">
          <cell r="A47" t="str">
            <v>AGR</v>
          </cell>
          <cell r="B47" t="str">
            <v>@A7S</v>
          </cell>
          <cell r="C47" t="str">
            <v>AGROB IMMOBILIEN</v>
          </cell>
          <cell r="D47">
            <v>20131219</v>
          </cell>
          <cell r="E47" t="str">
            <v>EPS</v>
          </cell>
          <cell r="F47" t="str">
            <v>ANN</v>
          </cell>
          <cell r="G47">
            <v>1</v>
          </cell>
          <cell r="H47">
            <v>2</v>
          </cell>
          <cell r="I47">
            <v>0.41</v>
          </cell>
          <cell r="J47">
            <v>0.41</v>
          </cell>
          <cell r="K47">
            <v>0</v>
          </cell>
          <cell r="L47">
            <v>20131231</v>
          </cell>
          <cell r="M47">
            <v>0.41</v>
          </cell>
          <cell r="N47">
            <v>20140523</v>
          </cell>
        </row>
        <row r="48">
          <cell r="A48" t="str">
            <v>EAS</v>
          </cell>
          <cell r="B48" t="str">
            <v>@AAME</v>
          </cell>
          <cell r="C48" t="str">
            <v>ENERGY ASSETS GR</v>
          </cell>
          <cell r="D48">
            <v>20131219</v>
          </cell>
          <cell r="E48" t="str">
            <v>EPS</v>
          </cell>
          <cell r="F48" t="str">
            <v>ANN</v>
          </cell>
          <cell r="G48">
            <v>1</v>
          </cell>
          <cell r="H48">
            <v>2</v>
          </cell>
          <cell r="I48">
            <v>18.850000000000001</v>
          </cell>
          <cell r="J48">
            <v>18.850000000000001</v>
          </cell>
          <cell r="K48">
            <v>0</v>
          </cell>
          <cell r="L48">
            <v>20140331</v>
          </cell>
          <cell r="M48">
            <v>18.84</v>
          </cell>
          <cell r="N48">
            <v>20140610</v>
          </cell>
        </row>
        <row r="49">
          <cell r="A49" t="str">
            <v>AGR</v>
          </cell>
          <cell r="B49" t="str">
            <v>@AR7</v>
          </cell>
          <cell r="C49" t="str">
            <v>AGRANA VZ</v>
          </cell>
          <cell r="D49">
            <v>20131219</v>
          </cell>
          <cell r="E49" t="str">
            <v>EPS</v>
          </cell>
          <cell r="F49" t="str">
            <v>ANN</v>
          </cell>
          <cell r="G49">
            <v>1</v>
          </cell>
          <cell r="H49">
            <v>3</v>
          </cell>
          <cell r="I49">
            <v>2.1800000000000002</v>
          </cell>
          <cell r="J49">
            <v>2.16</v>
          </cell>
          <cell r="K49">
            <v>0</v>
          </cell>
          <cell r="L49">
            <v>20140228</v>
          </cell>
          <cell r="M49">
            <v>1.8897999999999999</v>
          </cell>
          <cell r="N49">
            <v>20140509</v>
          </cell>
        </row>
        <row r="50">
          <cell r="A50" t="str">
            <v>CNL</v>
          </cell>
          <cell r="B50" t="str">
            <v>@CCDA</v>
          </cell>
          <cell r="C50" t="str">
            <v>CELAMIN HOLDINGS</v>
          </cell>
          <cell r="D50">
            <v>20131219</v>
          </cell>
          <cell r="E50" t="str">
            <v>EPS</v>
          </cell>
          <cell r="F50" t="str">
            <v>ANN</v>
          </cell>
          <cell r="G50">
            <v>1</v>
          </cell>
          <cell r="H50">
            <v>1</v>
          </cell>
          <cell r="I50">
            <v>-6.9</v>
          </cell>
          <cell r="J50">
            <v>-6.9</v>
          </cell>
          <cell r="K50">
            <v>0</v>
          </cell>
          <cell r="L50">
            <v>20140630</v>
          </cell>
          <cell r="N50">
            <v>20140929</v>
          </cell>
        </row>
        <row r="51">
          <cell r="A51" t="str">
            <v>CNP</v>
          </cell>
          <cell r="B51" t="str">
            <v>@CN0</v>
          </cell>
          <cell r="C51" t="str">
            <v>CNP ASSURANCES</v>
          </cell>
          <cell r="D51">
            <v>20131219</v>
          </cell>
          <cell r="E51" t="str">
            <v>EPS</v>
          </cell>
          <cell r="F51" t="str">
            <v>ANN</v>
          </cell>
          <cell r="G51">
            <v>1</v>
          </cell>
          <cell r="H51">
            <v>12</v>
          </cell>
          <cell r="I51">
            <v>1.57</v>
          </cell>
          <cell r="J51">
            <v>1.6</v>
          </cell>
          <cell r="K51">
            <v>0</v>
          </cell>
          <cell r="L51">
            <v>20131231</v>
          </cell>
          <cell r="M51">
            <v>1.627</v>
          </cell>
          <cell r="N51">
            <v>20140220</v>
          </cell>
        </row>
        <row r="52">
          <cell r="A52" t="str">
            <v>CIN</v>
          </cell>
          <cell r="B52" t="str">
            <v>@CUW</v>
          </cell>
          <cell r="C52" t="str">
            <v>CITY OF LONDON</v>
          </cell>
          <cell r="D52">
            <v>20131219</v>
          </cell>
          <cell r="E52" t="str">
            <v>EPS</v>
          </cell>
          <cell r="F52" t="str">
            <v>ANN</v>
          </cell>
          <cell r="G52">
            <v>1</v>
          </cell>
          <cell r="H52">
            <v>1</v>
          </cell>
          <cell r="I52">
            <v>30</v>
          </cell>
          <cell r="J52">
            <v>30</v>
          </cell>
          <cell r="K52">
            <v>0</v>
          </cell>
          <cell r="L52">
            <v>20140331</v>
          </cell>
          <cell r="N52">
            <v>20140703</v>
          </cell>
        </row>
        <row r="53">
          <cell r="A53" t="str">
            <v>SO</v>
          </cell>
          <cell r="B53" t="str">
            <v>@DAM</v>
          </cell>
          <cell r="C53" t="str">
            <v>SOMFY</v>
          </cell>
          <cell r="D53">
            <v>20131219</v>
          </cell>
          <cell r="E53" t="str">
            <v>EPS</v>
          </cell>
          <cell r="F53" t="str">
            <v>ANN</v>
          </cell>
          <cell r="G53">
            <v>1</v>
          </cell>
          <cell r="H53">
            <v>3</v>
          </cell>
          <cell r="I53">
            <v>2.82</v>
          </cell>
          <cell r="J53">
            <v>2.87</v>
          </cell>
          <cell r="K53">
            <v>0</v>
          </cell>
          <cell r="L53">
            <v>20131231</v>
          </cell>
          <cell r="M53">
            <v>2.68</v>
          </cell>
          <cell r="N53">
            <v>20140128</v>
          </cell>
        </row>
        <row r="54">
          <cell r="A54" t="str">
            <v>DTE</v>
          </cell>
          <cell r="B54" t="str">
            <v>@DT</v>
          </cell>
          <cell r="C54" t="str">
            <v>DEUTSCHE TELEKOM</v>
          </cell>
          <cell r="D54">
            <v>20131219</v>
          </cell>
          <cell r="E54" t="str">
            <v>EPS</v>
          </cell>
          <cell r="F54" t="str">
            <v>ANN</v>
          </cell>
          <cell r="G54">
            <v>1</v>
          </cell>
          <cell r="H54">
            <v>31</v>
          </cell>
          <cell r="I54">
            <v>0.67</v>
          </cell>
          <cell r="J54">
            <v>0.67</v>
          </cell>
          <cell r="K54">
            <v>0</v>
          </cell>
          <cell r="L54">
            <v>20131231</v>
          </cell>
          <cell r="M54">
            <v>0.63</v>
          </cell>
          <cell r="N54">
            <v>20140306</v>
          </cell>
        </row>
        <row r="55">
          <cell r="A55" t="str">
            <v>NWE</v>
          </cell>
          <cell r="B55" t="str">
            <v>@H50</v>
          </cell>
          <cell r="C55" t="str">
            <v>NORWEST ENERGY N</v>
          </cell>
          <cell r="D55">
            <v>20131219</v>
          </cell>
          <cell r="E55" t="str">
            <v>EPS</v>
          </cell>
          <cell r="F55" t="str">
            <v>ANN</v>
          </cell>
          <cell r="G55">
            <v>1</v>
          </cell>
          <cell r="H55">
            <v>1</v>
          </cell>
          <cell r="I55">
            <v>-2E-3</v>
          </cell>
          <cell r="J55">
            <v>-2E-3</v>
          </cell>
          <cell r="K55">
            <v>0</v>
          </cell>
          <cell r="L55">
            <v>20140630</v>
          </cell>
          <cell r="M55">
            <v>-1.9E-3</v>
          </cell>
          <cell r="N55">
            <v>20140930</v>
          </cell>
        </row>
        <row r="56">
          <cell r="A56" t="str">
            <v>POM</v>
          </cell>
          <cell r="B56" t="str">
            <v>@IH0</v>
          </cell>
          <cell r="C56" t="str">
            <v>POMINA STEEL</v>
          </cell>
          <cell r="D56">
            <v>20131219</v>
          </cell>
          <cell r="E56" t="str">
            <v>EPS</v>
          </cell>
          <cell r="F56" t="str">
            <v>ANN</v>
          </cell>
          <cell r="G56">
            <v>1</v>
          </cell>
          <cell r="H56">
            <v>1</v>
          </cell>
          <cell r="I56">
            <v>754.4</v>
          </cell>
          <cell r="J56">
            <v>754.4</v>
          </cell>
          <cell r="K56">
            <v>0</v>
          </cell>
          <cell r="L56">
            <v>20131231</v>
          </cell>
          <cell r="N56">
            <v>20140331</v>
          </cell>
        </row>
        <row r="57">
          <cell r="A57" t="str">
            <v>PGN</v>
          </cell>
          <cell r="B57" t="str">
            <v>@J5W</v>
          </cell>
          <cell r="C57" t="str">
            <v>POLISH OIL &amp; GAS</v>
          </cell>
          <cell r="D57">
            <v>20131219</v>
          </cell>
          <cell r="E57" t="str">
            <v>EPS</v>
          </cell>
          <cell r="F57" t="str">
            <v>ANN</v>
          </cell>
          <cell r="G57">
            <v>1</v>
          </cell>
          <cell r="H57">
            <v>12</v>
          </cell>
          <cell r="I57">
            <v>0.52</v>
          </cell>
          <cell r="J57">
            <v>0.52</v>
          </cell>
          <cell r="K57">
            <v>0</v>
          </cell>
          <cell r="L57">
            <v>20131231</v>
          </cell>
          <cell r="M57">
            <v>0.33</v>
          </cell>
          <cell r="N57">
            <v>20140305</v>
          </cell>
        </row>
        <row r="58">
          <cell r="A58" t="str">
            <v>SRE</v>
          </cell>
          <cell r="B58" t="str">
            <v>@O5S</v>
          </cell>
          <cell r="C58" t="str">
            <v>SALHIA REAL ESTA</v>
          </cell>
          <cell r="D58">
            <v>20131219</v>
          </cell>
          <cell r="E58" t="str">
            <v>EPS</v>
          </cell>
          <cell r="F58" t="str">
            <v>ANN</v>
          </cell>
          <cell r="G58">
            <v>1</v>
          </cell>
          <cell r="H58">
            <v>1</v>
          </cell>
          <cell r="I58">
            <v>1.6E-2</v>
          </cell>
          <cell r="J58">
            <v>1.6E-2</v>
          </cell>
          <cell r="K58">
            <v>0</v>
          </cell>
          <cell r="L58">
            <v>20131231</v>
          </cell>
          <cell r="M58">
            <v>3.2000000000000001E-2</v>
          </cell>
          <cell r="N58">
            <v>20140318</v>
          </cell>
        </row>
        <row r="59">
          <cell r="A59" t="str">
            <v>POM</v>
          </cell>
          <cell r="B59" t="str">
            <v>@PO8</v>
          </cell>
          <cell r="C59" t="str">
            <v>PLASTIC OMNIUM S</v>
          </cell>
          <cell r="D59">
            <v>20131219</v>
          </cell>
          <cell r="E59" t="str">
            <v>EPS</v>
          </cell>
          <cell r="F59" t="str">
            <v>ANN</v>
          </cell>
          <cell r="G59">
            <v>1</v>
          </cell>
          <cell r="H59">
            <v>6</v>
          </cell>
          <cell r="I59">
            <v>1.39</v>
          </cell>
          <cell r="J59">
            <v>1.41</v>
          </cell>
          <cell r="K59">
            <v>0</v>
          </cell>
          <cell r="L59">
            <v>20131231</v>
          </cell>
          <cell r="M59">
            <v>1.32</v>
          </cell>
          <cell r="N59">
            <v>20140227</v>
          </cell>
        </row>
        <row r="60">
          <cell r="A60" t="str">
            <v>PSD</v>
          </cell>
          <cell r="B60" t="str">
            <v>@PTSD</v>
          </cell>
          <cell r="C60" t="str">
            <v>PETROSETCO DISTR</v>
          </cell>
          <cell r="D60">
            <v>20131219</v>
          </cell>
          <cell r="E60" t="str">
            <v>EPS</v>
          </cell>
          <cell r="F60" t="str">
            <v>ANN</v>
          </cell>
          <cell r="G60">
            <v>1</v>
          </cell>
          <cell r="H60">
            <v>2</v>
          </cell>
          <cell r="I60">
            <v>2591.4</v>
          </cell>
          <cell r="J60">
            <v>2591.4</v>
          </cell>
          <cell r="K60">
            <v>0</v>
          </cell>
          <cell r="L60">
            <v>20131231</v>
          </cell>
          <cell r="M60">
            <v>2729.1658000000002</v>
          </cell>
          <cell r="N60">
            <v>20140320</v>
          </cell>
        </row>
        <row r="61">
          <cell r="A61" t="str">
            <v>PGN</v>
          </cell>
          <cell r="B61" t="str">
            <v>@QPA</v>
          </cell>
          <cell r="C61" t="str">
            <v>PARAGON</v>
          </cell>
          <cell r="D61">
            <v>20131219</v>
          </cell>
          <cell r="E61" t="str">
            <v>EPS</v>
          </cell>
          <cell r="F61" t="str">
            <v>ANN</v>
          </cell>
          <cell r="G61">
            <v>1</v>
          </cell>
          <cell r="H61">
            <v>2</v>
          </cell>
          <cell r="I61">
            <v>1.33</v>
          </cell>
          <cell r="J61">
            <v>1.33</v>
          </cell>
          <cell r="K61">
            <v>0</v>
          </cell>
          <cell r="L61">
            <v>20131231</v>
          </cell>
          <cell r="M61">
            <v>0.96</v>
          </cell>
          <cell r="N61">
            <v>20140312</v>
          </cell>
        </row>
        <row r="62">
          <cell r="A62" t="str">
            <v>SO</v>
          </cell>
          <cell r="B62" t="str">
            <v>@SGF</v>
          </cell>
          <cell r="C62" t="str">
            <v>SOGEFI</v>
          </cell>
          <cell r="D62">
            <v>20131219</v>
          </cell>
          <cell r="E62" t="str">
            <v>EPS</v>
          </cell>
          <cell r="F62" t="str">
            <v>ANN</v>
          </cell>
          <cell r="G62">
            <v>1</v>
          </cell>
          <cell r="H62">
            <v>6</v>
          </cell>
          <cell r="I62">
            <v>0.28999999999999998</v>
          </cell>
          <cell r="J62">
            <v>0.3</v>
          </cell>
          <cell r="K62">
            <v>0</v>
          </cell>
          <cell r="L62">
            <v>20131231</v>
          </cell>
          <cell r="M62">
            <v>0.185</v>
          </cell>
          <cell r="N62">
            <v>20140225</v>
          </cell>
        </row>
        <row r="63">
          <cell r="A63" t="str">
            <v>NST</v>
          </cell>
          <cell r="B63" t="str">
            <v>@T6I</v>
          </cell>
          <cell r="C63" t="str">
            <v>NORTHERN STAR RE</v>
          </cell>
          <cell r="D63">
            <v>20131219</v>
          </cell>
          <cell r="E63" t="str">
            <v>EPS</v>
          </cell>
          <cell r="F63" t="str">
            <v>ANN</v>
          </cell>
          <cell r="G63">
            <v>1</v>
          </cell>
          <cell r="H63">
            <v>9</v>
          </cell>
          <cell r="I63">
            <v>6.7000000000000004E-2</v>
          </cell>
          <cell r="J63">
            <v>6.9000000000000006E-2</v>
          </cell>
          <cell r="K63">
            <v>0</v>
          </cell>
          <cell r="L63">
            <v>20140630</v>
          </cell>
          <cell r="M63">
            <v>0.08</v>
          </cell>
          <cell r="N63">
            <v>20140827</v>
          </cell>
        </row>
        <row r="64">
          <cell r="A64" t="str">
            <v>AGR</v>
          </cell>
          <cell r="B64" t="str">
            <v>@V2M</v>
          </cell>
          <cell r="C64" t="str">
            <v>ASSURA GROUP</v>
          </cell>
          <cell r="D64">
            <v>20131219</v>
          </cell>
          <cell r="E64" t="str">
            <v>EPS</v>
          </cell>
          <cell r="F64" t="str">
            <v>ANN</v>
          </cell>
          <cell r="G64">
            <v>1</v>
          </cell>
          <cell r="H64">
            <v>3</v>
          </cell>
          <cell r="I64">
            <v>1.86</v>
          </cell>
          <cell r="J64">
            <v>1.86</v>
          </cell>
          <cell r="K64">
            <v>0</v>
          </cell>
          <cell r="L64">
            <v>20140331</v>
          </cell>
          <cell r="M64">
            <v>1.9901</v>
          </cell>
          <cell r="N64">
            <v>20140523</v>
          </cell>
        </row>
        <row r="65">
          <cell r="A65" t="str">
            <v>SRE</v>
          </cell>
          <cell r="B65" t="str">
            <v>@VRU</v>
          </cell>
          <cell r="C65" t="str">
            <v>SIRIUS REAL ESTA</v>
          </cell>
          <cell r="D65">
            <v>20131219</v>
          </cell>
          <cell r="E65" t="str">
            <v>EPS</v>
          </cell>
          <cell r="F65" t="str">
            <v>ANN</v>
          </cell>
          <cell r="G65">
            <v>1</v>
          </cell>
          <cell r="H65">
            <v>1</v>
          </cell>
          <cell r="I65">
            <v>0.03</v>
          </cell>
          <cell r="J65">
            <v>0.03</v>
          </cell>
          <cell r="K65">
            <v>0</v>
          </cell>
          <cell r="L65">
            <v>20140331</v>
          </cell>
          <cell r="N65">
            <v>20140616</v>
          </cell>
        </row>
        <row r="66">
          <cell r="A66" t="str">
            <v>POM</v>
          </cell>
          <cell r="B66" t="str">
            <v>@VV</v>
          </cell>
          <cell r="C66" t="str">
            <v>POLMED SA</v>
          </cell>
          <cell r="D66">
            <v>20131219</v>
          </cell>
          <cell r="E66" t="str">
            <v>EPS</v>
          </cell>
          <cell r="F66" t="str">
            <v>ANN</v>
          </cell>
          <cell r="G66">
            <v>1</v>
          </cell>
          <cell r="H66">
            <v>1</v>
          </cell>
          <cell r="I66">
            <v>0.01</v>
          </cell>
          <cell r="J66">
            <v>0.01</v>
          </cell>
          <cell r="K66">
            <v>0</v>
          </cell>
          <cell r="L66">
            <v>20131231</v>
          </cell>
          <cell r="M66">
            <v>0.11</v>
          </cell>
          <cell r="N66">
            <v>20140321</v>
          </cell>
        </row>
        <row r="67">
          <cell r="A67" t="str">
            <v>EXC</v>
          </cell>
          <cell r="B67" t="str">
            <v>@XDO</v>
          </cell>
          <cell r="C67" t="str">
            <v>EXCEET GROUP SE</v>
          </cell>
          <cell r="D67">
            <v>20131219</v>
          </cell>
          <cell r="E67" t="str">
            <v>EPS</v>
          </cell>
          <cell r="F67" t="str">
            <v>ANN</v>
          </cell>
          <cell r="G67">
            <v>1</v>
          </cell>
          <cell r="H67">
            <v>2</v>
          </cell>
          <cell r="I67">
            <v>0.39</v>
          </cell>
          <cell r="J67">
            <v>0.39</v>
          </cell>
          <cell r="K67">
            <v>0</v>
          </cell>
          <cell r="L67">
            <v>20131231</v>
          </cell>
          <cell r="M67">
            <v>0.37</v>
          </cell>
          <cell r="N67">
            <v>20140228</v>
          </cell>
        </row>
        <row r="68">
          <cell r="A68" t="str">
            <v>CMS</v>
          </cell>
          <cell r="B68" t="str">
            <v>@XJM</v>
          </cell>
          <cell r="C68" t="str">
            <v>COMMUNISIS PLC</v>
          </cell>
          <cell r="D68">
            <v>20131219</v>
          </cell>
          <cell r="E68" t="str">
            <v>EPS</v>
          </cell>
          <cell r="F68" t="str">
            <v>ANN</v>
          </cell>
          <cell r="G68">
            <v>1</v>
          </cell>
          <cell r="H68">
            <v>3</v>
          </cell>
          <cell r="I68">
            <v>4.7</v>
          </cell>
          <cell r="J68">
            <v>4.7699999999999996</v>
          </cell>
          <cell r="K68">
            <v>0</v>
          </cell>
          <cell r="L68">
            <v>20131231</v>
          </cell>
          <cell r="M68">
            <v>4.1900000000000004</v>
          </cell>
          <cell r="N68">
            <v>20140303</v>
          </cell>
        </row>
        <row r="69">
          <cell r="A69" t="str">
            <v>PEG</v>
          </cell>
          <cell r="B69" t="str">
            <v>GEP1</v>
          </cell>
          <cell r="C69" t="str">
            <v>PATTERN ENERGY G</v>
          </cell>
          <cell r="D69">
            <v>20131219</v>
          </cell>
          <cell r="E69" t="str">
            <v>EPS</v>
          </cell>
          <cell r="F69" t="str">
            <v>ANN</v>
          </cell>
          <cell r="G69">
            <v>1</v>
          </cell>
          <cell r="H69">
            <v>1</v>
          </cell>
          <cell r="I69">
            <v>0</v>
          </cell>
          <cell r="J69">
            <v>0</v>
          </cell>
          <cell r="K69">
            <v>0</v>
          </cell>
          <cell r="L69">
            <v>20131231</v>
          </cell>
          <cell r="M69">
            <v>0.33</v>
          </cell>
          <cell r="N69">
            <v>20140228</v>
          </cell>
        </row>
        <row r="70">
          <cell r="A70" t="str">
            <v>PEG</v>
          </cell>
          <cell r="B70" t="str">
            <v>GEP1</v>
          </cell>
          <cell r="C70" t="str">
            <v>PATTERN ENERGY G</v>
          </cell>
          <cell r="D70">
            <v>20131219</v>
          </cell>
          <cell r="E70" t="str">
            <v>EPS</v>
          </cell>
          <cell r="F70" t="str">
            <v>ANN</v>
          </cell>
          <cell r="G70">
            <v>1</v>
          </cell>
          <cell r="H70">
            <v>1</v>
          </cell>
          <cell r="I70">
            <v>0</v>
          </cell>
          <cell r="J70">
            <v>0</v>
          </cell>
          <cell r="K70">
            <v>0</v>
          </cell>
          <cell r="L70">
            <v>20131231</v>
          </cell>
          <cell r="M70">
            <v>0.32</v>
          </cell>
          <cell r="N70">
            <v>20140228</v>
          </cell>
        </row>
        <row r="71">
          <cell r="A71" t="str">
            <v>CNL</v>
          </cell>
          <cell r="B71" t="str">
            <v>NCL1</v>
          </cell>
          <cell r="C71" t="str">
            <v>CONTINENTAL GOLD</v>
          </cell>
          <cell r="D71">
            <v>20131219</v>
          </cell>
          <cell r="E71" t="str">
            <v>EPS</v>
          </cell>
          <cell r="F71" t="str">
            <v>ANN</v>
          </cell>
          <cell r="G71">
            <v>1</v>
          </cell>
          <cell r="H71">
            <v>4</v>
          </cell>
          <cell r="I71">
            <v>-0.11</v>
          </cell>
          <cell r="J71">
            <v>-0.11</v>
          </cell>
          <cell r="K71">
            <v>0</v>
          </cell>
          <cell r="L71">
            <v>20131231</v>
          </cell>
          <cell r="M71">
            <v>-0.14000000000000001</v>
          </cell>
          <cell r="N71">
            <v>20140306</v>
          </cell>
        </row>
        <row r="72">
          <cell r="A72" t="str">
            <v>PPL</v>
          </cell>
          <cell r="B72" t="str">
            <v>PIF1</v>
          </cell>
          <cell r="C72" t="str">
            <v>PEMBINA PIPELINE</v>
          </cell>
          <cell r="D72">
            <v>20131219</v>
          </cell>
          <cell r="E72" t="str">
            <v>EPS</v>
          </cell>
          <cell r="F72" t="str">
            <v>ANN</v>
          </cell>
          <cell r="G72">
            <v>1</v>
          </cell>
          <cell r="H72">
            <v>3</v>
          </cell>
          <cell r="I72">
            <v>1.21</v>
          </cell>
          <cell r="J72">
            <v>1.31</v>
          </cell>
          <cell r="K72">
            <v>0</v>
          </cell>
          <cell r="L72">
            <v>20131231</v>
          </cell>
          <cell r="M72">
            <v>1.1100000000000001</v>
          </cell>
          <cell r="N72">
            <v>20140226</v>
          </cell>
        </row>
        <row r="73">
          <cell r="A73" t="str">
            <v>POM</v>
          </cell>
          <cell r="B73" t="str">
            <v>POM1</v>
          </cell>
          <cell r="C73" t="str">
            <v>POLYMET MINING C</v>
          </cell>
          <cell r="D73">
            <v>20131219</v>
          </cell>
          <cell r="E73" t="str">
            <v>EPS</v>
          </cell>
          <cell r="F73" t="str">
            <v>ANN</v>
          </cell>
          <cell r="G73">
            <v>1</v>
          </cell>
          <cell r="H73">
            <v>1</v>
          </cell>
          <cell r="I73">
            <v>-0.21</v>
          </cell>
          <cell r="J73">
            <v>-0.21</v>
          </cell>
          <cell r="K73">
            <v>0</v>
          </cell>
          <cell r="L73">
            <v>20140131</v>
          </cell>
          <cell r="M73">
            <v>-0.4</v>
          </cell>
          <cell r="N73">
            <v>20140425</v>
          </cell>
        </row>
        <row r="74">
          <cell r="A74" t="str">
            <v>PSD</v>
          </cell>
          <cell r="B74" t="str">
            <v>PSD3</v>
          </cell>
          <cell r="C74" t="str">
            <v>PULSE SEISMIC IN</v>
          </cell>
          <cell r="D74">
            <v>20131219</v>
          </cell>
          <cell r="E74" t="str">
            <v>EPS</v>
          </cell>
          <cell r="F74" t="str">
            <v>ANN</v>
          </cell>
          <cell r="G74">
            <v>1</v>
          </cell>
          <cell r="H74">
            <v>2</v>
          </cell>
          <cell r="I74">
            <v>-0.23</v>
          </cell>
          <cell r="J74">
            <v>-0.23</v>
          </cell>
          <cell r="K74">
            <v>0</v>
          </cell>
          <cell r="L74">
            <v>20131231</v>
          </cell>
          <cell r="M74">
            <v>-0.31</v>
          </cell>
          <cell r="N74">
            <v>20140317</v>
          </cell>
        </row>
        <row r="75">
          <cell r="A75" t="str">
            <v>XEL</v>
          </cell>
          <cell r="B75" t="str">
            <v>XTE1</v>
          </cell>
          <cell r="C75" t="str">
            <v>XCITE ENERGY LTD</v>
          </cell>
          <cell r="D75">
            <v>20131219</v>
          </cell>
          <cell r="E75" t="str">
            <v>EPS</v>
          </cell>
          <cell r="F75" t="str">
            <v>ANN</v>
          </cell>
          <cell r="G75">
            <v>1</v>
          </cell>
          <cell r="H75">
            <v>2</v>
          </cell>
          <cell r="I75">
            <v>0.04</v>
          </cell>
          <cell r="J75">
            <v>0.04</v>
          </cell>
          <cell r="K75">
            <v>0</v>
          </cell>
          <cell r="L75">
            <v>20131231</v>
          </cell>
          <cell r="M75">
            <v>2</v>
          </cell>
          <cell r="N75">
            <v>20140327</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RDS"/>
    </sheetNames>
    <sheetDataSet>
      <sheetData sheetId="0">
        <row r="1">
          <cell r="A1" t="str">
            <v>OFTIC</v>
          </cell>
          <cell r="B1" t="str">
            <v>IBES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USFIRM=0 if from .INT file and USFIRM=1 if from .US file</v>
          </cell>
          <cell r="L1" t="str">
            <v>Forecast Period End Date (SAS Format)</v>
          </cell>
          <cell r="M1" t="str">
            <v>Actual Value, from the Detail Actuals File</v>
          </cell>
          <cell r="N1" t="str">
            <v>Announce date of the Actual, from the Detail Actuals File</v>
          </cell>
        </row>
        <row r="2">
          <cell r="A2" t="str">
            <v>AGR</v>
          </cell>
          <cell r="B2" t="str">
            <v>00YE</v>
          </cell>
          <cell r="C2" t="str">
            <v>AVANGRID</v>
          </cell>
          <cell r="D2">
            <v>20171214</v>
          </cell>
          <cell r="E2" t="str">
            <v>EPS</v>
          </cell>
          <cell r="F2" t="str">
            <v>ANN</v>
          </cell>
          <cell r="G2">
            <v>1</v>
          </cell>
          <cell r="H2">
            <v>8</v>
          </cell>
          <cell r="I2">
            <v>2.25</v>
          </cell>
          <cell r="J2">
            <v>2.2200000000000002</v>
          </cell>
          <cell r="K2">
            <v>1</v>
          </cell>
          <cell r="L2">
            <v>20171231</v>
          </cell>
          <cell r="M2">
            <v>2.2000000000000002</v>
          </cell>
          <cell r="N2">
            <v>20180220</v>
          </cell>
        </row>
        <row r="3">
          <cell r="A3" t="str">
            <v>PNW</v>
          </cell>
          <cell r="B3" t="str">
            <v>AZP</v>
          </cell>
          <cell r="C3" t="str">
            <v>PINNACLE WEST</v>
          </cell>
          <cell r="D3">
            <v>20171214</v>
          </cell>
          <cell r="E3" t="str">
            <v>EPS</v>
          </cell>
          <cell r="F3" t="str">
            <v>ANN</v>
          </cell>
          <cell r="G3">
            <v>1</v>
          </cell>
          <cell r="H3">
            <v>11</v>
          </cell>
          <cell r="I3">
            <v>4.2699999999999996</v>
          </cell>
          <cell r="J3">
            <v>4.2699999999999996</v>
          </cell>
          <cell r="K3">
            <v>1</v>
          </cell>
          <cell r="L3">
            <v>20171231</v>
          </cell>
          <cell r="M3">
            <v>4.3499999999999996</v>
          </cell>
          <cell r="N3">
            <v>20180223</v>
          </cell>
        </row>
        <row r="4">
          <cell r="A4" t="str">
            <v>BKH</v>
          </cell>
          <cell r="B4" t="str">
            <v>BHP</v>
          </cell>
          <cell r="C4" t="str">
            <v>BLACK HILLS CP</v>
          </cell>
          <cell r="D4">
            <v>20171214</v>
          </cell>
          <cell r="E4" t="str">
            <v>EPS</v>
          </cell>
          <cell r="F4" t="str">
            <v>ANN</v>
          </cell>
          <cell r="G4">
            <v>1</v>
          </cell>
          <cell r="H4">
            <v>6</v>
          </cell>
          <cell r="I4">
            <v>3.36</v>
          </cell>
          <cell r="J4">
            <v>3.37</v>
          </cell>
          <cell r="K4">
            <v>1</v>
          </cell>
          <cell r="L4">
            <v>20171231</v>
          </cell>
          <cell r="M4">
            <v>3.36</v>
          </cell>
          <cell r="N4">
            <v>20180201</v>
          </cell>
        </row>
        <row r="5">
          <cell r="A5" t="str">
            <v>CMS</v>
          </cell>
          <cell r="B5" t="str">
            <v>CMS</v>
          </cell>
          <cell r="C5" t="str">
            <v>CMS ENERGY</v>
          </cell>
          <cell r="D5">
            <v>20171214</v>
          </cell>
          <cell r="E5" t="str">
            <v>EPS</v>
          </cell>
          <cell r="F5" t="str">
            <v>ANN</v>
          </cell>
          <cell r="G5">
            <v>1</v>
          </cell>
          <cell r="H5">
            <v>14</v>
          </cell>
          <cell r="I5">
            <v>2.17</v>
          </cell>
          <cell r="J5">
            <v>2.17</v>
          </cell>
          <cell r="K5">
            <v>1</v>
          </cell>
          <cell r="L5">
            <v>20171231</v>
          </cell>
          <cell r="M5">
            <v>2.17</v>
          </cell>
          <cell r="N5">
            <v>20180214</v>
          </cell>
        </row>
        <row r="6">
          <cell r="A6" t="str">
            <v>D</v>
          </cell>
          <cell r="B6" t="str">
            <v>D</v>
          </cell>
          <cell r="C6" t="str">
            <v>DOMINION INC</v>
          </cell>
          <cell r="D6">
            <v>20171214</v>
          </cell>
          <cell r="E6" t="str">
            <v>EPS</v>
          </cell>
          <cell r="F6" t="str">
            <v>ANN</v>
          </cell>
          <cell r="G6">
            <v>1</v>
          </cell>
          <cell r="H6">
            <v>17</v>
          </cell>
          <cell r="I6">
            <v>3.6</v>
          </cell>
          <cell r="J6">
            <v>3.58</v>
          </cell>
          <cell r="K6">
            <v>1</v>
          </cell>
          <cell r="L6">
            <v>20171231</v>
          </cell>
          <cell r="M6">
            <v>3.6</v>
          </cell>
          <cell r="N6">
            <v>20180129</v>
          </cell>
        </row>
        <row r="7">
          <cell r="A7" t="str">
            <v>DTE</v>
          </cell>
          <cell r="B7" t="str">
            <v>DTE</v>
          </cell>
          <cell r="C7" t="str">
            <v>DTE ENERGY</v>
          </cell>
          <cell r="D7">
            <v>20171214</v>
          </cell>
          <cell r="E7" t="str">
            <v>EPS</v>
          </cell>
          <cell r="F7" t="str">
            <v>ANN</v>
          </cell>
          <cell r="G7">
            <v>1</v>
          </cell>
          <cell r="H7">
            <v>9</v>
          </cell>
          <cell r="I7">
            <v>5.52</v>
          </cell>
          <cell r="J7">
            <v>5.52</v>
          </cell>
          <cell r="K7">
            <v>1</v>
          </cell>
          <cell r="L7">
            <v>20171231</v>
          </cell>
          <cell r="M7">
            <v>5.59</v>
          </cell>
          <cell r="N7">
            <v>20180216</v>
          </cell>
        </row>
        <row r="8">
          <cell r="A8" t="str">
            <v>DUK</v>
          </cell>
          <cell r="B8" t="str">
            <v>DUK</v>
          </cell>
          <cell r="C8" t="str">
            <v>DUKE ENERGY</v>
          </cell>
          <cell r="D8">
            <v>20171214</v>
          </cell>
          <cell r="E8" t="str">
            <v>EPS</v>
          </cell>
          <cell r="F8" t="str">
            <v>ANN</v>
          </cell>
          <cell r="G8">
            <v>1</v>
          </cell>
          <cell r="H8">
            <v>12</v>
          </cell>
          <cell r="I8">
            <v>4.55</v>
          </cell>
          <cell r="J8">
            <v>4.55</v>
          </cell>
          <cell r="K8">
            <v>1</v>
          </cell>
          <cell r="L8">
            <v>20171231</v>
          </cell>
          <cell r="M8">
            <v>4.57</v>
          </cell>
          <cell r="N8">
            <v>20180220</v>
          </cell>
        </row>
        <row r="9">
          <cell r="A9" t="str">
            <v>ED</v>
          </cell>
          <cell r="B9" t="str">
            <v>ED</v>
          </cell>
          <cell r="C9" t="str">
            <v>CONSOLIDATED EDI</v>
          </cell>
          <cell r="D9">
            <v>20171214</v>
          </cell>
          <cell r="E9" t="str">
            <v>EPS</v>
          </cell>
          <cell r="F9" t="str">
            <v>ANN</v>
          </cell>
          <cell r="G9">
            <v>1</v>
          </cell>
          <cell r="H9">
            <v>12</v>
          </cell>
          <cell r="I9">
            <v>4.0999999999999996</v>
          </cell>
          <cell r="J9">
            <v>4.09</v>
          </cell>
          <cell r="K9">
            <v>1</v>
          </cell>
          <cell r="L9">
            <v>20171231</v>
          </cell>
          <cell r="M9">
            <v>4.12</v>
          </cell>
          <cell r="N9">
            <v>20180215</v>
          </cell>
        </row>
        <row r="10">
          <cell r="A10" t="str">
            <v>NEE</v>
          </cell>
          <cell r="B10" t="str">
            <v>FPL</v>
          </cell>
          <cell r="C10" t="str">
            <v>NEXTERA</v>
          </cell>
          <cell r="D10">
            <v>20171214</v>
          </cell>
          <cell r="E10" t="str">
            <v>EPS</v>
          </cell>
          <cell r="F10" t="str">
            <v>ANN</v>
          </cell>
          <cell r="G10">
            <v>1</v>
          </cell>
          <cell r="H10">
            <v>14</v>
          </cell>
          <cell r="I10">
            <v>1.69</v>
          </cell>
          <cell r="J10">
            <v>1.69</v>
          </cell>
          <cell r="K10">
            <v>1</v>
          </cell>
          <cell r="L10">
            <v>20171231</v>
          </cell>
          <cell r="M10">
            <v>1.675</v>
          </cell>
          <cell r="N10">
            <v>20180126</v>
          </cell>
        </row>
        <row r="11">
          <cell r="A11" t="str">
            <v>HE</v>
          </cell>
          <cell r="B11" t="str">
            <v>HE</v>
          </cell>
          <cell r="C11" t="str">
            <v>HAWAIIAN ELEC</v>
          </cell>
          <cell r="D11">
            <v>20171214</v>
          </cell>
          <cell r="E11" t="str">
            <v>EPS</v>
          </cell>
          <cell r="F11" t="str">
            <v>ANN</v>
          </cell>
          <cell r="G11">
            <v>1</v>
          </cell>
          <cell r="H11">
            <v>5</v>
          </cell>
          <cell r="I11">
            <v>1.64</v>
          </cell>
          <cell r="J11">
            <v>1.64</v>
          </cell>
          <cell r="K11">
            <v>1</v>
          </cell>
          <cell r="L11">
            <v>20171231</v>
          </cell>
          <cell r="M11">
            <v>1.65</v>
          </cell>
          <cell r="N11">
            <v>20180214</v>
          </cell>
        </row>
        <row r="12">
          <cell r="A12" t="str">
            <v>CNP</v>
          </cell>
          <cell r="B12" t="str">
            <v>HOU</v>
          </cell>
          <cell r="C12" t="str">
            <v>CENTERPNT ENERGY</v>
          </cell>
          <cell r="D12">
            <v>20171214</v>
          </cell>
          <cell r="E12" t="str">
            <v>EPS</v>
          </cell>
          <cell r="F12" t="str">
            <v>ANN</v>
          </cell>
          <cell r="G12">
            <v>1</v>
          </cell>
          <cell r="H12">
            <v>13</v>
          </cell>
          <cell r="I12">
            <v>1.33</v>
          </cell>
          <cell r="J12">
            <v>1.33</v>
          </cell>
          <cell r="K12">
            <v>1</v>
          </cell>
          <cell r="L12">
            <v>20171231</v>
          </cell>
          <cell r="M12">
            <v>1.37</v>
          </cell>
          <cell r="N12">
            <v>20180222</v>
          </cell>
        </row>
        <row r="13">
          <cell r="A13" t="str">
            <v>IDA</v>
          </cell>
          <cell r="B13" t="str">
            <v>IDA</v>
          </cell>
          <cell r="C13" t="str">
            <v>IDACORP INC.</v>
          </cell>
          <cell r="D13">
            <v>20171214</v>
          </cell>
          <cell r="E13" t="str">
            <v>EPS</v>
          </cell>
          <cell r="F13" t="str">
            <v>ANN</v>
          </cell>
          <cell r="G13">
            <v>1</v>
          </cell>
          <cell r="H13">
            <v>2</v>
          </cell>
          <cell r="I13">
            <v>4.12</v>
          </cell>
          <cell r="J13">
            <v>4.12</v>
          </cell>
          <cell r="K13">
            <v>1</v>
          </cell>
          <cell r="L13">
            <v>20171231</v>
          </cell>
          <cell r="M13">
            <v>4.21</v>
          </cell>
          <cell r="N13">
            <v>20180222</v>
          </cell>
        </row>
        <row r="14">
          <cell r="A14" t="str">
            <v>WR</v>
          </cell>
          <cell r="B14" t="str">
            <v>KAN</v>
          </cell>
          <cell r="C14" t="str">
            <v>WESTAR ENERGY</v>
          </cell>
          <cell r="D14">
            <v>20171214</v>
          </cell>
          <cell r="E14" t="str">
            <v>EPS</v>
          </cell>
          <cell r="F14" t="str">
            <v>ANN</v>
          </cell>
          <cell r="G14">
            <v>1</v>
          </cell>
          <cell r="H14">
            <v>9</v>
          </cell>
          <cell r="I14">
            <v>2.4500000000000002</v>
          </cell>
          <cell r="J14">
            <v>2.4700000000000002</v>
          </cell>
          <cell r="K14">
            <v>1</v>
          </cell>
          <cell r="L14">
            <v>20171231</v>
          </cell>
          <cell r="M14">
            <v>2.36</v>
          </cell>
          <cell r="N14">
            <v>20180221</v>
          </cell>
        </row>
        <row r="15">
          <cell r="A15" t="str">
            <v>GXP</v>
          </cell>
          <cell r="B15" t="str">
            <v>KLT</v>
          </cell>
          <cell r="C15" t="str">
            <v>GREAT PLAINS</v>
          </cell>
          <cell r="D15">
            <v>20171214</v>
          </cell>
          <cell r="E15" t="str">
            <v>EPS</v>
          </cell>
          <cell r="F15" t="str">
            <v>ANN</v>
          </cell>
          <cell r="G15">
            <v>1</v>
          </cell>
          <cell r="H15">
            <v>6</v>
          </cell>
          <cell r="I15">
            <v>1.74</v>
          </cell>
          <cell r="J15">
            <v>1.71</v>
          </cell>
          <cell r="K15">
            <v>1</v>
          </cell>
          <cell r="L15">
            <v>20171231</v>
          </cell>
          <cell r="M15">
            <v>1.74</v>
          </cell>
          <cell r="N15">
            <v>20180221</v>
          </cell>
        </row>
        <row r="16">
          <cell r="A16" t="str">
            <v>MGEE</v>
          </cell>
          <cell r="B16" t="str">
            <v>MDSN</v>
          </cell>
          <cell r="C16" t="str">
            <v>MGE ENERGY INC</v>
          </cell>
          <cell r="D16">
            <v>20171214</v>
          </cell>
          <cell r="E16" t="str">
            <v>EPS</v>
          </cell>
          <cell r="F16" t="str">
            <v>ANN</v>
          </cell>
          <cell r="G16">
            <v>1</v>
          </cell>
          <cell r="H16">
            <v>1</v>
          </cell>
          <cell r="I16">
            <v>2.2000000000000002</v>
          </cell>
          <cell r="J16">
            <v>2.2000000000000002</v>
          </cell>
          <cell r="K16">
            <v>1</v>
          </cell>
          <cell r="L16">
            <v>20171231</v>
          </cell>
          <cell r="M16">
            <v>2.23</v>
          </cell>
          <cell r="N16">
            <v>20180223</v>
          </cell>
        </row>
        <row r="17">
          <cell r="A17" t="str">
            <v>ALE</v>
          </cell>
          <cell r="B17" t="str">
            <v>MPL</v>
          </cell>
          <cell r="C17" t="str">
            <v>ALLETE INC</v>
          </cell>
          <cell r="D17">
            <v>20171214</v>
          </cell>
          <cell r="E17" t="str">
            <v>EPS</v>
          </cell>
          <cell r="F17" t="str">
            <v>ANN</v>
          </cell>
          <cell r="G17">
            <v>1</v>
          </cell>
          <cell r="H17">
            <v>5</v>
          </cell>
          <cell r="I17">
            <v>3.28</v>
          </cell>
          <cell r="J17">
            <v>3.28</v>
          </cell>
          <cell r="K17">
            <v>1</v>
          </cell>
          <cell r="L17">
            <v>20171231</v>
          </cell>
          <cell r="M17">
            <v>3.19</v>
          </cell>
          <cell r="N17">
            <v>20180215</v>
          </cell>
        </row>
        <row r="18">
          <cell r="A18" t="str">
            <v>ETR</v>
          </cell>
          <cell r="B18" t="str">
            <v>MSU</v>
          </cell>
          <cell r="C18" t="str">
            <v>ENTERGY</v>
          </cell>
          <cell r="D18">
            <v>20171214</v>
          </cell>
          <cell r="E18" t="str">
            <v>EPS</v>
          </cell>
          <cell r="F18" t="str">
            <v>ANN</v>
          </cell>
          <cell r="G18">
            <v>1</v>
          </cell>
          <cell r="H18">
            <v>12</v>
          </cell>
          <cell r="I18">
            <v>6.91</v>
          </cell>
          <cell r="J18">
            <v>6.9</v>
          </cell>
          <cell r="K18">
            <v>1</v>
          </cell>
          <cell r="L18">
            <v>20171231</v>
          </cell>
          <cell r="M18">
            <v>7.2</v>
          </cell>
          <cell r="N18">
            <v>20180223</v>
          </cell>
        </row>
        <row r="19">
          <cell r="A19" t="str">
            <v>XEL</v>
          </cell>
          <cell r="B19" t="str">
            <v>NSP</v>
          </cell>
          <cell r="C19" t="str">
            <v>XCEL ENERGY</v>
          </cell>
          <cell r="D19">
            <v>20171214</v>
          </cell>
          <cell r="E19" t="str">
            <v>EPS</v>
          </cell>
          <cell r="F19" t="str">
            <v>ANN</v>
          </cell>
          <cell r="G19">
            <v>1</v>
          </cell>
          <cell r="H19">
            <v>14</v>
          </cell>
          <cell r="I19">
            <v>2.31</v>
          </cell>
          <cell r="J19">
            <v>2.31</v>
          </cell>
          <cell r="K19">
            <v>1</v>
          </cell>
          <cell r="L19">
            <v>20171231</v>
          </cell>
          <cell r="M19">
            <v>2.2999999999999998</v>
          </cell>
          <cell r="N19">
            <v>20180207</v>
          </cell>
        </row>
        <row r="20">
          <cell r="A20" t="str">
            <v>NWE</v>
          </cell>
          <cell r="B20" t="str">
            <v>NWPS</v>
          </cell>
          <cell r="C20" t="str">
            <v>NORTHWESTERN US</v>
          </cell>
          <cell r="D20">
            <v>20171214</v>
          </cell>
          <cell r="E20" t="str">
            <v>EPS</v>
          </cell>
          <cell r="F20" t="str">
            <v>ANN</v>
          </cell>
          <cell r="G20">
            <v>1</v>
          </cell>
          <cell r="H20">
            <v>2</v>
          </cell>
          <cell r="I20">
            <v>3.38</v>
          </cell>
          <cell r="J20">
            <v>3.38</v>
          </cell>
          <cell r="K20">
            <v>1</v>
          </cell>
          <cell r="L20">
            <v>20171231</v>
          </cell>
          <cell r="M20">
            <v>3.3</v>
          </cell>
          <cell r="N20">
            <v>20180212</v>
          </cell>
        </row>
        <row r="21">
          <cell r="A21" t="str">
            <v>FE</v>
          </cell>
          <cell r="B21" t="str">
            <v>OEC</v>
          </cell>
          <cell r="C21" t="str">
            <v>FIRSTENERGY</v>
          </cell>
          <cell r="D21">
            <v>20171214</v>
          </cell>
          <cell r="E21" t="str">
            <v>EPS</v>
          </cell>
          <cell r="F21" t="str">
            <v>ANN</v>
          </cell>
          <cell r="G21">
            <v>1</v>
          </cell>
          <cell r="H21">
            <v>12</v>
          </cell>
          <cell r="I21">
            <v>3.05</v>
          </cell>
          <cell r="J21">
            <v>3.03</v>
          </cell>
          <cell r="K21">
            <v>1</v>
          </cell>
          <cell r="L21">
            <v>20171231</v>
          </cell>
          <cell r="M21">
            <v>3.07</v>
          </cell>
          <cell r="N21">
            <v>20180220</v>
          </cell>
        </row>
        <row r="22">
          <cell r="A22" t="str">
            <v>OGE</v>
          </cell>
          <cell r="B22" t="str">
            <v>OGE</v>
          </cell>
          <cell r="C22" t="str">
            <v>OGE ENERGY CORP</v>
          </cell>
          <cell r="D22">
            <v>20171214</v>
          </cell>
          <cell r="E22" t="str">
            <v>EPS</v>
          </cell>
          <cell r="F22" t="str">
            <v>ANN</v>
          </cell>
          <cell r="G22">
            <v>1</v>
          </cell>
          <cell r="H22">
            <v>6</v>
          </cell>
          <cell r="I22">
            <v>1.9</v>
          </cell>
          <cell r="J22">
            <v>1.92</v>
          </cell>
          <cell r="K22">
            <v>1</v>
          </cell>
          <cell r="L22">
            <v>20171231</v>
          </cell>
          <cell r="M22">
            <v>1.92</v>
          </cell>
          <cell r="N22">
            <v>20180222</v>
          </cell>
        </row>
        <row r="23">
          <cell r="A23" t="str">
            <v>OTTR</v>
          </cell>
          <cell r="B23" t="str">
            <v>OTTR</v>
          </cell>
          <cell r="C23" t="str">
            <v>OTTER TAIL</v>
          </cell>
          <cell r="D23">
            <v>20171214</v>
          </cell>
          <cell r="E23" t="str">
            <v>EPS</v>
          </cell>
          <cell r="F23" t="str">
            <v>ANN</v>
          </cell>
          <cell r="G23">
            <v>1</v>
          </cell>
          <cell r="H23">
            <v>2</v>
          </cell>
          <cell r="I23">
            <v>1.81</v>
          </cell>
          <cell r="J23">
            <v>1.81</v>
          </cell>
          <cell r="K23">
            <v>1</v>
          </cell>
          <cell r="L23">
            <v>20171231</v>
          </cell>
          <cell r="M23">
            <v>1.86</v>
          </cell>
          <cell r="N23">
            <v>20180212</v>
          </cell>
        </row>
        <row r="24">
          <cell r="A24" t="str">
            <v>PCG</v>
          </cell>
          <cell r="B24" t="str">
            <v>PCG</v>
          </cell>
          <cell r="C24" t="str">
            <v>PG&amp;E US</v>
          </cell>
          <cell r="D24">
            <v>20171214</v>
          </cell>
          <cell r="E24" t="str">
            <v>EPS</v>
          </cell>
          <cell r="F24" t="str">
            <v>ANN</v>
          </cell>
          <cell r="G24">
            <v>1</v>
          </cell>
          <cell r="H24">
            <v>13</v>
          </cell>
          <cell r="I24">
            <v>3.68</v>
          </cell>
          <cell r="J24">
            <v>3.68</v>
          </cell>
          <cell r="K24">
            <v>1</v>
          </cell>
          <cell r="L24">
            <v>20171231</v>
          </cell>
          <cell r="M24">
            <v>3.68</v>
          </cell>
          <cell r="N24">
            <v>20180209</v>
          </cell>
        </row>
        <row r="25">
          <cell r="A25" t="str">
            <v>EXC</v>
          </cell>
          <cell r="B25" t="str">
            <v>PE</v>
          </cell>
          <cell r="C25" t="str">
            <v>EXELON</v>
          </cell>
          <cell r="D25">
            <v>20171214</v>
          </cell>
          <cell r="E25" t="str">
            <v>EPS</v>
          </cell>
          <cell r="F25" t="str">
            <v>ANN</v>
          </cell>
          <cell r="G25">
            <v>1</v>
          </cell>
          <cell r="H25">
            <v>16</v>
          </cell>
          <cell r="I25">
            <v>2.65</v>
          </cell>
          <cell r="J25">
            <v>2.65</v>
          </cell>
          <cell r="K25">
            <v>1</v>
          </cell>
          <cell r="L25">
            <v>20171231</v>
          </cell>
          <cell r="M25">
            <v>2.6</v>
          </cell>
          <cell r="N25">
            <v>20180207</v>
          </cell>
        </row>
        <row r="26">
          <cell r="A26" t="str">
            <v>PEG</v>
          </cell>
          <cell r="B26" t="str">
            <v>PEG</v>
          </cell>
          <cell r="C26" t="str">
            <v>PSEG</v>
          </cell>
          <cell r="D26">
            <v>20171214</v>
          </cell>
          <cell r="E26" t="str">
            <v>EPS</v>
          </cell>
          <cell r="F26" t="str">
            <v>ANN</v>
          </cell>
          <cell r="G26">
            <v>1</v>
          </cell>
          <cell r="H26">
            <v>14</v>
          </cell>
          <cell r="I26">
            <v>2.91</v>
          </cell>
          <cell r="J26">
            <v>2.92</v>
          </cell>
          <cell r="K26">
            <v>1</v>
          </cell>
          <cell r="L26">
            <v>20171231</v>
          </cell>
          <cell r="M26">
            <v>2.93</v>
          </cell>
          <cell r="N26">
            <v>20180223</v>
          </cell>
        </row>
        <row r="27">
          <cell r="A27" t="str">
            <v>PNM</v>
          </cell>
          <cell r="B27" t="str">
            <v>PNM</v>
          </cell>
          <cell r="C27" t="str">
            <v>PNM RESOURCES</v>
          </cell>
          <cell r="D27">
            <v>20171214</v>
          </cell>
          <cell r="E27" t="str">
            <v>EPS</v>
          </cell>
          <cell r="F27" t="str">
            <v>ANN</v>
          </cell>
          <cell r="G27">
            <v>1</v>
          </cell>
          <cell r="H27">
            <v>10</v>
          </cell>
          <cell r="I27">
            <v>1.85</v>
          </cell>
          <cell r="J27">
            <v>1.85</v>
          </cell>
          <cell r="K27">
            <v>1</v>
          </cell>
          <cell r="L27">
            <v>20171231</v>
          </cell>
          <cell r="M27">
            <v>1.94</v>
          </cell>
          <cell r="N27">
            <v>20180227</v>
          </cell>
        </row>
        <row r="28">
          <cell r="A28" t="str">
            <v>POR</v>
          </cell>
          <cell r="B28" t="str">
            <v>PORO</v>
          </cell>
          <cell r="C28" t="str">
            <v>PORTLAND GENERAL</v>
          </cell>
          <cell r="D28">
            <v>20171214</v>
          </cell>
          <cell r="E28" t="str">
            <v>EPS</v>
          </cell>
          <cell r="F28" t="str">
            <v>ANN</v>
          </cell>
          <cell r="G28">
            <v>1</v>
          </cell>
          <cell r="H28">
            <v>10</v>
          </cell>
          <cell r="I28">
            <v>2.27</v>
          </cell>
          <cell r="J28">
            <v>2.2599999999999998</v>
          </cell>
          <cell r="K28">
            <v>1</v>
          </cell>
          <cell r="L28">
            <v>20171231</v>
          </cell>
          <cell r="M28">
            <v>2.29</v>
          </cell>
          <cell r="N28">
            <v>20180216</v>
          </cell>
        </row>
        <row r="29">
          <cell r="A29" t="str">
            <v>PPL</v>
          </cell>
          <cell r="B29" t="str">
            <v>PPL</v>
          </cell>
          <cell r="C29" t="str">
            <v>PPL</v>
          </cell>
          <cell r="D29">
            <v>20171214</v>
          </cell>
          <cell r="E29" t="str">
            <v>EPS</v>
          </cell>
          <cell r="F29" t="str">
            <v>ANN</v>
          </cell>
          <cell r="G29">
            <v>1</v>
          </cell>
          <cell r="H29">
            <v>13</v>
          </cell>
          <cell r="I29">
            <v>2.1800000000000002</v>
          </cell>
          <cell r="J29">
            <v>2.17</v>
          </cell>
          <cell r="K29">
            <v>1</v>
          </cell>
          <cell r="L29">
            <v>20171231</v>
          </cell>
          <cell r="M29">
            <v>2.25</v>
          </cell>
          <cell r="N29">
            <v>20180222</v>
          </cell>
        </row>
        <row r="30">
          <cell r="A30" t="str">
            <v>EIX</v>
          </cell>
          <cell r="B30" t="str">
            <v>SCE</v>
          </cell>
          <cell r="C30" t="str">
            <v>EDISON INTL</v>
          </cell>
          <cell r="D30">
            <v>20171214</v>
          </cell>
          <cell r="E30" t="str">
            <v>EPS</v>
          </cell>
          <cell r="F30" t="str">
            <v>ANN</v>
          </cell>
          <cell r="G30">
            <v>1</v>
          </cell>
          <cell r="H30">
            <v>13</v>
          </cell>
          <cell r="I30">
            <v>4.32</v>
          </cell>
          <cell r="J30">
            <v>4.32</v>
          </cell>
          <cell r="K30">
            <v>1</v>
          </cell>
          <cell r="L30">
            <v>20171231</v>
          </cell>
          <cell r="M30">
            <v>4.5</v>
          </cell>
          <cell r="N30">
            <v>20180222</v>
          </cell>
        </row>
        <row r="31">
          <cell r="A31" t="str">
            <v>SCG</v>
          </cell>
          <cell r="B31" t="str">
            <v>SCG</v>
          </cell>
          <cell r="C31" t="str">
            <v>SCANA</v>
          </cell>
          <cell r="D31">
            <v>20171214</v>
          </cell>
          <cell r="E31" t="str">
            <v>EPS</v>
          </cell>
          <cell r="F31" t="str">
            <v>ANN</v>
          </cell>
          <cell r="G31">
            <v>1</v>
          </cell>
          <cell r="H31">
            <v>8</v>
          </cell>
          <cell r="I31">
            <v>4.2</v>
          </cell>
          <cell r="J31">
            <v>4.1900000000000004</v>
          </cell>
          <cell r="K31">
            <v>1</v>
          </cell>
          <cell r="L31">
            <v>20171231</v>
          </cell>
          <cell r="M31">
            <v>4.2</v>
          </cell>
          <cell r="N31">
            <v>20180222</v>
          </cell>
        </row>
        <row r="32">
          <cell r="A32" t="str">
            <v>SRE</v>
          </cell>
          <cell r="B32" t="str">
            <v>SDO</v>
          </cell>
          <cell r="C32" t="str">
            <v>SEMPRA ENER</v>
          </cell>
          <cell r="D32">
            <v>20171214</v>
          </cell>
          <cell r="E32" t="str">
            <v>EPS</v>
          </cell>
          <cell r="F32" t="str">
            <v>ANN</v>
          </cell>
          <cell r="G32">
            <v>1</v>
          </cell>
          <cell r="H32">
            <v>10</v>
          </cell>
          <cell r="I32">
            <v>5.28</v>
          </cell>
          <cell r="J32">
            <v>5.28</v>
          </cell>
          <cell r="K32">
            <v>1</v>
          </cell>
          <cell r="L32">
            <v>20171231</v>
          </cell>
          <cell r="M32">
            <v>5.42</v>
          </cell>
          <cell r="N32">
            <v>20180227</v>
          </cell>
        </row>
        <row r="33">
          <cell r="A33" t="str">
            <v>VVC</v>
          </cell>
          <cell r="B33" t="str">
            <v>SIG</v>
          </cell>
          <cell r="C33" t="str">
            <v>VECTREN CORP</v>
          </cell>
          <cell r="D33">
            <v>20171214</v>
          </cell>
          <cell r="E33" t="str">
            <v>EPS</v>
          </cell>
          <cell r="F33" t="str">
            <v>ANN</v>
          </cell>
          <cell r="G33">
            <v>1</v>
          </cell>
          <cell r="H33">
            <v>5</v>
          </cell>
          <cell r="I33">
            <v>2.65</v>
          </cell>
          <cell r="J33">
            <v>2.63</v>
          </cell>
          <cell r="K33">
            <v>1</v>
          </cell>
          <cell r="L33">
            <v>20171231</v>
          </cell>
          <cell r="M33">
            <v>2.6</v>
          </cell>
          <cell r="N33">
            <v>20180220</v>
          </cell>
        </row>
        <row r="34">
          <cell r="A34" t="str">
            <v>SO</v>
          </cell>
          <cell r="B34" t="str">
            <v>SO</v>
          </cell>
          <cell r="C34" t="str">
            <v>SOUTHERN CO</v>
          </cell>
          <cell r="D34">
            <v>20171214</v>
          </cell>
          <cell r="E34" t="str">
            <v>EPS</v>
          </cell>
          <cell r="F34" t="str">
            <v>ANN</v>
          </cell>
          <cell r="G34">
            <v>1</v>
          </cell>
          <cell r="H34">
            <v>15</v>
          </cell>
          <cell r="I34">
            <v>2.95</v>
          </cell>
          <cell r="J34">
            <v>2.95</v>
          </cell>
          <cell r="K34">
            <v>1</v>
          </cell>
          <cell r="L34">
            <v>20171231</v>
          </cell>
          <cell r="M34">
            <v>3.02</v>
          </cell>
          <cell r="N34">
            <v>20180221</v>
          </cell>
        </row>
        <row r="35">
          <cell r="A35" t="str">
            <v>AEE</v>
          </cell>
          <cell r="B35" t="str">
            <v>UEP</v>
          </cell>
          <cell r="C35" t="str">
            <v>AMEREN</v>
          </cell>
          <cell r="D35">
            <v>20171214</v>
          </cell>
          <cell r="E35" t="str">
            <v>EPS</v>
          </cell>
          <cell r="F35" t="str">
            <v>ANN</v>
          </cell>
          <cell r="G35">
            <v>1</v>
          </cell>
          <cell r="H35">
            <v>6</v>
          </cell>
          <cell r="I35">
            <v>2.8</v>
          </cell>
          <cell r="J35">
            <v>2.79</v>
          </cell>
          <cell r="K35">
            <v>1</v>
          </cell>
          <cell r="L35">
            <v>20171231</v>
          </cell>
          <cell r="M35">
            <v>2.83</v>
          </cell>
          <cell r="N35">
            <v>20180216</v>
          </cell>
        </row>
        <row r="36">
          <cell r="A36" t="str">
            <v>WEC</v>
          </cell>
          <cell r="B36" t="str">
            <v>WPC</v>
          </cell>
          <cell r="C36" t="str">
            <v>WEC ENERGY GROUP</v>
          </cell>
          <cell r="D36">
            <v>20171214</v>
          </cell>
          <cell r="E36" t="str">
            <v>EPS</v>
          </cell>
          <cell r="F36" t="str">
            <v>ANN</v>
          </cell>
          <cell r="G36">
            <v>1</v>
          </cell>
          <cell r="H36">
            <v>12</v>
          </cell>
          <cell r="I36">
            <v>3.1</v>
          </cell>
          <cell r="J36">
            <v>3.1</v>
          </cell>
          <cell r="K36">
            <v>1</v>
          </cell>
          <cell r="L36">
            <v>20171231</v>
          </cell>
          <cell r="M36">
            <v>3.14</v>
          </cell>
          <cell r="N36">
            <v>20180131</v>
          </cell>
        </row>
        <row r="37">
          <cell r="A37" t="str">
            <v>LNT</v>
          </cell>
          <cell r="B37" t="str">
            <v>WPL</v>
          </cell>
          <cell r="C37" t="str">
            <v>ALLIANT ENER</v>
          </cell>
          <cell r="D37">
            <v>20171214</v>
          </cell>
          <cell r="E37" t="str">
            <v>EPS</v>
          </cell>
          <cell r="F37" t="str">
            <v>ANN</v>
          </cell>
          <cell r="G37">
            <v>1</v>
          </cell>
          <cell r="H37">
            <v>7</v>
          </cell>
          <cell r="I37">
            <v>1.95</v>
          </cell>
          <cell r="J37">
            <v>1.95</v>
          </cell>
          <cell r="K37">
            <v>1</v>
          </cell>
          <cell r="L37">
            <v>20171231</v>
          </cell>
          <cell r="M37">
            <v>1.93</v>
          </cell>
          <cell r="N37">
            <v>20180222</v>
          </cell>
        </row>
        <row r="38">
          <cell r="A38" t="str">
            <v>AVA</v>
          </cell>
          <cell r="B38" t="str">
            <v>WWP</v>
          </cell>
          <cell r="C38" t="str">
            <v>AVISTA US</v>
          </cell>
          <cell r="D38">
            <v>20171214</v>
          </cell>
          <cell r="E38" t="str">
            <v>EPS</v>
          </cell>
          <cell r="F38" t="str">
            <v>ANN</v>
          </cell>
          <cell r="G38">
            <v>1</v>
          </cell>
          <cell r="H38">
            <v>2</v>
          </cell>
          <cell r="I38">
            <v>1.88</v>
          </cell>
          <cell r="J38">
            <v>1.88</v>
          </cell>
          <cell r="K38">
            <v>1</v>
          </cell>
          <cell r="L38">
            <v>20171231</v>
          </cell>
          <cell r="M38">
            <v>1.95</v>
          </cell>
          <cell r="N38">
            <v>20180221</v>
          </cell>
        </row>
        <row r="39">
          <cell r="A39" t="str">
            <v>SCG</v>
          </cell>
          <cell r="B39" t="str">
            <v>@006C</v>
          </cell>
          <cell r="C39" t="str">
            <v>SCENTRE</v>
          </cell>
          <cell r="D39">
            <v>20171214</v>
          </cell>
          <cell r="E39" t="str">
            <v>EPS</v>
          </cell>
          <cell r="F39" t="str">
            <v>ANN</v>
          </cell>
          <cell r="G39">
            <v>1</v>
          </cell>
          <cell r="H39">
            <v>13</v>
          </cell>
          <cell r="I39">
            <v>0.24</v>
          </cell>
          <cell r="J39">
            <v>0.23799999999999999</v>
          </cell>
          <cell r="K39">
            <v>0</v>
          </cell>
          <cell r="L39">
            <v>20171231</v>
          </cell>
          <cell r="M39">
            <v>0.24199999999999999</v>
          </cell>
          <cell r="N39">
            <v>20180220</v>
          </cell>
        </row>
        <row r="40">
          <cell r="A40" t="str">
            <v>PPL</v>
          </cell>
          <cell r="B40" t="str">
            <v>@00TM</v>
          </cell>
          <cell r="C40" t="str">
            <v>PUREPROFILE</v>
          </cell>
          <cell r="D40">
            <v>20171214</v>
          </cell>
          <cell r="E40" t="str">
            <v>EPS</v>
          </cell>
          <cell r="F40" t="str">
            <v>ANN</v>
          </cell>
          <cell r="G40">
            <v>1</v>
          </cell>
          <cell r="H40">
            <v>2</v>
          </cell>
          <cell r="I40">
            <v>2.5999999999999999E-2</v>
          </cell>
          <cell r="J40">
            <v>2.5999999999999999E-2</v>
          </cell>
          <cell r="K40">
            <v>0</v>
          </cell>
          <cell r="L40">
            <v>20180630</v>
          </cell>
          <cell r="N40">
            <v>20180830</v>
          </cell>
        </row>
        <row r="41">
          <cell r="A41" t="str">
            <v>NST</v>
          </cell>
          <cell r="B41" t="str">
            <v>@01MM</v>
          </cell>
          <cell r="C41" t="str">
            <v>NESTMEDIC</v>
          </cell>
          <cell r="D41">
            <v>20171214</v>
          </cell>
          <cell r="E41" t="str">
            <v>EPS</v>
          </cell>
          <cell r="F41" t="str">
            <v>ANN</v>
          </cell>
          <cell r="G41">
            <v>1</v>
          </cell>
          <cell r="H41">
            <v>1</v>
          </cell>
          <cell r="I41">
            <v>-0.75</v>
          </cell>
          <cell r="J41">
            <v>-0.75</v>
          </cell>
          <cell r="K41">
            <v>0</v>
          </cell>
          <cell r="L41">
            <v>20171231</v>
          </cell>
          <cell r="M41">
            <v>-0.76</v>
          </cell>
          <cell r="N41">
            <v>20180320</v>
          </cell>
        </row>
        <row r="42">
          <cell r="A42" t="str">
            <v>D</v>
          </cell>
          <cell r="B42" t="str">
            <v>@01RP</v>
          </cell>
          <cell r="C42" t="str">
            <v>DENTAL CORP</v>
          </cell>
          <cell r="D42">
            <v>20171214</v>
          </cell>
          <cell r="E42" t="str">
            <v>EPS</v>
          </cell>
          <cell r="F42" t="str">
            <v>ANN</v>
          </cell>
          <cell r="G42">
            <v>1</v>
          </cell>
          <cell r="H42">
            <v>2</v>
          </cell>
          <cell r="I42">
            <v>0.22</v>
          </cell>
          <cell r="J42">
            <v>0.22</v>
          </cell>
          <cell r="K42">
            <v>0</v>
          </cell>
          <cell r="L42">
            <v>20171231</v>
          </cell>
          <cell r="M42">
            <v>0.22989999999999999</v>
          </cell>
          <cell r="N42">
            <v>20180222</v>
          </cell>
        </row>
        <row r="43">
          <cell r="A43" t="str">
            <v>PPL</v>
          </cell>
          <cell r="B43" t="str">
            <v>@1Z1</v>
          </cell>
          <cell r="C43" t="str">
            <v>PPL</v>
          </cell>
          <cell r="D43">
            <v>20171214</v>
          </cell>
          <cell r="E43" t="str">
            <v>EPS</v>
          </cell>
          <cell r="F43" t="str">
            <v>ANN</v>
          </cell>
          <cell r="G43">
            <v>1</v>
          </cell>
          <cell r="H43">
            <v>4</v>
          </cell>
          <cell r="I43">
            <v>14.55</v>
          </cell>
          <cell r="J43">
            <v>15.22</v>
          </cell>
          <cell r="K43">
            <v>0</v>
          </cell>
          <cell r="L43">
            <v>20180630</v>
          </cell>
          <cell r="M43">
            <v>16.840599999999998</v>
          </cell>
          <cell r="N43">
            <v>20180918</v>
          </cell>
        </row>
        <row r="44">
          <cell r="A44" t="str">
            <v>PCG</v>
          </cell>
          <cell r="B44" t="str">
            <v>@45Z</v>
          </cell>
          <cell r="C44" t="str">
            <v>PENGANA CAP GRP</v>
          </cell>
          <cell r="D44">
            <v>20171214</v>
          </cell>
          <cell r="E44" t="str">
            <v>EPS</v>
          </cell>
          <cell r="F44" t="str">
            <v>ANN</v>
          </cell>
          <cell r="G44">
            <v>1</v>
          </cell>
          <cell r="H44">
            <v>1</v>
          </cell>
          <cell r="I44">
            <v>0.14499999999999999</v>
          </cell>
          <cell r="J44">
            <v>0.14499999999999999</v>
          </cell>
          <cell r="K44">
            <v>0</v>
          </cell>
          <cell r="L44">
            <v>20180630</v>
          </cell>
          <cell r="M44">
            <v>0.13700000000000001</v>
          </cell>
          <cell r="N44">
            <v>20180827</v>
          </cell>
        </row>
        <row r="45">
          <cell r="A45" t="str">
            <v>AGR</v>
          </cell>
          <cell r="B45" t="str">
            <v>@AR7</v>
          </cell>
          <cell r="C45" t="str">
            <v>AGRANA</v>
          </cell>
          <cell r="D45">
            <v>20171214</v>
          </cell>
          <cell r="E45" t="str">
            <v>EPS</v>
          </cell>
          <cell r="F45" t="str">
            <v>ANN</v>
          </cell>
          <cell r="G45">
            <v>1</v>
          </cell>
          <cell r="H45">
            <v>2</v>
          </cell>
          <cell r="I45">
            <v>2.2000000000000002</v>
          </cell>
          <cell r="J45">
            <v>2.2000000000000002</v>
          </cell>
          <cell r="K45">
            <v>0</v>
          </cell>
          <cell r="L45">
            <v>20180228</v>
          </cell>
          <cell r="M45">
            <v>2.2425000000000002</v>
          </cell>
          <cell r="N45">
            <v>20180508</v>
          </cell>
        </row>
        <row r="46">
          <cell r="A46" t="str">
            <v>CNP</v>
          </cell>
          <cell r="B46" t="str">
            <v>@CN0</v>
          </cell>
          <cell r="C46" t="str">
            <v>CNP ASSURANCES</v>
          </cell>
          <cell r="D46">
            <v>20171214</v>
          </cell>
          <cell r="E46" t="str">
            <v>EPS</v>
          </cell>
          <cell r="F46" t="str">
            <v>ANN</v>
          </cell>
          <cell r="G46">
            <v>1</v>
          </cell>
          <cell r="H46">
            <v>6</v>
          </cell>
          <cell r="I46">
            <v>1.76</v>
          </cell>
          <cell r="J46">
            <v>1.75</v>
          </cell>
          <cell r="K46">
            <v>0</v>
          </cell>
          <cell r="L46">
            <v>20171231</v>
          </cell>
          <cell r="M46">
            <v>1.8</v>
          </cell>
          <cell r="N46">
            <v>20180222</v>
          </cell>
        </row>
        <row r="47">
          <cell r="A47" t="str">
            <v>CIN</v>
          </cell>
          <cell r="B47" t="str">
            <v>@CUW</v>
          </cell>
          <cell r="C47" t="str">
            <v>CITY OF LONDON</v>
          </cell>
          <cell r="D47">
            <v>20171214</v>
          </cell>
          <cell r="E47" t="str">
            <v>EPS</v>
          </cell>
          <cell r="F47" t="str">
            <v>ANN</v>
          </cell>
          <cell r="G47">
            <v>1</v>
          </cell>
          <cell r="H47">
            <v>1</v>
          </cell>
          <cell r="I47">
            <v>-0.13</v>
          </cell>
          <cell r="J47">
            <v>-0.13</v>
          </cell>
          <cell r="K47">
            <v>0</v>
          </cell>
          <cell r="L47">
            <v>20180331</v>
          </cell>
          <cell r="N47">
            <v>20180712</v>
          </cell>
        </row>
        <row r="48">
          <cell r="A48" t="str">
            <v>SO</v>
          </cell>
          <cell r="B48" t="str">
            <v>@DAM</v>
          </cell>
          <cell r="C48" t="str">
            <v>SOMFY</v>
          </cell>
          <cell r="D48">
            <v>20171214</v>
          </cell>
          <cell r="E48" t="str">
            <v>EPS</v>
          </cell>
          <cell r="F48" t="str">
            <v>ANN</v>
          </cell>
          <cell r="G48">
            <v>1</v>
          </cell>
          <cell r="H48">
            <v>3</v>
          </cell>
          <cell r="I48">
            <v>3.83</v>
          </cell>
          <cell r="J48">
            <v>3.79</v>
          </cell>
          <cell r="K48">
            <v>0</v>
          </cell>
          <cell r="L48">
            <v>20171231</v>
          </cell>
          <cell r="M48">
            <v>4.66</v>
          </cell>
          <cell r="N48">
            <v>20180307</v>
          </cell>
        </row>
        <row r="49">
          <cell r="A49" t="str">
            <v>DTE</v>
          </cell>
          <cell r="B49" t="str">
            <v>@DT</v>
          </cell>
          <cell r="C49" t="str">
            <v>DEUTSCHE TELEKOM</v>
          </cell>
          <cell r="D49">
            <v>20171214</v>
          </cell>
          <cell r="E49" t="str">
            <v>EPS</v>
          </cell>
          <cell r="F49" t="str">
            <v>ANN</v>
          </cell>
          <cell r="G49">
            <v>1</v>
          </cell>
          <cell r="H49">
            <v>27</v>
          </cell>
          <cell r="I49">
            <v>0.87</v>
          </cell>
          <cell r="J49">
            <v>0.86</v>
          </cell>
          <cell r="K49">
            <v>0</v>
          </cell>
          <cell r="L49">
            <v>20171231</v>
          </cell>
          <cell r="M49">
            <v>1.28</v>
          </cell>
          <cell r="N49">
            <v>20180222</v>
          </cell>
        </row>
        <row r="50">
          <cell r="A50" t="str">
            <v>PGN</v>
          </cell>
          <cell r="B50" t="str">
            <v>@J5W</v>
          </cell>
          <cell r="C50" t="str">
            <v>POLISH OIL &amp; GAS</v>
          </cell>
          <cell r="D50">
            <v>20171214</v>
          </cell>
          <cell r="E50" t="str">
            <v>EPS</v>
          </cell>
          <cell r="F50" t="str">
            <v>ANN</v>
          </cell>
          <cell r="G50">
            <v>1</v>
          </cell>
          <cell r="H50">
            <v>7</v>
          </cell>
          <cell r="I50">
            <v>0.6</v>
          </cell>
          <cell r="J50">
            <v>0.56999999999999995</v>
          </cell>
          <cell r="K50">
            <v>0</v>
          </cell>
          <cell r="L50">
            <v>20171231</v>
          </cell>
          <cell r="M50">
            <v>0.51</v>
          </cell>
          <cell r="N50">
            <v>20180213</v>
          </cell>
        </row>
        <row r="51">
          <cell r="A51" t="str">
            <v>POM</v>
          </cell>
          <cell r="B51" t="str">
            <v>@PO8</v>
          </cell>
          <cell r="C51" t="str">
            <v>COMPAGNIE PLA OM</v>
          </cell>
          <cell r="D51">
            <v>20171214</v>
          </cell>
          <cell r="E51" t="str">
            <v>EPS</v>
          </cell>
          <cell r="F51" t="str">
            <v>ANN</v>
          </cell>
          <cell r="G51">
            <v>1</v>
          </cell>
          <cell r="H51">
            <v>12</v>
          </cell>
          <cell r="I51">
            <v>2.74</v>
          </cell>
          <cell r="J51">
            <v>2.71</v>
          </cell>
          <cell r="K51">
            <v>0</v>
          </cell>
          <cell r="L51">
            <v>20171231</v>
          </cell>
          <cell r="M51">
            <v>2.86</v>
          </cell>
          <cell r="N51">
            <v>20180215</v>
          </cell>
        </row>
        <row r="52">
          <cell r="A52" t="str">
            <v>PGN</v>
          </cell>
          <cell r="B52" t="str">
            <v>@QPA</v>
          </cell>
          <cell r="C52" t="str">
            <v>PARAGON DE</v>
          </cell>
          <cell r="D52">
            <v>20171214</v>
          </cell>
          <cell r="E52" t="str">
            <v>EPS</v>
          </cell>
          <cell r="F52" t="str">
            <v>ANN</v>
          </cell>
          <cell r="G52">
            <v>1</v>
          </cell>
          <cell r="H52">
            <v>4</v>
          </cell>
          <cell r="I52">
            <v>1.22</v>
          </cell>
          <cell r="J52">
            <v>1.21</v>
          </cell>
          <cell r="K52">
            <v>0</v>
          </cell>
          <cell r="L52">
            <v>20171231</v>
          </cell>
          <cell r="M52">
            <v>0.64</v>
          </cell>
          <cell r="N52">
            <v>20180129</v>
          </cell>
        </row>
        <row r="53">
          <cell r="A53" t="str">
            <v>PEG</v>
          </cell>
          <cell r="B53" t="str">
            <v>@S6N</v>
          </cell>
          <cell r="C53" t="str">
            <v>PETARDS GROUP</v>
          </cell>
          <cell r="D53">
            <v>20171214</v>
          </cell>
          <cell r="E53" t="str">
            <v>EPS</v>
          </cell>
          <cell r="F53" t="str">
            <v>ANN</v>
          </cell>
          <cell r="G53">
            <v>1</v>
          </cell>
          <cell r="H53">
            <v>2</v>
          </cell>
          <cell r="I53">
            <v>2.1</v>
          </cell>
          <cell r="J53">
            <v>2.1</v>
          </cell>
          <cell r="K53">
            <v>0</v>
          </cell>
          <cell r="L53">
            <v>20171231</v>
          </cell>
          <cell r="M53">
            <v>2.3199999999999998</v>
          </cell>
          <cell r="N53">
            <v>20180312</v>
          </cell>
        </row>
        <row r="54">
          <cell r="A54" t="str">
            <v>SO</v>
          </cell>
          <cell r="B54" t="str">
            <v>@SGF</v>
          </cell>
          <cell r="C54" t="str">
            <v>SOGEFI</v>
          </cell>
          <cell r="D54">
            <v>20171214</v>
          </cell>
          <cell r="E54" t="str">
            <v>EPS</v>
          </cell>
          <cell r="F54" t="str">
            <v>ANN</v>
          </cell>
          <cell r="G54">
            <v>1</v>
          </cell>
          <cell r="H54">
            <v>5</v>
          </cell>
          <cell r="I54">
            <v>0.33</v>
          </cell>
          <cell r="J54">
            <v>0.33</v>
          </cell>
          <cell r="K54">
            <v>0</v>
          </cell>
          <cell r="L54">
            <v>20171231</v>
          </cell>
          <cell r="M54">
            <v>0.22800000000000001</v>
          </cell>
          <cell r="N54">
            <v>20180226</v>
          </cell>
        </row>
        <row r="55">
          <cell r="A55" t="str">
            <v>NST</v>
          </cell>
          <cell r="B55" t="str">
            <v>@T6I</v>
          </cell>
          <cell r="C55" t="str">
            <v>NORTHERN STAR RE</v>
          </cell>
          <cell r="D55">
            <v>20171214</v>
          </cell>
          <cell r="E55" t="str">
            <v>EPS</v>
          </cell>
          <cell r="F55" t="str">
            <v>ANN</v>
          </cell>
          <cell r="G55">
            <v>1</v>
          </cell>
          <cell r="H55">
            <v>15</v>
          </cell>
          <cell r="I55">
            <v>0.33300000000000002</v>
          </cell>
          <cell r="J55">
            <v>0.34399999999999997</v>
          </cell>
          <cell r="K55">
            <v>0</v>
          </cell>
          <cell r="L55">
            <v>20180630</v>
          </cell>
          <cell r="M55">
            <v>0.315</v>
          </cell>
          <cell r="N55">
            <v>20180822</v>
          </cell>
        </row>
        <row r="56">
          <cell r="A56" t="str">
            <v>AGR</v>
          </cell>
          <cell r="B56" t="str">
            <v>@V2M</v>
          </cell>
          <cell r="C56" t="str">
            <v>ASSURA</v>
          </cell>
          <cell r="D56">
            <v>20171214</v>
          </cell>
          <cell r="E56" t="str">
            <v>EPS</v>
          </cell>
          <cell r="F56" t="str">
            <v>ANN</v>
          </cell>
          <cell r="G56">
            <v>1</v>
          </cell>
          <cell r="H56">
            <v>4</v>
          </cell>
          <cell r="I56">
            <v>2.62</v>
          </cell>
          <cell r="J56">
            <v>2.61</v>
          </cell>
          <cell r="K56">
            <v>0</v>
          </cell>
          <cell r="L56">
            <v>20180331</v>
          </cell>
          <cell r="M56">
            <v>2.5</v>
          </cell>
          <cell r="N56">
            <v>20180523</v>
          </cell>
        </row>
        <row r="57">
          <cell r="A57" t="str">
            <v>SRE</v>
          </cell>
          <cell r="B57" t="str">
            <v>@VRU</v>
          </cell>
          <cell r="C57" t="str">
            <v>SIRIUS REAL ESTA</v>
          </cell>
          <cell r="D57">
            <v>20171214</v>
          </cell>
          <cell r="E57" t="str">
            <v>EPS</v>
          </cell>
          <cell r="F57" t="str">
            <v>ANN</v>
          </cell>
          <cell r="G57">
            <v>1</v>
          </cell>
          <cell r="H57">
            <v>2</v>
          </cell>
          <cell r="I57">
            <v>0.04</v>
          </cell>
          <cell r="J57">
            <v>0.04</v>
          </cell>
          <cell r="K57">
            <v>0</v>
          </cell>
          <cell r="L57">
            <v>20180331</v>
          </cell>
          <cell r="M57">
            <v>3.7999999999999999E-2</v>
          </cell>
          <cell r="N57">
            <v>20180604</v>
          </cell>
        </row>
        <row r="58">
          <cell r="A58" t="str">
            <v>EXC</v>
          </cell>
          <cell r="B58" t="str">
            <v>@XDO</v>
          </cell>
          <cell r="C58" t="str">
            <v>EXCEET GRP</v>
          </cell>
          <cell r="D58">
            <v>20171214</v>
          </cell>
          <cell r="E58" t="str">
            <v>EPS</v>
          </cell>
          <cell r="F58" t="str">
            <v>ANN</v>
          </cell>
          <cell r="G58">
            <v>1</v>
          </cell>
          <cell r="H58">
            <v>1</v>
          </cell>
          <cell r="I58">
            <v>0.17</v>
          </cell>
          <cell r="J58">
            <v>0.17</v>
          </cell>
          <cell r="K58">
            <v>0</v>
          </cell>
          <cell r="L58">
            <v>20171231</v>
          </cell>
          <cell r="M58">
            <v>7.0000000000000007E-2</v>
          </cell>
          <cell r="N58">
            <v>20180228</v>
          </cell>
        </row>
        <row r="59">
          <cell r="A59" t="str">
            <v>CMS</v>
          </cell>
          <cell r="B59" t="str">
            <v>@XJM</v>
          </cell>
          <cell r="C59" t="str">
            <v>COMMUNISIS PLC</v>
          </cell>
          <cell r="D59">
            <v>20171214</v>
          </cell>
          <cell r="E59" t="str">
            <v>EPS</v>
          </cell>
          <cell r="F59" t="str">
            <v>ANN</v>
          </cell>
          <cell r="G59">
            <v>1</v>
          </cell>
          <cell r="H59">
            <v>1</v>
          </cell>
          <cell r="I59">
            <v>6.35</v>
          </cell>
          <cell r="J59">
            <v>6.35</v>
          </cell>
          <cell r="K59">
            <v>0</v>
          </cell>
          <cell r="L59">
            <v>20171231</v>
          </cell>
          <cell r="M59">
            <v>6.37</v>
          </cell>
          <cell r="N59">
            <v>20180308</v>
          </cell>
        </row>
        <row r="60">
          <cell r="A60" t="str">
            <v>CNL</v>
          </cell>
          <cell r="B60" t="str">
            <v>NCL1</v>
          </cell>
          <cell r="C60" t="str">
            <v>CONTINENTAL GOLD</v>
          </cell>
          <cell r="D60">
            <v>20171214</v>
          </cell>
          <cell r="E60" t="str">
            <v>EPS</v>
          </cell>
          <cell r="F60" t="str">
            <v>ANN</v>
          </cell>
          <cell r="G60">
            <v>1</v>
          </cell>
          <cell r="H60">
            <v>6</v>
          </cell>
          <cell r="I60">
            <v>-0.05</v>
          </cell>
          <cell r="J60">
            <v>-0.06</v>
          </cell>
          <cell r="K60">
            <v>0</v>
          </cell>
          <cell r="L60">
            <v>20171231</v>
          </cell>
          <cell r="M60">
            <v>-0.05</v>
          </cell>
          <cell r="N60">
            <v>20180308</v>
          </cell>
        </row>
        <row r="61">
          <cell r="A61" t="str">
            <v>PPL</v>
          </cell>
          <cell r="B61" t="str">
            <v>PIF1</v>
          </cell>
          <cell r="C61" t="str">
            <v>PEMBINA PIPELINE</v>
          </cell>
          <cell r="D61">
            <v>20171214</v>
          </cell>
          <cell r="E61" t="str">
            <v>EPS</v>
          </cell>
          <cell r="F61" t="str">
            <v>ANN</v>
          </cell>
          <cell r="G61">
            <v>1</v>
          </cell>
          <cell r="H61">
            <v>8</v>
          </cell>
          <cell r="I61">
            <v>1.43</v>
          </cell>
          <cell r="J61">
            <v>1.44</v>
          </cell>
          <cell r="K61">
            <v>0</v>
          </cell>
          <cell r="L61">
            <v>20171231</v>
          </cell>
          <cell r="M61">
            <v>1.73</v>
          </cell>
          <cell r="N61">
            <v>20180222</v>
          </cell>
        </row>
        <row r="62">
          <cell r="A62" t="str">
            <v>POM</v>
          </cell>
          <cell r="B62" t="str">
            <v>POM1</v>
          </cell>
          <cell r="C62" t="str">
            <v>POLYMET MINING C</v>
          </cell>
          <cell r="D62">
            <v>20171214</v>
          </cell>
          <cell r="E62" t="str">
            <v>EPS</v>
          </cell>
          <cell r="F62" t="str">
            <v>ANN</v>
          </cell>
          <cell r="G62">
            <v>1</v>
          </cell>
          <cell r="H62">
            <v>1</v>
          </cell>
          <cell r="I62">
            <v>-0.39</v>
          </cell>
          <cell r="J62">
            <v>-0.39</v>
          </cell>
          <cell r="K62">
            <v>0</v>
          </cell>
          <cell r="L62">
            <v>20180131</v>
          </cell>
        </row>
        <row r="63">
          <cell r="A63" t="str">
            <v>PSD</v>
          </cell>
          <cell r="B63" t="str">
            <v>PSD3</v>
          </cell>
          <cell r="C63" t="str">
            <v>PULSE SEISMIC</v>
          </cell>
          <cell r="D63">
            <v>20171214</v>
          </cell>
          <cell r="E63" t="str">
            <v>EPS</v>
          </cell>
          <cell r="F63" t="str">
            <v>ANN</v>
          </cell>
          <cell r="G63">
            <v>1</v>
          </cell>
          <cell r="H63">
            <v>1</v>
          </cell>
          <cell r="I63">
            <v>0.23</v>
          </cell>
          <cell r="J63">
            <v>0.23</v>
          </cell>
          <cell r="K63">
            <v>0</v>
          </cell>
          <cell r="L63">
            <v>20171231</v>
          </cell>
          <cell r="M63">
            <v>0.27</v>
          </cell>
          <cell r="N63">
            <v>20180301</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RDS"/>
    </sheetNames>
    <sheetDataSet>
      <sheetData sheetId="0">
        <row r="1">
          <cell r="A1" t="str">
            <v>OFTIC</v>
          </cell>
          <cell r="B1" t="str">
            <v>IBES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USFIRM=0 if from .INT file and USFIRM=1 if from .US file</v>
          </cell>
          <cell r="M1" t="str">
            <v>Forecast Period End Date (SAS Format)</v>
          </cell>
          <cell r="N1" t="str">
            <v>Actual Value, from the Detail Actuals File</v>
          </cell>
          <cell r="O1" t="str">
            <v>Announce date of the Actual, from the Detail Actuals File</v>
          </cell>
        </row>
        <row r="2">
          <cell r="A2" t="str">
            <v>PNW</v>
          </cell>
          <cell r="B2" t="str">
            <v>AZP</v>
          </cell>
          <cell r="C2" t="str">
            <v>PINNACLE WST CAP</v>
          </cell>
          <cell r="D2">
            <v>20131219</v>
          </cell>
          <cell r="E2" t="str">
            <v>EPS</v>
          </cell>
          <cell r="F2" t="str">
            <v>LTG</v>
          </cell>
          <cell r="G2">
            <v>0</v>
          </cell>
          <cell r="H2">
            <v>3</v>
          </cell>
          <cell r="I2">
            <v>4</v>
          </cell>
          <cell r="J2">
            <v>4.53</v>
          </cell>
          <cell r="K2">
            <v>1.29</v>
          </cell>
          <cell r="L2">
            <v>1</v>
          </cell>
        </row>
        <row r="3">
          <cell r="A3" t="str">
            <v>BKH</v>
          </cell>
          <cell r="B3" t="str">
            <v>BHP</v>
          </cell>
          <cell r="C3" t="str">
            <v>BLACK HILLS CP</v>
          </cell>
          <cell r="D3">
            <v>20131219</v>
          </cell>
          <cell r="E3" t="str">
            <v>EPS</v>
          </cell>
          <cell r="F3" t="str">
            <v>LTG</v>
          </cell>
          <cell r="G3">
            <v>0</v>
          </cell>
          <cell r="H3">
            <v>1</v>
          </cell>
          <cell r="I3">
            <v>4</v>
          </cell>
          <cell r="J3">
            <v>4</v>
          </cell>
          <cell r="L3">
            <v>1</v>
          </cell>
        </row>
        <row r="4">
          <cell r="A4" t="str">
            <v>CMS</v>
          </cell>
          <cell r="B4" t="str">
            <v>CMS</v>
          </cell>
          <cell r="C4" t="str">
            <v>CMS ENERGY CORP</v>
          </cell>
          <cell r="D4">
            <v>20131219</v>
          </cell>
          <cell r="E4" t="str">
            <v>EPS</v>
          </cell>
          <cell r="F4" t="str">
            <v>LTG</v>
          </cell>
          <cell r="G4">
            <v>0</v>
          </cell>
          <cell r="H4">
            <v>3</v>
          </cell>
          <cell r="I4">
            <v>6.08</v>
          </cell>
          <cell r="J4">
            <v>5.76</v>
          </cell>
          <cell r="K4">
            <v>0.66</v>
          </cell>
          <cell r="L4">
            <v>1</v>
          </cell>
        </row>
        <row r="5">
          <cell r="A5" t="str">
            <v>D</v>
          </cell>
          <cell r="B5" t="str">
            <v>D</v>
          </cell>
          <cell r="C5" t="str">
            <v>DOMINION RES INC</v>
          </cell>
          <cell r="D5">
            <v>20131219</v>
          </cell>
          <cell r="E5" t="str">
            <v>EPS</v>
          </cell>
          <cell r="F5" t="str">
            <v>LTG</v>
          </cell>
          <cell r="G5">
            <v>0</v>
          </cell>
          <cell r="H5">
            <v>3</v>
          </cell>
          <cell r="I5">
            <v>7.13</v>
          </cell>
          <cell r="J5">
            <v>7.18</v>
          </cell>
          <cell r="K5">
            <v>0.5</v>
          </cell>
          <cell r="L5">
            <v>1</v>
          </cell>
        </row>
        <row r="6">
          <cell r="A6" t="str">
            <v>DTE</v>
          </cell>
          <cell r="B6" t="str">
            <v>DTE</v>
          </cell>
          <cell r="C6" t="str">
            <v>DTE ENERGY</v>
          </cell>
          <cell r="D6">
            <v>20131219</v>
          </cell>
          <cell r="E6" t="str">
            <v>EPS</v>
          </cell>
          <cell r="F6" t="str">
            <v>LTG</v>
          </cell>
          <cell r="G6">
            <v>0</v>
          </cell>
          <cell r="H6">
            <v>3</v>
          </cell>
          <cell r="I6">
            <v>4.9000000000000004</v>
          </cell>
          <cell r="J6">
            <v>4.78</v>
          </cell>
          <cell r="K6">
            <v>0.25</v>
          </cell>
          <cell r="L6">
            <v>1</v>
          </cell>
        </row>
        <row r="7">
          <cell r="A7" t="str">
            <v>DUK</v>
          </cell>
          <cell r="B7" t="str">
            <v>DUK</v>
          </cell>
          <cell r="C7" t="str">
            <v>DUKE ENERGY CORP</v>
          </cell>
          <cell r="D7">
            <v>20131219</v>
          </cell>
          <cell r="E7" t="str">
            <v>EPS</v>
          </cell>
          <cell r="F7" t="str">
            <v>LTG</v>
          </cell>
          <cell r="G7">
            <v>0</v>
          </cell>
          <cell r="H7">
            <v>4</v>
          </cell>
          <cell r="I7">
            <v>3</v>
          </cell>
          <cell r="J7">
            <v>3.04</v>
          </cell>
          <cell r="K7">
            <v>0.4</v>
          </cell>
          <cell r="L7">
            <v>1</v>
          </cell>
        </row>
        <row r="8">
          <cell r="A8" t="str">
            <v>ED</v>
          </cell>
          <cell r="B8" t="str">
            <v>ED</v>
          </cell>
          <cell r="C8" t="str">
            <v>CONSOLIDATED EDI</v>
          </cell>
          <cell r="D8">
            <v>20131219</v>
          </cell>
          <cell r="E8" t="str">
            <v>EPS</v>
          </cell>
          <cell r="F8" t="str">
            <v>LTG</v>
          </cell>
          <cell r="G8">
            <v>0</v>
          </cell>
          <cell r="H8">
            <v>3</v>
          </cell>
          <cell r="I8">
            <v>1.93</v>
          </cell>
          <cell r="J8">
            <v>1.74</v>
          </cell>
          <cell r="K8">
            <v>1.06</v>
          </cell>
          <cell r="L8">
            <v>1</v>
          </cell>
        </row>
        <row r="9">
          <cell r="A9" t="str">
            <v>NEE</v>
          </cell>
          <cell r="B9" t="str">
            <v>FPL</v>
          </cell>
          <cell r="C9" t="str">
            <v>NEXTERA ENERGY I</v>
          </cell>
          <cell r="D9">
            <v>20131219</v>
          </cell>
          <cell r="E9" t="str">
            <v>EPS</v>
          </cell>
          <cell r="F9" t="str">
            <v>LTG</v>
          </cell>
          <cell r="G9">
            <v>0</v>
          </cell>
          <cell r="H9">
            <v>4</v>
          </cell>
          <cell r="I9">
            <v>6.9</v>
          </cell>
          <cell r="J9">
            <v>6.62</v>
          </cell>
          <cell r="K9">
            <v>1.1399999999999999</v>
          </cell>
          <cell r="L9">
            <v>1</v>
          </cell>
        </row>
        <row r="10">
          <cell r="A10" t="str">
            <v>HE</v>
          </cell>
          <cell r="B10" t="str">
            <v>HE</v>
          </cell>
          <cell r="C10" t="str">
            <v>HAWAIIAN ELEC</v>
          </cell>
          <cell r="D10">
            <v>20131219</v>
          </cell>
          <cell r="E10" t="str">
            <v>EPS</v>
          </cell>
          <cell r="F10" t="str">
            <v>LTG</v>
          </cell>
          <cell r="G10">
            <v>0</v>
          </cell>
          <cell r="H10">
            <v>1</v>
          </cell>
          <cell r="I10">
            <v>2.5</v>
          </cell>
          <cell r="J10">
            <v>2.5</v>
          </cell>
          <cell r="L10">
            <v>1</v>
          </cell>
        </row>
        <row r="11">
          <cell r="A11" t="str">
            <v>CNP</v>
          </cell>
          <cell r="B11" t="str">
            <v>HOU</v>
          </cell>
          <cell r="C11" t="str">
            <v>CENTERPOINT ENER</v>
          </cell>
          <cell r="D11">
            <v>20131219</v>
          </cell>
          <cell r="E11" t="str">
            <v>EPS</v>
          </cell>
          <cell r="F11" t="str">
            <v>LTG</v>
          </cell>
          <cell r="G11">
            <v>0</v>
          </cell>
          <cell r="H11">
            <v>3</v>
          </cell>
          <cell r="I11">
            <v>5</v>
          </cell>
          <cell r="J11">
            <v>4.59</v>
          </cell>
          <cell r="K11">
            <v>0.71</v>
          </cell>
          <cell r="L11">
            <v>1</v>
          </cell>
        </row>
        <row r="12">
          <cell r="A12" t="str">
            <v>WR</v>
          </cell>
          <cell r="B12" t="str">
            <v>KAN</v>
          </cell>
          <cell r="C12" t="str">
            <v>WESTAR ENERGY</v>
          </cell>
          <cell r="D12">
            <v>20131219</v>
          </cell>
          <cell r="E12" t="str">
            <v>EPS</v>
          </cell>
          <cell r="F12" t="str">
            <v>LTG</v>
          </cell>
          <cell r="G12">
            <v>0</v>
          </cell>
          <cell r="H12">
            <v>2</v>
          </cell>
          <cell r="I12">
            <v>0.95</v>
          </cell>
          <cell r="J12">
            <v>0.95</v>
          </cell>
          <cell r="K12">
            <v>0.35</v>
          </cell>
          <cell r="L12">
            <v>1</v>
          </cell>
        </row>
        <row r="13">
          <cell r="A13" t="str">
            <v>ALE</v>
          </cell>
          <cell r="B13" t="str">
            <v>MPL</v>
          </cell>
          <cell r="C13" t="str">
            <v>ALLETE INC</v>
          </cell>
          <cell r="D13">
            <v>20131219</v>
          </cell>
          <cell r="E13" t="str">
            <v>EPS</v>
          </cell>
          <cell r="F13" t="str">
            <v>LTG</v>
          </cell>
          <cell r="G13">
            <v>0</v>
          </cell>
          <cell r="H13">
            <v>1</v>
          </cell>
          <cell r="I13">
            <v>6</v>
          </cell>
          <cell r="J13">
            <v>6</v>
          </cell>
          <cell r="L13">
            <v>1</v>
          </cell>
        </row>
        <row r="14">
          <cell r="A14" t="str">
            <v>ETR</v>
          </cell>
          <cell r="B14" t="str">
            <v>MSU</v>
          </cell>
          <cell r="C14" t="str">
            <v>ENTERGY CP</v>
          </cell>
          <cell r="D14">
            <v>20131219</v>
          </cell>
          <cell r="E14" t="str">
            <v>EPS</v>
          </cell>
          <cell r="F14" t="str">
            <v>LTG</v>
          </cell>
          <cell r="G14">
            <v>0</v>
          </cell>
          <cell r="H14">
            <v>3</v>
          </cell>
          <cell r="I14">
            <v>-8.6999999999999993</v>
          </cell>
          <cell r="J14">
            <v>-4.22</v>
          </cell>
          <cell r="K14">
            <v>7.99</v>
          </cell>
          <cell r="L14">
            <v>1</v>
          </cell>
        </row>
        <row r="15">
          <cell r="A15" t="str">
            <v>XEL</v>
          </cell>
          <cell r="B15" t="str">
            <v>NSP</v>
          </cell>
          <cell r="C15" t="str">
            <v>XCEL ENERGY INC</v>
          </cell>
          <cell r="D15">
            <v>20131219</v>
          </cell>
          <cell r="E15" t="str">
            <v>EPS</v>
          </cell>
          <cell r="F15" t="str">
            <v>LTG</v>
          </cell>
          <cell r="G15">
            <v>0</v>
          </cell>
          <cell r="H15">
            <v>2</v>
          </cell>
          <cell r="I15">
            <v>4.82</v>
          </cell>
          <cell r="J15">
            <v>4.82</v>
          </cell>
          <cell r="K15">
            <v>0.03</v>
          </cell>
          <cell r="L15">
            <v>1</v>
          </cell>
        </row>
        <row r="16">
          <cell r="A16" t="str">
            <v>NU</v>
          </cell>
          <cell r="B16" t="str">
            <v>NU</v>
          </cell>
          <cell r="C16" t="str">
            <v>NORTHEAST UTILS</v>
          </cell>
          <cell r="D16">
            <v>20131219</v>
          </cell>
          <cell r="E16" t="str">
            <v>EPS</v>
          </cell>
          <cell r="F16" t="str">
            <v>LTG</v>
          </cell>
          <cell r="G16">
            <v>0</v>
          </cell>
          <cell r="H16">
            <v>2</v>
          </cell>
          <cell r="I16">
            <v>7.36</v>
          </cell>
          <cell r="J16">
            <v>7.36</v>
          </cell>
          <cell r="K16">
            <v>0.51</v>
          </cell>
          <cell r="L16">
            <v>1</v>
          </cell>
        </row>
        <row r="17">
          <cell r="A17" t="str">
            <v>NWE</v>
          </cell>
          <cell r="B17" t="str">
            <v>NWPS</v>
          </cell>
          <cell r="C17" t="str">
            <v>NORTHWESTERN CP</v>
          </cell>
          <cell r="D17">
            <v>20131219</v>
          </cell>
          <cell r="E17" t="str">
            <v>EPS</v>
          </cell>
          <cell r="F17" t="str">
            <v>LTG</v>
          </cell>
          <cell r="G17">
            <v>0</v>
          </cell>
          <cell r="H17">
            <v>1</v>
          </cell>
          <cell r="I17">
            <v>7</v>
          </cell>
          <cell r="J17">
            <v>7</v>
          </cell>
          <cell r="L17">
            <v>1</v>
          </cell>
        </row>
        <row r="18">
          <cell r="A18" t="str">
            <v>FE</v>
          </cell>
          <cell r="B18" t="str">
            <v>OEC</v>
          </cell>
          <cell r="C18" t="str">
            <v>FIRSTENERGY CORP</v>
          </cell>
          <cell r="D18">
            <v>20131219</v>
          </cell>
          <cell r="E18" t="str">
            <v>EPS</v>
          </cell>
          <cell r="F18" t="str">
            <v>LTG</v>
          </cell>
          <cell r="G18">
            <v>0</v>
          </cell>
          <cell r="H18">
            <v>5</v>
          </cell>
          <cell r="I18">
            <v>-0.3</v>
          </cell>
          <cell r="J18">
            <v>0.39</v>
          </cell>
          <cell r="K18">
            <v>3.99</v>
          </cell>
          <cell r="L18">
            <v>1</v>
          </cell>
        </row>
        <row r="19">
          <cell r="A19" t="str">
            <v>OGE</v>
          </cell>
          <cell r="B19" t="str">
            <v>OGE</v>
          </cell>
          <cell r="C19" t="str">
            <v>OGE ENERGY CORP</v>
          </cell>
          <cell r="D19">
            <v>20131219</v>
          </cell>
          <cell r="E19" t="str">
            <v>EPS</v>
          </cell>
          <cell r="F19" t="str">
            <v>LTG</v>
          </cell>
          <cell r="G19">
            <v>0</v>
          </cell>
          <cell r="H19">
            <v>1</v>
          </cell>
          <cell r="I19">
            <v>5</v>
          </cell>
          <cell r="J19">
            <v>5</v>
          </cell>
          <cell r="L19">
            <v>1</v>
          </cell>
        </row>
        <row r="20">
          <cell r="A20" t="str">
            <v>PCG</v>
          </cell>
          <cell r="B20" t="str">
            <v>PCG</v>
          </cell>
          <cell r="C20" t="str">
            <v>P G &amp; E CORP</v>
          </cell>
          <cell r="D20">
            <v>20131219</v>
          </cell>
          <cell r="E20" t="str">
            <v>EPS</v>
          </cell>
          <cell r="F20" t="str">
            <v>LTG</v>
          </cell>
          <cell r="G20">
            <v>0</v>
          </cell>
          <cell r="H20">
            <v>2</v>
          </cell>
          <cell r="I20">
            <v>-1.28</v>
          </cell>
          <cell r="J20">
            <v>-1.28</v>
          </cell>
          <cell r="K20">
            <v>0.74</v>
          </cell>
          <cell r="L20">
            <v>1</v>
          </cell>
        </row>
        <row r="21">
          <cell r="A21" t="str">
            <v>EXC</v>
          </cell>
          <cell r="B21" t="str">
            <v>PE</v>
          </cell>
          <cell r="C21" t="str">
            <v>EXELON CORP</v>
          </cell>
          <cell r="D21">
            <v>20131219</v>
          </cell>
          <cell r="E21" t="str">
            <v>EPS</v>
          </cell>
          <cell r="F21" t="str">
            <v>LTG</v>
          </cell>
          <cell r="G21">
            <v>0</v>
          </cell>
          <cell r="H21">
            <v>3</v>
          </cell>
          <cell r="I21">
            <v>-7.59</v>
          </cell>
          <cell r="J21">
            <v>-7.73</v>
          </cell>
          <cell r="K21">
            <v>1.5</v>
          </cell>
          <cell r="L21">
            <v>1</v>
          </cell>
        </row>
        <row r="22">
          <cell r="A22" t="str">
            <v>PEG</v>
          </cell>
          <cell r="B22" t="str">
            <v>PEG</v>
          </cell>
          <cell r="C22" t="str">
            <v>PUB SVC ENTERS</v>
          </cell>
          <cell r="D22">
            <v>20131219</v>
          </cell>
          <cell r="E22" t="str">
            <v>EPS</v>
          </cell>
          <cell r="F22" t="str">
            <v>LTG</v>
          </cell>
          <cell r="G22">
            <v>0</v>
          </cell>
          <cell r="H22">
            <v>3</v>
          </cell>
          <cell r="I22">
            <v>-1.6</v>
          </cell>
          <cell r="J22">
            <v>-1.42</v>
          </cell>
          <cell r="K22">
            <v>0.65</v>
          </cell>
          <cell r="L22">
            <v>1</v>
          </cell>
        </row>
        <row r="23">
          <cell r="A23" t="str">
            <v>PNM</v>
          </cell>
          <cell r="B23" t="str">
            <v>PNM</v>
          </cell>
          <cell r="C23" t="str">
            <v>PNM RESOURCES</v>
          </cell>
          <cell r="D23">
            <v>20131219</v>
          </cell>
          <cell r="E23" t="str">
            <v>EPS</v>
          </cell>
          <cell r="F23" t="str">
            <v>LTG</v>
          </cell>
          <cell r="G23">
            <v>0</v>
          </cell>
          <cell r="H23">
            <v>2</v>
          </cell>
          <cell r="I23">
            <v>6.85</v>
          </cell>
          <cell r="J23">
            <v>6.85</v>
          </cell>
          <cell r="K23">
            <v>0.21</v>
          </cell>
          <cell r="L23">
            <v>1</v>
          </cell>
        </row>
        <row r="24">
          <cell r="A24" t="str">
            <v>POM</v>
          </cell>
          <cell r="B24" t="str">
            <v>POM</v>
          </cell>
          <cell r="C24" t="str">
            <v>PEPCO HOLDINGS</v>
          </cell>
          <cell r="D24">
            <v>20131219</v>
          </cell>
          <cell r="E24" t="str">
            <v>EPS</v>
          </cell>
          <cell r="F24" t="str">
            <v>LTG</v>
          </cell>
          <cell r="G24">
            <v>0</v>
          </cell>
          <cell r="H24">
            <v>4</v>
          </cell>
          <cell r="I24">
            <v>3.9</v>
          </cell>
          <cell r="J24">
            <v>3.6</v>
          </cell>
          <cell r="K24">
            <v>1.43</v>
          </cell>
          <cell r="L24">
            <v>1</v>
          </cell>
        </row>
        <row r="25">
          <cell r="A25" t="str">
            <v>POR</v>
          </cell>
          <cell r="B25" t="str">
            <v>PORO</v>
          </cell>
          <cell r="C25" t="str">
            <v>PORTLAND GENERAL</v>
          </cell>
          <cell r="D25">
            <v>20131219</v>
          </cell>
          <cell r="E25" t="str">
            <v>EPS</v>
          </cell>
          <cell r="F25" t="str">
            <v>LTG</v>
          </cell>
          <cell r="G25">
            <v>0</v>
          </cell>
          <cell r="H25">
            <v>2</v>
          </cell>
          <cell r="I25">
            <v>7.09</v>
          </cell>
          <cell r="J25">
            <v>7.09</v>
          </cell>
          <cell r="K25">
            <v>0.01</v>
          </cell>
          <cell r="L25">
            <v>1</v>
          </cell>
        </row>
        <row r="26">
          <cell r="A26" t="str">
            <v>EIX</v>
          </cell>
          <cell r="B26" t="str">
            <v>SCE</v>
          </cell>
          <cell r="C26" t="str">
            <v>EDISON INTL</v>
          </cell>
          <cell r="D26">
            <v>20131219</v>
          </cell>
          <cell r="E26" t="str">
            <v>EPS</v>
          </cell>
          <cell r="F26" t="str">
            <v>LTG</v>
          </cell>
          <cell r="G26">
            <v>0</v>
          </cell>
          <cell r="H26">
            <v>3</v>
          </cell>
          <cell r="I26">
            <v>-3.75</v>
          </cell>
          <cell r="J26">
            <v>-1.25</v>
          </cell>
          <cell r="K26">
            <v>5.17</v>
          </cell>
          <cell r="L26">
            <v>1</v>
          </cell>
        </row>
        <row r="27">
          <cell r="A27" t="str">
            <v>SCG</v>
          </cell>
          <cell r="B27" t="str">
            <v>SCG</v>
          </cell>
          <cell r="C27" t="str">
            <v>SCANA CP</v>
          </cell>
          <cell r="D27">
            <v>20131219</v>
          </cell>
          <cell r="E27" t="str">
            <v>EPS</v>
          </cell>
          <cell r="F27" t="str">
            <v>LTG</v>
          </cell>
          <cell r="G27">
            <v>0</v>
          </cell>
          <cell r="H27">
            <v>1</v>
          </cell>
          <cell r="I27">
            <v>4.2</v>
          </cell>
          <cell r="J27">
            <v>4.2</v>
          </cell>
          <cell r="L27">
            <v>1</v>
          </cell>
        </row>
        <row r="28">
          <cell r="A28" t="str">
            <v>SRE</v>
          </cell>
          <cell r="B28" t="str">
            <v>SDO</v>
          </cell>
          <cell r="C28" t="str">
            <v>SEMPRA ENERGY</v>
          </cell>
          <cell r="D28">
            <v>20131219</v>
          </cell>
          <cell r="E28" t="str">
            <v>EPS</v>
          </cell>
          <cell r="F28" t="str">
            <v>LTG</v>
          </cell>
          <cell r="G28">
            <v>0</v>
          </cell>
          <cell r="H28">
            <v>2</v>
          </cell>
          <cell r="I28">
            <v>5.45</v>
          </cell>
          <cell r="J28">
            <v>5.45</v>
          </cell>
          <cell r="K28">
            <v>3.61</v>
          </cell>
          <cell r="L28">
            <v>1</v>
          </cell>
        </row>
        <row r="29">
          <cell r="A29" t="str">
            <v>SO</v>
          </cell>
          <cell r="B29" t="str">
            <v>SO</v>
          </cell>
          <cell r="C29" t="str">
            <v>SOUTHN CO</v>
          </cell>
          <cell r="D29">
            <v>20131219</v>
          </cell>
          <cell r="E29" t="str">
            <v>EPS</v>
          </cell>
          <cell r="F29" t="str">
            <v>LTG</v>
          </cell>
          <cell r="G29">
            <v>0</v>
          </cell>
          <cell r="H29">
            <v>4</v>
          </cell>
          <cell r="I29">
            <v>3.42</v>
          </cell>
          <cell r="J29">
            <v>3.54</v>
          </cell>
          <cell r="K29">
            <v>1.1499999999999999</v>
          </cell>
          <cell r="L29">
            <v>1</v>
          </cell>
        </row>
        <row r="30">
          <cell r="A30" t="str">
            <v>TE</v>
          </cell>
          <cell r="B30" t="str">
            <v>TE</v>
          </cell>
          <cell r="C30" t="str">
            <v>TECO ENERGY INC</v>
          </cell>
          <cell r="D30">
            <v>20131219</v>
          </cell>
          <cell r="E30" t="str">
            <v>EPS</v>
          </cell>
          <cell r="F30" t="str">
            <v>LTG</v>
          </cell>
          <cell r="G30">
            <v>0</v>
          </cell>
          <cell r="H30">
            <v>3</v>
          </cell>
          <cell r="I30">
            <v>3</v>
          </cell>
          <cell r="J30">
            <v>2.72</v>
          </cell>
          <cell r="K30">
            <v>2.4300000000000002</v>
          </cell>
          <cell r="L30">
            <v>1</v>
          </cell>
        </row>
        <row r="31">
          <cell r="A31" t="str">
            <v>AEE</v>
          </cell>
          <cell r="B31" t="str">
            <v>UEP</v>
          </cell>
          <cell r="C31" t="str">
            <v>AMEREN CP</v>
          </cell>
          <cell r="D31">
            <v>20131219</v>
          </cell>
          <cell r="E31" t="str">
            <v>EPS</v>
          </cell>
          <cell r="F31" t="str">
            <v>LTG</v>
          </cell>
          <cell r="G31">
            <v>0</v>
          </cell>
          <cell r="H31">
            <v>1</v>
          </cell>
          <cell r="I31">
            <v>2</v>
          </cell>
          <cell r="J31">
            <v>2</v>
          </cell>
          <cell r="L31">
            <v>1</v>
          </cell>
        </row>
        <row r="32">
          <cell r="A32" t="str">
            <v>UIL</v>
          </cell>
          <cell r="B32" t="str">
            <v>UIL</v>
          </cell>
          <cell r="C32" t="str">
            <v>UIL HOLDING CORP</v>
          </cell>
          <cell r="D32">
            <v>20131219</v>
          </cell>
          <cell r="E32" t="str">
            <v>EPS</v>
          </cell>
          <cell r="F32" t="str">
            <v>LTG</v>
          </cell>
          <cell r="G32">
            <v>0</v>
          </cell>
          <cell r="H32">
            <v>5</v>
          </cell>
          <cell r="I32">
            <v>7</v>
          </cell>
          <cell r="J32">
            <v>7.07</v>
          </cell>
          <cell r="K32">
            <v>0.54</v>
          </cell>
          <cell r="L32">
            <v>1</v>
          </cell>
        </row>
        <row r="33">
          <cell r="A33" t="str">
            <v>WEC</v>
          </cell>
          <cell r="B33" t="str">
            <v>WPC</v>
          </cell>
          <cell r="C33" t="str">
            <v>WISCONSIN ENERGY</v>
          </cell>
          <cell r="D33">
            <v>20131219</v>
          </cell>
          <cell r="E33" t="str">
            <v>EPS</v>
          </cell>
          <cell r="F33" t="str">
            <v>LTG</v>
          </cell>
          <cell r="G33">
            <v>0</v>
          </cell>
          <cell r="H33">
            <v>3</v>
          </cell>
          <cell r="I33">
            <v>5</v>
          </cell>
          <cell r="J33">
            <v>5.34</v>
          </cell>
          <cell r="K33">
            <v>0.84</v>
          </cell>
          <cell r="L33">
            <v>1</v>
          </cell>
        </row>
        <row r="34">
          <cell r="A34" t="str">
            <v>LNT</v>
          </cell>
          <cell r="B34" t="str">
            <v>WPL</v>
          </cell>
          <cell r="C34" t="str">
            <v>ALLIANT ENER</v>
          </cell>
          <cell r="D34">
            <v>20131219</v>
          </cell>
          <cell r="E34" t="str">
            <v>EPS</v>
          </cell>
          <cell r="F34" t="str">
            <v>LTG</v>
          </cell>
          <cell r="G34">
            <v>0</v>
          </cell>
          <cell r="H34">
            <v>1</v>
          </cell>
          <cell r="I34">
            <v>4.8</v>
          </cell>
          <cell r="J34">
            <v>4.8</v>
          </cell>
          <cell r="L34">
            <v>1</v>
          </cell>
        </row>
        <row r="35">
          <cell r="A35" t="str">
            <v>AVA</v>
          </cell>
          <cell r="B35" t="str">
            <v>WWP</v>
          </cell>
          <cell r="C35" t="str">
            <v>AVISTA CORP</v>
          </cell>
          <cell r="D35">
            <v>20131219</v>
          </cell>
          <cell r="E35" t="str">
            <v>EPS</v>
          </cell>
          <cell r="F35" t="str">
            <v>LTG</v>
          </cell>
          <cell r="G35">
            <v>0</v>
          </cell>
          <cell r="H35">
            <v>1</v>
          </cell>
          <cell r="I35">
            <v>5</v>
          </cell>
          <cell r="J35">
            <v>5</v>
          </cell>
          <cell r="L35">
            <v>1</v>
          </cell>
        </row>
        <row r="36">
          <cell r="A36" t="str">
            <v>PPL</v>
          </cell>
          <cell r="B36" t="str">
            <v>@1Z1</v>
          </cell>
          <cell r="C36" t="str">
            <v>PPL</v>
          </cell>
          <cell r="D36">
            <v>20131219</v>
          </cell>
          <cell r="E36" t="str">
            <v>EPS</v>
          </cell>
          <cell r="F36" t="str">
            <v>LTG</v>
          </cell>
          <cell r="G36">
            <v>0</v>
          </cell>
          <cell r="H36">
            <v>1</v>
          </cell>
          <cell r="I36">
            <v>14.3</v>
          </cell>
          <cell r="J36">
            <v>14.3</v>
          </cell>
          <cell r="L36">
            <v>0</v>
          </cell>
        </row>
        <row r="37">
          <cell r="A37" t="str">
            <v>CNP</v>
          </cell>
          <cell r="B37" t="str">
            <v>@CN0</v>
          </cell>
          <cell r="C37" t="str">
            <v>CNP ASSURANCES</v>
          </cell>
          <cell r="D37">
            <v>20131219</v>
          </cell>
          <cell r="E37" t="str">
            <v>EPS</v>
          </cell>
          <cell r="F37" t="str">
            <v>LTG</v>
          </cell>
          <cell r="G37">
            <v>0</v>
          </cell>
          <cell r="H37">
            <v>2</v>
          </cell>
          <cell r="I37">
            <v>-0.8</v>
          </cell>
          <cell r="J37">
            <v>-0.8</v>
          </cell>
          <cell r="K37">
            <v>3.82</v>
          </cell>
          <cell r="L37">
            <v>0</v>
          </cell>
        </row>
        <row r="38">
          <cell r="A38" t="str">
            <v>SO</v>
          </cell>
          <cell r="B38" t="str">
            <v>@DAM</v>
          </cell>
          <cell r="C38" t="str">
            <v>SOMFY</v>
          </cell>
          <cell r="D38">
            <v>20131219</v>
          </cell>
          <cell r="E38" t="str">
            <v>EPS</v>
          </cell>
          <cell r="F38" t="str">
            <v>LTG</v>
          </cell>
          <cell r="G38">
            <v>0</v>
          </cell>
          <cell r="H38">
            <v>2</v>
          </cell>
          <cell r="I38">
            <v>14.9</v>
          </cell>
          <cell r="J38">
            <v>14.9</v>
          </cell>
          <cell r="K38">
            <v>1.7</v>
          </cell>
          <cell r="L38">
            <v>0</v>
          </cell>
        </row>
        <row r="39">
          <cell r="A39" t="str">
            <v>DTE</v>
          </cell>
          <cell r="B39" t="str">
            <v>@DT</v>
          </cell>
          <cell r="C39" t="str">
            <v>DEUTSCHE TELEKOM</v>
          </cell>
          <cell r="D39">
            <v>20131219</v>
          </cell>
          <cell r="E39" t="str">
            <v>EPS</v>
          </cell>
          <cell r="F39" t="str">
            <v>LTG</v>
          </cell>
          <cell r="G39">
            <v>0</v>
          </cell>
          <cell r="H39">
            <v>6</v>
          </cell>
          <cell r="I39">
            <v>6.55</v>
          </cell>
          <cell r="J39">
            <v>7.68</v>
          </cell>
          <cell r="K39">
            <v>3.97</v>
          </cell>
          <cell r="L39">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RDS"/>
    </sheetNames>
    <sheetDataSet>
      <sheetData sheetId="0">
        <row r="1">
          <cell r="B1" t="str">
            <v>Official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Forecast Period End Date (SAS Format)</v>
          </cell>
          <cell r="M1" t="str">
            <v>Actual Value, from the Detail Actuals File</v>
          </cell>
          <cell r="N1" t="str">
            <v>Announce date of the Actual, from the Detail Actuals File</v>
          </cell>
        </row>
        <row r="2">
          <cell r="B2" t="str">
            <v>GAS</v>
          </cell>
          <cell r="C2" t="str">
            <v>AGL RESOURCES</v>
          </cell>
          <cell r="D2">
            <v>20131219</v>
          </cell>
          <cell r="E2" t="str">
            <v>EPS</v>
          </cell>
          <cell r="F2" t="str">
            <v>ANN</v>
          </cell>
          <cell r="G2">
            <v>1</v>
          </cell>
          <cell r="H2">
            <v>9</v>
          </cell>
          <cell r="I2">
            <v>2.8</v>
          </cell>
          <cell r="J2">
            <v>2.79</v>
          </cell>
          <cell r="K2">
            <v>0.12</v>
          </cell>
          <cell r="L2">
            <v>20131231</v>
          </cell>
          <cell r="M2">
            <v>2.56</v>
          </cell>
          <cell r="N2">
            <v>20140204</v>
          </cell>
        </row>
        <row r="3">
          <cell r="B3" t="str">
            <v>CPK</v>
          </cell>
          <cell r="C3" t="str">
            <v>CHESAPEAKE UTIL</v>
          </cell>
          <cell r="D3">
            <v>20131219</v>
          </cell>
          <cell r="E3" t="str">
            <v>EPS</v>
          </cell>
          <cell r="F3" t="str">
            <v>ANN</v>
          </cell>
          <cell r="G3">
            <v>1</v>
          </cell>
          <cell r="H3">
            <v>3</v>
          </cell>
          <cell r="I3">
            <v>2.2999999999999998</v>
          </cell>
          <cell r="J3">
            <v>2.2799999999999998</v>
          </cell>
          <cell r="K3">
            <v>0.04</v>
          </cell>
          <cell r="L3">
            <v>20131231</v>
          </cell>
          <cell r="M3">
            <v>2.2599999999999998</v>
          </cell>
          <cell r="N3">
            <v>20140306</v>
          </cell>
        </row>
        <row r="4">
          <cell r="B4" t="str">
            <v>ATO</v>
          </cell>
          <cell r="C4" t="str">
            <v>ATMOS ENERGY CP</v>
          </cell>
          <cell r="D4">
            <v>20131219</v>
          </cell>
          <cell r="E4" t="str">
            <v>EPS</v>
          </cell>
          <cell r="F4" t="str">
            <v>ANN</v>
          </cell>
          <cell r="G4">
            <v>1</v>
          </cell>
          <cell r="H4">
            <v>7</v>
          </cell>
          <cell r="I4">
            <v>2.75</v>
          </cell>
          <cell r="J4">
            <v>2.76</v>
          </cell>
          <cell r="K4">
            <v>7.0000000000000007E-2</v>
          </cell>
          <cell r="L4">
            <v>20140930</v>
          </cell>
          <cell r="M4">
            <v>2.9</v>
          </cell>
          <cell r="N4">
            <v>20141105</v>
          </cell>
        </row>
        <row r="5">
          <cell r="B5" t="str">
            <v>LG</v>
          </cell>
          <cell r="C5" t="str">
            <v>LACLEDE GROUP</v>
          </cell>
          <cell r="D5">
            <v>20131219</v>
          </cell>
          <cell r="E5" t="str">
            <v>EPS</v>
          </cell>
          <cell r="F5" t="str">
            <v>ANN</v>
          </cell>
          <cell r="G5">
            <v>1</v>
          </cell>
          <cell r="H5">
            <v>7</v>
          </cell>
          <cell r="I5">
            <v>2.9</v>
          </cell>
          <cell r="J5">
            <v>2.88</v>
          </cell>
          <cell r="K5">
            <v>0.13</v>
          </cell>
          <cell r="L5">
            <v>20140930</v>
          </cell>
          <cell r="M5">
            <v>3.05</v>
          </cell>
          <cell r="N5">
            <v>20141125</v>
          </cell>
        </row>
        <row r="6">
          <cell r="B6" t="str">
            <v>NI</v>
          </cell>
          <cell r="C6" t="str">
            <v>NISOURCE INC</v>
          </cell>
          <cell r="D6">
            <v>20131219</v>
          </cell>
          <cell r="E6" t="str">
            <v>EPS</v>
          </cell>
          <cell r="F6" t="str">
            <v>ANN</v>
          </cell>
          <cell r="G6">
            <v>1</v>
          </cell>
          <cell r="H6">
            <v>11</v>
          </cell>
          <cell r="I6">
            <v>1.55</v>
          </cell>
          <cell r="J6">
            <v>1.55</v>
          </cell>
          <cell r="K6">
            <v>0.01</v>
          </cell>
          <cell r="L6">
            <v>20131231</v>
          </cell>
          <cell r="M6">
            <v>1.58</v>
          </cell>
          <cell r="N6">
            <v>20140218</v>
          </cell>
        </row>
        <row r="7">
          <cell r="B7" t="str">
            <v>NJR</v>
          </cell>
          <cell r="C7" t="str">
            <v>NEW JERSEY RES</v>
          </cell>
          <cell r="D7">
            <v>20131219</v>
          </cell>
          <cell r="E7" t="str">
            <v>EPS</v>
          </cell>
          <cell r="F7" t="str">
            <v>ANN</v>
          </cell>
          <cell r="G7">
            <v>1</v>
          </cell>
          <cell r="H7">
            <v>8</v>
          </cell>
          <cell r="I7">
            <v>1.42</v>
          </cell>
          <cell r="J7">
            <v>1.42</v>
          </cell>
          <cell r="K7">
            <v>0.03</v>
          </cell>
          <cell r="L7">
            <v>20140930</v>
          </cell>
          <cell r="M7">
            <v>2.085</v>
          </cell>
          <cell r="N7">
            <v>20141125</v>
          </cell>
        </row>
        <row r="8">
          <cell r="B8" t="str">
            <v>NWN</v>
          </cell>
          <cell r="C8" t="str">
            <v>NW NATURAL GAS</v>
          </cell>
          <cell r="D8">
            <v>20131219</v>
          </cell>
          <cell r="E8" t="str">
            <v>EPS</v>
          </cell>
          <cell r="F8" t="str">
            <v>ANN</v>
          </cell>
          <cell r="G8">
            <v>1</v>
          </cell>
          <cell r="H8">
            <v>5</v>
          </cell>
          <cell r="I8">
            <v>2.25</v>
          </cell>
          <cell r="J8">
            <v>2.2200000000000002</v>
          </cell>
          <cell r="K8">
            <v>0.04</v>
          </cell>
          <cell r="L8">
            <v>20131231</v>
          </cell>
          <cell r="M8">
            <v>2.2400000000000002</v>
          </cell>
          <cell r="N8">
            <v>20140228</v>
          </cell>
        </row>
        <row r="9">
          <cell r="B9" t="str">
            <v>PNY</v>
          </cell>
          <cell r="C9" t="str">
            <v>PIEDMONT NAT GAS</v>
          </cell>
          <cell r="D9">
            <v>20131219</v>
          </cell>
          <cell r="E9" t="str">
            <v>EPS</v>
          </cell>
          <cell r="F9" t="str">
            <v>ANN</v>
          </cell>
          <cell r="G9">
            <v>1</v>
          </cell>
          <cell r="H9">
            <v>9</v>
          </cell>
          <cell r="I9">
            <v>1.75</v>
          </cell>
          <cell r="J9">
            <v>1.75</v>
          </cell>
          <cell r="K9">
            <v>0.01</v>
          </cell>
          <cell r="L9">
            <v>20131031</v>
          </cell>
          <cell r="M9">
            <v>1.78</v>
          </cell>
          <cell r="N9">
            <v>20131223</v>
          </cell>
        </row>
        <row r="10">
          <cell r="B10" t="str">
            <v>SJI</v>
          </cell>
          <cell r="C10" t="str">
            <v>SO JERSEY INDS</v>
          </cell>
          <cell r="D10">
            <v>20131219</v>
          </cell>
          <cell r="E10" t="str">
            <v>EPS</v>
          </cell>
          <cell r="F10" t="str">
            <v>ANN</v>
          </cell>
          <cell r="G10">
            <v>1</v>
          </cell>
          <cell r="H10">
            <v>4</v>
          </cell>
          <cell r="I10">
            <v>1.55</v>
          </cell>
          <cell r="J10">
            <v>1.54</v>
          </cell>
          <cell r="K10">
            <v>7.0000000000000007E-2</v>
          </cell>
          <cell r="L10">
            <v>20131231</v>
          </cell>
          <cell r="M10">
            <v>1.5149999999999999</v>
          </cell>
          <cell r="N10">
            <v>20140228</v>
          </cell>
        </row>
        <row r="11">
          <cell r="B11" t="str">
            <v>SWX</v>
          </cell>
          <cell r="C11" t="str">
            <v>SOUTHWEST GAS</v>
          </cell>
          <cell r="D11">
            <v>20131219</v>
          </cell>
          <cell r="E11" t="str">
            <v>EPS</v>
          </cell>
          <cell r="F11" t="str">
            <v>ANN</v>
          </cell>
          <cell r="G11">
            <v>1</v>
          </cell>
          <cell r="H11">
            <v>6</v>
          </cell>
          <cell r="I11">
            <v>3</v>
          </cell>
          <cell r="J11">
            <v>3.02</v>
          </cell>
          <cell r="K11">
            <v>0.09</v>
          </cell>
          <cell r="L11">
            <v>20131231</v>
          </cell>
          <cell r="M11">
            <v>2.84</v>
          </cell>
          <cell r="N11">
            <v>20140226</v>
          </cell>
        </row>
        <row r="12">
          <cell r="B12" t="str">
            <v>WGL</v>
          </cell>
          <cell r="C12" t="str">
            <v>WGL HOLDING INC</v>
          </cell>
          <cell r="D12">
            <v>20131219</v>
          </cell>
          <cell r="E12" t="str">
            <v>EPS</v>
          </cell>
          <cell r="F12" t="str">
            <v>ANN</v>
          </cell>
          <cell r="G12">
            <v>1</v>
          </cell>
          <cell r="H12">
            <v>6</v>
          </cell>
          <cell r="I12">
            <v>2.27</v>
          </cell>
          <cell r="J12">
            <v>2.31</v>
          </cell>
          <cell r="K12">
            <v>0.15</v>
          </cell>
          <cell r="L12">
            <v>20140930</v>
          </cell>
          <cell r="M12">
            <v>2.68</v>
          </cell>
          <cell r="N12">
            <v>20141112</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RDS"/>
    </sheetNames>
    <sheetDataSet>
      <sheetData sheetId="0">
        <row r="1">
          <cell r="B1" t="str">
            <v>Official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Forecast Period End Date (SAS Format)</v>
          </cell>
          <cell r="M1" t="str">
            <v>Actual Value, from the Detail Actuals File</v>
          </cell>
          <cell r="N1" t="str">
            <v>Announce date of the Actual, from the Detail Actuals File</v>
          </cell>
        </row>
        <row r="2">
          <cell r="B2" t="str">
            <v>CPK</v>
          </cell>
          <cell r="C2" t="str">
            <v>CHESAPEAKE US</v>
          </cell>
          <cell r="D2">
            <v>20171214</v>
          </cell>
          <cell r="E2" t="str">
            <v>EPS</v>
          </cell>
          <cell r="F2" t="str">
            <v>ANN</v>
          </cell>
          <cell r="G2">
            <v>1</v>
          </cell>
          <cell r="H2">
            <v>5</v>
          </cell>
          <cell r="I2">
            <v>2.87</v>
          </cell>
          <cell r="J2">
            <v>2.86</v>
          </cell>
          <cell r="K2">
            <v>0.04</v>
          </cell>
          <cell r="L2">
            <v>20171231</v>
          </cell>
          <cell r="M2">
            <v>2.89</v>
          </cell>
          <cell r="N2">
            <v>20180228</v>
          </cell>
        </row>
        <row r="3">
          <cell r="B3" t="str">
            <v>ATO</v>
          </cell>
          <cell r="C3" t="str">
            <v>ATMOS ENERGY CP</v>
          </cell>
          <cell r="D3">
            <v>20171214</v>
          </cell>
          <cell r="E3" t="str">
            <v>EPS</v>
          </cell>
          <cell r="F3" t="str">
            <v>ANN</v>
          </cell>
          <cell r="G3">
            <v>1</v>
          </cell>
          <cell r="H3">
            <v>8</v>
          </cell>
          <cell r="I3">
            <v>3.84</v>
          </cell>
          <cell r="J3">
            <v>3.84</v>
          </cell>
          <cell r="K3">
            <v>0.05</v>
          </cell>
          <cell r="L3">
            <v>20180930</v>
          </cell>
          <cell r="M3">
            <v>4</v>
          </cell>
          <cell r="N3">
            <v>20181107</v>
          </cell>
        </row>
        <row r="4">
          <cell r="B4" t="str">
            <v>SR</v>
          </cell>
          <cell r="C4" t="str">
            <v>SPIRE INC</v>
          </cell>
          <cell r="D4">
            <v>20171214</v>
          </cell>
          <cell r="E4" t="str">
            <v>EPS</v>
          </cell>
          <cell r="F4" t="str">
            <v>ANN</v>
          </cell>
          <cell r="G4">
            <v>1</v>
          </cell>
          <cell r="H4">
            <v>8</v>
          </cell>
          <cell r="I4">
            <v>3.72</v>
          </cell>
          <cell r="J4">
            <v>3.71</v>
          </cell>
          <cell r="K4">
            <v>0.04</v>
          </cell>
          <cell r="L4">
            <v>20180930</v>
          </cell>
          <cell r="M4">
            <v>3.72</v>
          </cell>
          <cell r="N4">
            <v>20181115</v>
          </cell>
        </row>
        <row r="5">
          <cell r="B5" t="str">
            <v>NI</v>
          </cell>
          <cell r="C5" t="str">
            <v>NISOURCE</v>
          </cell>
          <cell r="D5">
            <v>20171214</v>
          </cell>
          <cell r="E5" t="str">
            <v>EPS</v>
          </cell>
          <cell r="F5" t="str">
            <v>ANN</v>
          </cell>
          <cell r="G5">
            <v>1</v>
          </cell>
          <cell r="H5">
            <v>11</v>
          </cell>
          <cell r="I5">
            <v>1.19</v>
          </cell>
          <cell r="J5">
            <v>1.19</v>
          </cell>
          <cell r="K5">
            <v>0.01</v>
          </cell>
          <cell r="L5">
            <v>20171231</v>
          </cell>
          <cell r="M5">
            <v>1.21</v>
          </cell>
          <cell r="N5">
            <v>20180220</v>
          </cell>
        </row>
        <row r="6">
          <cell r="B6" t="str">
            <v>NJR</v>
          </cell>
          <cell r="C6" t="str">
            <v>NEW JERSEY RES</v>
          </cell>
          <cell r="D6">
            <v>20171214</v>
          </cell>
          <cell r="E6" t="str">
            <v>EPS</v>
          </cell>
          <cell r="F6" t="str">
            <v>ANN</v>
          </cell>
          <cell r="G6">
            <v>1</v>
          </cell>
          <cell r="H6">
            <v>4</v>
          </cell>
          <cell r="I6">
            <v>1.8</v>
          </cell>
          <cell r="J6">
            <v>1.82</v>
          </cell>
          <cell r="K6">
            <v>0.03</v>
          </cell>
          <cell r="L6">
            <v>20180930</v>
          </cell>
          <cell r="M6">
            <v>2.74</v>
          </cell>
          <cell r="N6">
            <v>20181120</v>
          </cell>
        </row>
        <row r="7">
          <cell r="B7" t="str">
            <v>NWN</v>
          </cell>
          <cell r="C7" t="str">
            <v>NW NATURAL GAS</v>
          </cell>
          <cell r="D7">
            <v>20171214</v>
          </cell>
          <cell r="E7" t="str">
            <v>EPS</v>
          </cell>
          <cell r="F7" t="str">
            <v>ANN</v>
          </cell>
          <cell r="G7">
            <v>1</v>
          </cell>
          <cell r="H7">
            <v>5</v>
          </cell>
          <cell r="I7">
            <v>2.1800000000000002</v>
          </cell>
          <cell r="J7">
            <v>2.1800000000000002</v>
          </cell>
          <cell r="K7">
            <v>0.03</v>
          </cell>
          <cell r="L7">
            <v>20171231</v>
          </cell>
          <cell r="M7">
            <v>2.2400000000000002</v>
          </cell>
          <cell r="N7">
            <v>20180223</v>
          </cell>
        </row>
        <row r="8">
          <cell r="B8" t="str">
            <v>OGS</v>
          </cell>
          <cell r="C8" t="str">
            <v>ONE GAS INC</v>
          </cell>
          <cell r="D8">
            <v>20171214</v>
          </cell>
          <cell r="E8" t="str">
            <v>EPS</v>
          </cell>
          <cell r="F8" t="str">
            <v>ANN</v>
          </cell>
          <cell r="G8">
            <v>1</v>
          </cell>
          <cell r="H8">
            <v>3</v>
          </cell>
          <cell r="I8">
            <v>3.04</v>
          </cell>
          <cell r="J8">
            <v>3.02</v>
          </cell>
          <cell r="K8">
            <v>0.03</v>
          </cell>
          <cell r="L8">
            <v>20171231</v>
          </cell>
          <cell r="M8">
            <v>3.05</v>
          </cell>
          <cell r="N8">
            <v>20180221</v>
          </cell>
        </row>
        <row r="9">
          <cell r="B9" t="str">
            <v>SJI</v>
          </cell>
          <cell r="C9" t="str">
            <v>SO JERSEY INDS</v>
          </cell>
          <cell r="D9">
            <v>20171214</v>
          </cell>
          <cell r="E9" t="str">
            <v>EPS</v>
          </cell>
          <cell r="F9" t="str">
            <v>ANN</v>
          </cell>
          <cell r="G9">
            <v>1</v>
          </cell>
          <cell r="H9">
            <v>6</v>
          </cell>
          <cell r="I9">
            <v>1.1499999999999999</v>
          </cell>
          <cell r="J9">
            <v>1.1499999999999999</v>
          </cell>
          <cell r="K9">
            <v>0.01</v>
          </cell>
          <cell r="L9">
            <v>20171231</v>
          </cell>
          <cell r="M9">
            <v>1.23</v>
          </cell>
          <cell r="N9">
            <v>20180222</v>
          </cell>
        </row>
        <row r="10">
          <cell r="B10" t="str">
            <v>SWX</v>
          </cell>
          <cell r="C10" t="str">
            <v>SOUTHWEST HOLDG</v>
          </cell>
          <cell r="D10">
            <v>20171214</v>
          </cell>
          <cell r="E10" t="str">
            <v>EPS</v>
          </cell>
          <cell r="F10" t="str">
            <v>ANN</v>
          </cell>
          <cell r="G10">
            <v>1</v>
          </cell>
          <cell r="H10">
            <v>6</v>
          </cell>
          <cell r="I10">
            <v>3.44</v>
          </cell>
          <cell r="J10">
            <v>3.44</v>
          </cell>
          <cell r="K10">
            <v>7.0000000000000007E-2</v>
          </cell>
          <cell r="L10">
            <v>20171231</v>
          </cell>
          <cell r="M10">
            <v>3.62</v>
          </cell>
          <cell r="N10">
            <v>20180227</v>
          </cell>
        </row>
        <row r="11">
          <cell r="B11" t="str">
            <v>WGL</v>
          </cell>
          <cell r="C11" t="str">
            <v>WGL HOLDING INC</v>
          </cell>
          <cell r="D11">
            <v>20171214</v>
          </cell>
          <cell r="E11" t="str">
            <v>EPS</v>
          </cell>
          <cell r="F11" t="str">
            <v>ANN</v>
          </cell>
          <cell r="G11">
            <v>1</v>
          </cell>
          <cell r="H11">
            <v>5</v>
          </cell>
          <cell r="I11">
            <v>3.67</v>
          </cell>
          <cell r="J11">
            <v>3.66</v>
          </cell>
          <cell r="K11">
            <v>0.06</v>
          </cell>
          <cell r="L11">
            <v>20180930</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zpaybtmrmbrf6fh"/>
    </sheetNames>
    <sheetDataSet>
      <sheetData sheetId="0">
        <row r="1">
          <cell r="B1" t="str">
            <v>Official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Forecast Period End Date (SAS Format)</v>
          </cell>
          <cell r="M1" t="str">
            <v>Actual Value, from the Detail Actuals File</v>
          </cell>
          <cell r="N1" t="str">
            <v>Announce date of the Actual, from the Detail Actuals File</v>
          </cell>
        </row>
        <row r="2">
          <cell r="B2" t="str">
            <v>GAS</v>
          </cell>
          <cell r="C2" t="str">
            <v>AGL RESOURCES</v>
          </cell>
          <cell r="D2">
            <v>41627</v>
          </cell>
          <cell r="E2" t="str">
            <v>EPS</v>
          </cell>
          <cell r="F2" t="str">
            <v>LTG</v>
          </cell>
          <cell r="G2" t="str">
            <v>0</v>
          </cell>
          <cell r="H2">
            <v>1</v>
          </cell>
          <cell r="I2">
            <v>4</v>
          </cell>
          <cell r="J2">
            <v>4</v>
          </cell>
        </row>
        <row r="3">
          <cell r="B3" t="str">
            <v>ATO</v>
          </cell>
          <cell r="C3" t="str">
            <v>ATMOS ENERGY CP</v>
          </cell>
          <cell r="D3">
            <v>41627</v>
          </cell>
          <cell r="E3" t="str">
            <v>EPS</v>
          </cell>
          <cell r="F3" t="str">
            <v>LTG</v>
          </cell>
          <cell r="G3" t="str">
            <v>0</v>
          </cell>
          <cell r="H3">
            <v>2</v>
          </cell>
          <cell r="I3">
            <v>7.75</v>
          </cell>
          <cell r="J3">
            <v>7.75</v>
          </cell>
          <cell r="K3">
            <v>1.06</v>
          </cell>
        </row>
        <row r="4">
          <cell r="B4" t="str">
            <v>LG</v>
          </cell>
          <cell r="C4" t="str">
            <v>LACLEDE GROUP</v>
          </cell>
          <cell r="D4">
            <v>41627</v>
          </cell>
          <cell r="E4" t="str">
            <v>EPS</v>
          </cell>
          <cell r="F4" t="str">
            <v>LTG</v>
          </cell>
          <cell r="G4" t="str">
            <v>0</v>
          </cell>
          <cell r="H4">
            <v>1</v>
          </cell>
          <cell r="I4">
            <v>4.9000000000000004</v>
          </cell>
          <cell r="J4">
            <v>4.9000000000000004</v>
          </cell>
        </row>
        <row r="5">
          <cell r="B5" t="str">
            <v>NI</v>
          </cell>
          <cell r="C5" t="str">
            <v>NISOURCE INC</v>
          </cell>
          <cell r="D5">
            <v>41627</v>
          </cell>
          <cell r="E5" t="str">
            <v>EPS</v>
          </cell>
          <cell r="F5" t="str">
            <v>LTG</v>
          </cell>
          <cell r="G5" t="str">
            <v>0</v>
          </cell>
          <cell r="H5">
            <v>1</v>
          </cell>
          <cell r="I5">
            <v>6.5</v>
          </cell>
          <cell r="J5">
            <v>6.5</v>
          </cell>
        </row>
        <row r="6">
          <cell r="B6" t="str">
            <v>NJR</v>
          </cell>
          <cell r="C6" t="str">
            <v>NEW JERSEY RES</v>
          </cell>
          <cell r="D6">
            <v>41627</v>
          </cell>
          <cell r="E6" t="str">
            <v>EPS</v>
          </cell>
          <cell r="F6" t="str">
            <v>LTG</v>
          </cell>
          <cell r="G6" t="str">
            <v>0</v>
          </cell>
          <cell r="H6">
            <v>2</v>
          </cell>
          <cell r="I6">
            <v>2.5</v>
          </cell>
          <cell r="J6">
            <v>2.5</v>
          </cell>
          <cell r="K6">
            <v>2.12</v>
          </cell>
        </row>
        <row r="7">
          <cell r="B7" t="str">
            <v>NWN</v>
          </cell>
          <cell r="C7" t="str">
            <v>NW NATURAL GAS</v>
          </cell>
          <cell r="D7">
            <v>41627</v>
          </cell>
          <cell r="E7" t="str">
            <v>EPS</v>
          </cell>
          <cell r="F7" t="str">
            <v>LTG</v>
          </cell>
          <cell r="G7" t="str">
            <v>0</v>
          </cell>
          <cell r="H7">
            <v>1</v>
          </cell>
          <cell r="I7">
            <v>4</v>
          </cell>
          <cell r="J7">
            <v>4</v>
          </cell>
        </row>
        <row r="8">
          <cell r="B8" t="str">
            <v>PNY</v>
          </cell>
          <cell r="C8" t="str">
            <v>PIEDMONT NAT GAS</v>
          </cell>
          <cell r="D8">
            <v>41627</v>
          </cell>
          <cell r="E8" t="str">
            <v>EPS</v>
          </cell>
          <cell r="F8" t="str">
            <v>LTG</v>
          </cell>
          <cell r="G8" t="str">
            <v>0</v>
          </cell>
          <cell r="H8">
            <v>1</v>
          </cell>
          <cell r="I8">
            <v>4</v>
          </cell>
          <cell r="J8">
            <v>4</v>
          </cell>
        </row>
        <row r="9">
          <cell r="B9" t="str">
            <v>SWX</v>
          </cell>
          <cell r="C9" t="str">
            <v>SOUTHWEST GAS</v>
          </cell>
          <cell r="D9">
            <v>41627</v>
          </cell>
          <cell r="E9" t="str">
            <v>EPS</v>
          </cell>
          <cell r="F9" t="str">
            <v>LTG</v>
          </cell>
          <cell r="G9" t="str">
            <v>0</v>
          </cell>
          <cell r="H9">
            <v>2</v>
          </cell>
          <cell r="I9">
            <v>2.5499999999999998</v>
          </cell>
          <cell r="J9">
            <v>2.5499999999999998</v>
          </cell>
          <cell r="K9">
            <v>2.0499999999999998</v>
          </cell>
        </row>
        <row r="10">
          <cell r="B10" t="str">
            <v>WGL</v>
          </cell>
          <cell r="C10" t="str">
            <v>WGL HOLDING INC</v>
          </cell>
          <cell r="D10">
            <v>41627</v>
          </cell>
          <cell r="E10" t="str">
            <v>EPS</v>
          </cell>
          <cell r="F10" t="str">
            <v>LTG</v>
          </cell>
          <cell r="G10" t="str">
            <v>0</v>
          </cell>
          <cell r="H10">
            <v>3</v>
          </cell>
          <cell r="I10">
            <v>5</v>
          </cell>
          <cell r="J10">
            <v>4.5999999999999996</v>
          </cell>
          <cell r="K10">
            <v>1.1499999999999999</v>
          </cell>
        </row>
        <row r="11">
          <cell r="B11" t="str">
            <v>CPK</v>
          </cell>
          <cell r="C11" t="str">
            <v>CHESAPEAKE UTIL</v>
          </cell>
          <cell r="D11">
            <v>41592</v>
          </cell>
          <cell r="E11" t="str">
            <v>EPS</v>
          </cell>
          <cell r="F11" t="str">
            <v>LTG</v>
          </cell>
          <cell r="G11" t="str">
            <v>0</v>
          </cell>
          <cell r="H11">
            <v>1</v>
          </cell>
          <cell r="I11">
            <v>3</v>
          </cell>
          <cell r="J11">
            <v>3</v>
          </cell>
        </row>
        <row r="12">
          <cell r="B12" t="str">
            <v>SJI</v>
          </cell>
          <cell r="C12" t="str">
            <v>SO JERSEY INDS</v>
          </cell>
          <cell r="D12">
            <v>41592</v>
          </cell>
          <cell r="E12" t="str">
            <v>EPS</v>
          </cell>
          <cell r="F12" t="str">
            <v>LTG</v>
          </cell>
          <cell r="G12" t="str">
            <v>0</v>
          </cell>
          <cell r="H12">
            <v>1</v>
          </cell>
          <cell r="I12">
            <v>6</v>
          </cell>
          <cell r="J12">
            <v>6</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RDS"/>
    </sheetNames>
    <sheetDataSet>
      <sheetData sheetId="0">
        <row r="1">
          <cell r="A1" t="str">
            <v>OFTIC</v>
          </cell>
          <cell r="B1" t="str">
            <v>IBES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USFIRM=0 if from .INT file and USFIRM=1 if from .US file</v>
          </cell>
          <cell r="L1" t="str">
            <v>Forecast Period End Date (SAS Format)</v>
          </cell>
          <cell r="M1" t="str">
            <v>Actual Value, from the Detail Actuals File</v>
          </cell>
          <cell r="N1" t="str">
            <v>Announce date of the Actual, from the Detail Actuals File</v>
          </cell>
        </row>
        <row r="2">
          <cell r="A2" t="str">
            <v>PNW</v>
          </cell>
          <cell r="B2" t="str">
            <v>AZP</v>
          </cell>
          <cell r="C2" t="str">
            <v>PINNACLE WST CAP</v>
          </cell>
          <cell r="D2">
            <v>20121220</v>
          </cell>
          <cell r="E2" t="str">
            <v>EPS</v>
          </cell>
          <cell r="F2" t="str">
            <v>ANN</v>
          </cell>
          <cell r="G2">
            <v>1</v>
          </cell>
          <cell r="H2">
            <v>15</v>
          </cell>
          <cell r="I2">
            <v>3.42</v>
          </cell>
          <cell r="J2">
            <v>3.42</v>
          </cell>
          <cell r="K2">
            <v>1</v>
          </cell>
          <cell r="L2">
            <v>20121231</v>
          </cell>
          <cell r="M2">
            <v>3.5</v>
          </cell>
          <cell r="N2">
            <v>20130222</v>
          </cell>
        </row>
        <row r="3">
          <cell r="A3" t="str">
            <v>BKH</v>
          </cell>
          <cell r="B3" t="str">
            <v>BHP</v>
          </cell>
          <cell r="C3" t="str">
            <v>BLACK HILLS CP</v>
          </cell>
          <cell r="D3">
            <v>20121220</v>
          </cell>
          <cell r="E3" t="str">
            <v>EPS</v>
          </cell>
          <cell r="F3" t="str">
            <v>ANN</v>
          </cell>
          <cell r="G3">
            <v>1</v>
          </cell>
          <cell r="H3">
            <v>7</v>
          </cell>
          <cell r="I3">
            <v>2.04</v>
          </cell>
          <cell r="J3">
            <v>2.04</v>
          </cell>
          <cell r="K3">
            <v>1</v>
          </cell>
          <cell r="L3">
            <v>20121231</v>
          </cell>
          <cell r="M3">
            <v>2.09</v>
          </cell>
          <cell r="N3">
            <v>20130131</v>
          </cell>
        </row>
        <row r="4">
          <cell r="A4" t="str">
            <v>CMS</v>
          </cell>
          <cell r="B4" t="str">
            <v>CMS</v>
          </cell>
          <cell r="C4" t="str">
            <v>CMS ENERGY CORP</v>
          </cell>
          <cell r="D4">
            <v>20121220</v>
          </cell>
          <cell r="E4" t="str">
            <v>EPS</v>
          </cell>
          <cell r="F4" t="str">
            <v>ANN</v>
          </cell>
          <cell r="G4">
            <v>1</v>
          </cell>
          <cell r="H4">
            <v>13</v>
          </cell>
          <cell r="I4">
            <v>1.54</v>
          </cell>
          <cell r="J4">
            <v>1.54</v>
          </cell>
          <cell r="K4">
            <v>1</v>
          </cell>
          <cell r="L4">
            <v>20121231</v>
          </cell>
          <cell r="M4">
            <v>1.55</v>
          </cell>
          <cell r="N4">
            <v>20130221</v>
          </cell>
        </row>
        <row r="5">
          <cell r="A5" t="str">
            <v>CNL</v>
          </cell>
          <cell r="B5" t="str">
            <v>CNL</v>
          </cell>
          <cell r="C5" t="str">
            <v>CLECO CORP</v>
          </cell>
          <cell r="D5">
            <v>20121220</v>
          </cell>
          <cell r="E5" t="str">
            <v>EPS</v>
          </cell>
          <cell r="F5" t="str">
            <v>ANN</v>
          </cell>
          <cell r="G5">
            <v>1</v>
          </cell>
          <cell r="H5">
            <v>5</v>
          </cell>
          <cell r="I5">
            <v>2.4300000000000002</v>
          </cell>
          <cell r="J5">
            <v>2.4300000000000002</v>
          </cell>
          <cell r="K5">
            <v>1</v>
          </cell>
          <cell r="L5">
            <v>20121231</v>
          </cell>
          <cell r="M5">
            <v>2.46</v>
          </cell>
          <cell r="N5">
            <v>20130219</v>
          </cell>
        </row>
        <row r="6">
          <cell r="A6" t="str">
            <v>D</v>
          </cell>
          <cell r="B6" t="str">
            <v>D</v>
          </cell>
          <cell r="C6" t="str">
            <v>DOMINION RES INC</v>
          </cell>
          <cell r="D6">
            <v>20121220</v>
          </cell>
          <cell r="E6" t="str">
            <v>EPS</v>
          </cell>
          <cell r="F6" t="str">
            <v>ANN</v>
          </cell>
          <cell r="G6">
            <v>1</v>
          </cell>
          <cell r="H6">
            <v>20</v>
          </cell>
          <cell r="I6">
            <v>3.06</v>
          </cell>
          <cell r="J6">
            <v>3.07</v>
          </cell>
          <cell r="K6">
            <v>1</v>
          </cell>
          <cell r="L6">
            <v>20121231</v>
          </cell>
          <cell r="M6">
            <v>3.05</v>
          </cell>
          <cell r="N6">
            <v>20130131</v>
          </cell>
        </row>
        <row r="7">
          <cell r="A7" t="str">
            <v>DTE</v>
          </cell>
          <cell r="B7" t="str">
            <v>DTE</v>
          </cell>
          <cell r="C7" t="str">
            <v>DTE ENERGY</v>
          </cell>
          <cell r="D7">
            <v>20121220</v>
          </cell>
          <cell r="E7" t="str">
            <v>EPS</v>
          </cell>
          <cell r="F7" t="str">
            <v>ANN</v>
          </cell>
          <cell r="G7">
            <v>1</v>
          </cell>
          <cell r="H7">
            <v>11</v>
          </cell>
          <cell r="I7">
            <v>3.9</v>
          </cell>
          <cell r="J7">
            <v>3.91</v>
          </cell>
          <cell r="K7">
            <v>1</v>
          </cell>
          <cell r="L7">
            <v>20121231</v>
          </cell>
          <cell r="M7">
            <v>3.94</v>
          </cell>
          <cell r="N7">
            <v>20130220</v>
          </cell>
        </row>
        <row r="8">
          <cell r="A8" t="str">
            <v>DUK</v>
          </cell>
          <cell r="B8" t="str">
            <v>DUK</v>
          </cell>
          <cell r="C8" t="str">
            <v>DUKE ENERGY CORP</v>
          </cell>
          <cell r="D8">
            <v>20121220</v>
          </cell>
          <cell r="E8" t="str">
            <v>EPS</v>
          </cell>
          <cell r="F8" t="str">
            <v>ANN</v>
          </cell>
          <cell r="G8">
            <v>1</v>
          </cell>
          <cell r="H8">
            <v>19</v>
          </cell>
          <cell r="I8">
            <v>4.2699999999999996</v>
          </cell>
          <cell r="J8">
            <v>4.2699999999999996</v>
          </cell>
          <cell r="K8">
            <v>1</v>
          </cell>
          <cell r="L8">
            <v>20121231</v>
          </cell>
          <cell r="M8">
            <v>4.32</v>
          </cell>
          <cell r="N8">
            <v>20130213</v>
          </cell>
        </row>
        <row r="9">
          <cell r="A9" t="str">
            <v>ED</v>
          </cell>
          <cell r="B9" t="str">
            <v>ED</v>
          </cell>
          <cell r="C9" t="str">
            <v>CONSOLIDATED EDI</v>
          </cell>
          <cell r="D9">
            <v>20121220</v>
          </cell>
          <cell r="E9" t="str">
            <v>EPS</v>
          </cell>
          <cell r="F9" t="str">
            <v>ANN</v>
          </cell>
          <cell r="G9">
            <v>1</v>
          </cell>
          <cell r="H9">
            <v>16</v>
          </cell>
          <cell r="I9">
            <v>3.77</v>
          </cell>
          <cell r="J9">
            <v>3.77</v>
          </cell>
          <cell r="K9">
            <v>1</v>
          </cell>
          <cell r="L9">
            <v>20121231</v>
          </cell>
          <cell r="M9">
            <v>3.75</v>
          </cell>
          <cell r="N9">
            <v>20130131</v>
          </cell>
        </row>
        <row r="10">
          <cell r="A10" t="str">
            <v>EDE</v>
          </cell>
          <cell r="B10" t="str">
            <v>EDE</v>
          </cell>
          <cell r="C10" t="str">
            <v>EMPIRE DIST ELEC</v>
          </cell>
          <cell r="D10">
            <v>20121220</v>
          </cell>
          <cell r="E10" t="str">
            <v>EPS</v>
          </cell>
          <cell r="F10" t="str">
            <v>ANN</v>
          </cell>
          <cell r="G10">
            <v>1</v>
          </cell>
          <cell r="H10">
            <v>2</v>
          </cell>
          <cell r="I10">
            <v>1.24</v>
          </cell>
          <cell r="J10">
            <v>1.24</v>
          </cell>
          <cell r="K10">
            <v>1</v>
          </cell>
          <cell r="L10">
            <v>20121231</v>
          </cell>
          <cell r="M10">
            <v>1.32</v>
          </cell>
          <cell r="N10">
            <v>20130214</v>
          </cell>
        </row>
        <row r="11">
          <cell r="A11" t="str">
            <v>NEE</v>
          </cell>
          <cell r="B11" t="str">
            <v>FPL</v>
          </cell>
          <cell r="C11" t="str">
            <v>NEXTERA ENERGY I</v>
          </cell>
          <cell r="D11">
            <v>20121220</v>
          </cell>
          <cell r="E11" t="str">
            <v>EPS</v>
          </cell>
          <cell r="F11" t="str">
            <v>ANN</v>
          </cell>
          <cell r="G11">
            <v>1</v>
          </cell>
          <cell r="H11">
            <v>22</v>
          </cell>
          <cell r="I11">
            <v>1.1299999999999999</v>
          </cell>
          <cell r="J11">
            <v>1.1299999999999999</v>
          </cell>
          <cell r="K11">
            <v>1</v>
          </cell>
          <cell r="L11">
            <v>20121231</v>
          </cell>
          <cell r="M11">
            <v>1.1425000000000001</v>
          </cell>
          <cell r="N11">
            <v>20130129</v>
          </cell>
        </row>
        <row r="12">
          <cell r="A12" t="str">
            <v>HE</v>
          </cell>
          <cell r="B12" t="str">
            <v>HE</v>
          </cell>
          <cell r="C12" t="str">
            <v>HAWAIIAN ELEC</v>
          </cell>
          <cell r="D12">
            <v>20121220</v>
          </cell>
          <cell r="E12" t="str">
            <v>EPS</v>
          </cell>
          <cell r="F12" t="str">
            <v>ANN</v>
          </cell>
          <cell r="G12">
            <v>1</v>
          </cell>
          <cell r="H12">
            <v>7</v>
          </cell>
          <cell r="I12">
            <v>1.6</v>
          </cell>
          <cell r="J12">
            <v>1.6</v>
          </cell>
          <cell r="K12">
            <v>1</v>
          </cell>
          <cell r="L12">
            <v>20121231</v>
          </cell>
          <cell r="M12">
            <v>1.68</v>
          </cell>
          <cell r="N12">
            <v>20130215</v>
          </cell>
        </row>
        <row r="13">
          <cell r="A13" t="str">
            <v>CNP</v>
          </cell>
          <cell r="B13" t="str">
            <v>HOU</v>
          </cell>
          <cell r="C13" t="str">
            <v>CENTERPOINT ENER</v>
          </cell>
          <cell r="D13">
            <v>20121220</v>
          </cell>
          <cell r="E13" t="str">
            <v>EPS</v>
          </cell>
          <cell r="F13" t="str">
            <v>ANN</v>
          </cell>
          <cell r="G13">
            <v>1</v>
          </cell>
          <cell r="H13">
            <v>13</v>
          </cell>
          <cell r="I13">
            <v>1.2</v>
          </cell>
          <cell r="J13">
            <v>1.2</v>
          </cell>
          <cell r="K13">
            <v>1</v>
          </cell>
          <cell r="L13">
            <v>20121231</v>
          </cell>
          <cell r="M13">
            <v>1.25</v>
          </cell>
          <cell r="N13">
            <v>20130227</v>
          </cell>
        </row>
        <row r="14">
          <cell r="A14" t="str">
            <v>IDA</v>
          </cell>
          <cell r="B14" t="str">
            <v>IDA</v>
          </cell>
          <cell r="C14" t="str">
            <v>IDACORP INC.</v>
          </cell>
          <cell r="D14">
            <v>20121220</v>
          </cell>
          <cell r="E14" t="str">
            <v>EPS</v>
          </cell>
          <cell r="F14" t="str">
            <v>ANN</v>
          </cell>
          <cell r="G14">
            <v>1</v>
          </cell>
          <cell r="H14">
            <v>5</v>
          </cell>
          <cell r="I14">
            <v>3.35</v>
          </cell>
          <cell r="J14">
            <v>3.35</v>
          </cell>
          <cell r="K14">
            <v>1</v>
          </cell>
          <cell r="L14">
            <v>20121231</v>
          </cell>
          <cell r="M14">
            <v>3.37</v>
          </cell>
          <cell r="N14">
            <v>20130221</v>
          </cell>
        </row>
        <row r="15">
          <cell r="A15" t="str">
            <v>WR</v>
          </cell>
          <cell r="B15" t="str">
            <v>KAN</v>
          </cell>
          <cell r="C15" t="str">
            <v>WESTAR ENERGY</v>
          </cell>
          <cell r="D15">
            <v>20121220</v>
          </cell>
          <cell r="E15" t="str">
            <v>EPS</v>
          </cell>
          <cell r="F15" t="str">
            <v>ANN</v>
          </cell>
          <cell r="G15">
            <v>1</v>
          </cell>
          <cell r="H15">
            <v>10</v>
          </cell>
          <cell r="I15">
            <v>1.99</v>
          </cell>
          <cell r="J15">
            <v>1.99</v>
          </cell>
          <cell r="K15">
            <v>1</v>
          </cell>
          <cell r="L15">
            <v>20121231</v>
          </cell>
          <cell r="M15">
            <v>2.15</v>
          </cell>
          <cell r="N15">
            <v>20130228</v>
          </cell>
        </row>
        <row r="16">
          <cell r="A16" t="str">
            <v>GXP</v>
          </cell>
          <cell r="B16" t="str">
            <v>KLT</v>
          </cell>
          <cell r="C16" t="str">
            <v>GREAT PLAINS</v>
          </cell>
          <cell r="D16">
            <v>20121220</v>
          </cell>
          <cell r="E16" t="str">
            <v>EPS</v>
          </cell>
          <cell r="F16" t="str">
            <v>ANN</v>
          </cell>
          <cell r="G16">
            <v>1</v>
          </cell>
          <cell r="H16">
            <v>11</v>
          </cell>
          <cell r="I16">
            <v>1.31</v>
          </cell>
          <cell r="J16">
            <v>1.31</v>
          </cell>
          <cell r="K16">
            <v>1</v>
          </cell>
          <cell r="L16">
            <v>20121231</v>
          </cell>
          <cell r="M16">
            <v>1.35</v>
          </cell>
          <cell r="N16">
            <v>20130228</v>
          </cell>
        </row>
        <row r="17">
          <cell r="A17" t="str">
            <v>MGEE</v>
          </cell>
          <cell r="B17" t="str">
            <v>MDSN</v>
          </cell>
          <cell r="C17" t="str">
            <v>MGE ENERGY INC</v>
          </cell>
          <cell r="D17">
            <v>20121220</v>
          </cell>
          <cell r="E17" t="str">
            <v>EPS</v>
          </cell>
          <cell r="F17" t="str">
            <v>ANN</v>
          </cell>
          <cell r="G17">
            <v>1</v>
          </cell>
          <cell r="H17">
            <v>2</v>
          </cell>
          <cell r="I17">
            <v>1.88</v>
          </cell>
          <cell r="J17">
            <v>1.88</v>
          </cell>
          <cell r="K17">
            <v>1</v>
          </cell>
          <cell r="L17">
            <v>20121231</v>
          </cell>
          <cell r="M17">
            <v>1.86</v>
          </cell>
          <cell r="N17">
            <v>20130226</v>
          </cell>
        </row>
        <row r="18">
          <cell r="A18" t="str">
            <v>ALE</v>
          </cell>
          <cell r="B18" t="str">
            <v>MPL</v>
          </cell>
          <cell r="C18" t="str">
            <v>ALLETE INC</v>
          </cell>
          <cell r="D18">
            <v>20121220</v>
          </cell>
          <cell r="E18" t="str">
            <v>EPS</v>
          </cell>
          <cell r="F18" t="str">
            <v>ANN</v>
          </cell>
          <cell r="G18">
            <v>1</v>
          </cell>
          <cell r="H18">
            <v>6</v>
          </cell>
          <cell r="I18">
            <v>2.57</v>
          </cell>
          <cell r="J18">
            <v>2.57</v>
          </cell>
          <cell r="K18">
            <v>1</v>
          </cell>
          <cell r="L18">
            <v>20121231</v>
          </cell>
          <cell r="M18">
            <v>2.58</v>
          </cell>
          <cell r="N18">
            <v>20130215</v>
          </cell>
        </row>
        <row r="19">
          <cell r="A19" t="str">
            <v>ETR</v>
          </cell>
          <cell r="B19" t="str">
            <v>MSU</v>
          </cell>
          <cell r="C19" t="str">
            <v>ENTERGY CP</v>
          </cell>
          <cell r="D19">
            <v>20121220</v>
          </cell>
          <cell r="E19" t="str">
            <v>EPS</v>
          </cell>
          <cell r="F19" t="str">
            <v>ANN</v>
          </cell>
          <cell r="G19">
            <v>1</v>
          </cell>
          <cell r="H19">
            <v>18</v>
          </cell>
          <cell r="I19">
            <v>5.52</v>
          </cell>
          <cell r="J19">
            <v>5.52</v>
          </cell>
          <cell r="K19">
            <v>1</v>
          </cell>
          <cell r="L19">
            <v>20121231</v>
          </cell>
          <cell r="M19">
            <v>6.23</v>
          </cell>
          <cell r="N19">
            <v>20130208</v>
          </cell>
        </row>
        <row r="20">
          <cell r="A20" t="str">
            <v>XEL</v>
          </cell>
          <cell r="B20" t="str">
            <v>NSP</v>
          </cell>
          <cell r="C20" t="str">
            <v>XCEL ENERGY INC</v>
          </cell>
          <cell r="D20">
            <v>20121220</v>
          </cell>
          <cell r="E20" t="str">
            <v>EPS</v>
          </cell>
          <cell r="F20" t="str">
            <v>ANN</v>
          </cell>
          <cell r="G20">
            <v>1</v>
          </cell>
          <cell r="H20">
            <v>17</v>
          </cell>
          <cell r="I20">
            <v>1.8</v>
          </cell>
          <cell r="J20">
            <v>1.8</v>
          </cell>
          <cell r="K20">
            <v>1</v>
          </cell>
          <cell r="L20">
            <v>20121231</v>
          </cell>
          <cell r="M20">
            <v>1.82</v>
          </cell>
          <cell r="N20">
            <v>20130131</v>
          </cell>
        </row>
        <row r="21">
          <cell r="A21" t="str">
            <v>NU</v>
          </cell>
          <cell r="B21" t="str">
            <v>NU</v>
          </cell>
          <cell r="C21" t="str">
            <v>NORTHEAST UTILS</v>
          </cell>
          <cell r="D21">
            <v>20121220</v>
          </cell>
          <cell r="E21" t="str">
            <v>EPS</v>
          </cell>
          <cell r="F21" t="str">
            <v>ANN</v>
          </cell>
          <cell r="G21">
            <v>1</v>
          </cell>
          <cell r="H21">
            <v>17</v>
          </cell>
          <cell r="I21">
            <v>2.2799999999999998</v>
          </cell>
          <cell r="J21">
            <v>2.29</v>
          </cell>
          <cell r="K21">
            <v>1</v>
          </cell>
          <cell r="L21">
            <v>20121231</v>
          </cell>
          <cell r="M21">
            <v>2.2799999999999998</v>
          </cell>
          <cell r="N21">
            <v>20130219</v>
          </cell>
        </row>
        <row r="22">
          <cell r="A22" t="str">
            <v>NWE</v>
          </cell>
          <cell r="B22" t="str">
            <v>NWPS</v>
          </cell>
          <cell r="C22" t="str">
            <v>NORTHWESTERN CP</v>
          </cell>
          <cell r="D22">
            <v>20121220</v>
          </cell>
          <cell r="E22" t="str">
            <v>EPS</v>
          </cell>
          <cell r="F22" t="str">
            <v>ANN</v>
          </cell>
          <cell r="G22">
            <v>1</v>
          </cell>
          <cell r="H22">
            <v>5</v>
          </cell>
          <cell r="I22">
            <v>2.35</v>
          </cell>
          <cell r="J22">
            <v>2.35</v>
          </cell>
          <cell r="K22">
            <v>1</v>
          </cell>
          <cell r="L22">
            <v>20121231</v>
          </cell>
          <cell r="M22">
            <v>2.33</v>
          </cell>
          <cell r="N22">
            <v>20130214</v>
          </cell>
        </row>
        <row r="23">
          <cell r="A23" t="str">
            <v>FE</v>
          </cell>
          <cell r="B23" t="str">
            <v>OEC</v>
          </cell>
          <cell r="C23" t="str">
            <v>FIRSTENERGY CORP</v>
          </cell>
          <cell r="D23">
            <v>20121220</v>
          </cell>
          <cell r="E23" t="str">
            <v>EPS</v>
          </cell>
          <cell r="F23" t="str">
            <v>ANN</v>
          </cell>
          <cell r="G23">
            <v>1</v>
          </cell>
          <cell r="H23">
            <v>17</v>
          </cell>
          <cell r="I23">
            <v>3.35</v>
          </cell>
          <cell r="J23">
            <v>3.34</v>
          </cell>
          <cell r="K23">
            <v>1</v>
          </cell>
          <cell r="L23">
            <v>20121231</v>
          </cell>
          <cell r="M23">
            <v>3.34</v>
          </cell>
          <cell r="N23">
            <v>20130225</v>
          </cell>
        </row>
        <row r="24">
          <cell r="A24" t="str">
            <v>OGE</v>
          </cell>
          <cell r="B24" t="str">
            <v>OGE</v>
          </cell>
          <cell r="C24" t="str">
            <v>OGE ENERGY CORP</v>
          </cell>
          <cell r="D24">
            <v>20121220</v>
          </cell>
          <cell r="E24" t="str">
            <v>EPS</v>
          </cell>
          <cell r="F24" t="str">
            <v>ANN</v>
          </cell>
          <cell r="G24">
            <v>1</v>
          </cell>
          <cell r="H24">
            <v>8</v>
          </cell>
          <cell r="I24">
            <v>1.77</v>
          </cell>
          <cell r="J24">
            <v>1.77</v>
          </cell>
          <cell r="K24">
            <v>1</v>
          </cell>
          <cell r="L24">
            <v>20121231</v>
          </cell>
          <cell r="M24">
            <v>1.8</v>
          </cell>
          <cell r="N24">
            <v>20130227</v>
          </cell>
        </row>
        <row r="25">
          <cell r="A25" t="str">
            <v>OTTR</v>
          </cell>
          <cell r="B25" t="str">
            <v>OTTR</v>
          </cell>
          <cell r="C25" t="str">
            <v>OTTER TAIL CORP.</v>
          </cell>
          <cell r="D25">
            <v>20121220</v>
          </cell>
          <cell r="E25" t="str">
            <v>EPS</v>
          </cell>
          <cell r="F25" t="str">
            <v>ANN</v>
          </cell>
          <cell r="G25">
            <v>1</v>
          </cell>
          <cell r="H25">
            <v>3</v>
          </cell>
          <cell r="I25">
            <v>1.19</v>
          </cell>
          <cell r="J25">
            <v>1.19</v>
          </cell>
          <cell r="K25">
            <v>1</v>
          </cell>
          <cell r="L25">
            <v>20121231</v>
          </cell>
          <cell r="M25">
            <v>1.4279999999999999</v>
          </cell>
          <cell r="N25">
            <v>20130211</v>
          </cell>
        </row>
        <row r="26">
          <cell r="A26" t="str">
            <v>PCG</v>
          </cell>
          <cell r="B26" t="str">
            <v>PCG</v>
          </cell>
          <cell r="C26" t="str">
            <v>P G &amp; E CORP</v>
          </cell>
          <cell r="D26">
            <v>20121220</v>
          </cell>
          <cell r="E26" t="str">
            <v>EPS</v>
          </cell>
          <cell r="F26" t="str">
            <v>ANN</v>
          </cell>
          <cell r="G26">
            <v>1</v>
          </cell>
          <cell r="H26">
            <v>16</v>
          </cell>
          <cell r="I26">
            <v>3.17</v>
          </cell>
          <cell r="J26">
            <v>3.19</v>
          </cell>
          <cell r="K26">
            <v>1</v>
          </cell>
          <cell r="L26">
            <v>20121231</v>
          </cell>
          <cell r="M26">
            <v>3.22</v>
          </cell>
          <cell r="N26">
            <v>20130221</v>
          </cell>
        </row>
        <row r="27">
          <cell r="A27" t="str">
            <v>EXC</v>
          </cell>
          <cell r="B27" t="str">
            <v>PE</v>
          </cell>
          <cell r="C27" t="str">
            <v>EXELON CORP</v>
          </cell>
          <cell r="D27">
            <v>20121220</v>
          </cell>
          <cell r="E27" t="str">
            <v>EPS</v>
          </cell>
          <cell r="F27" t="str">
            <v>ANN</v>
          </cell>
          <cell r="G27">
            <v>1</v>
          </cell>
          <cell r="H27">
            <v>21</v>
          </cell>
          <cell r="I27">
            <v>2.85</v>
          </cell>
          <cell r="J27">
            <v>2.84</v>
          </cell>
          <cell r="K27">
            <v>1</v>
          </cell>
          <cell r="L27">
            <v>20121231</v>
          </cell>
          <cell r="M27">
            <v>2.85</v>
          </cell>
          <cell r="N27">
            <v>20130207</v>
          </cell>
        </row>
        <row r="28">
          <cell r="A28" t="str">
            <v>PEG</v>
          </cell>
          <cell r="B28" t="str">
            <v>PEG</v>
          </cell>
          <cell r="C28" t="str">
            <v>PUB SVC ENTERS</v>
          </cell>
          <cell r="D28">
            <v>20121220</v>
          </cell>
          <cell r="E28" t="str">
            <v>EPS</v>
          </cell>
          <cell r="F28" t="str">
            <v>ANN</v>
          </cell>
          <cell r="G28">
            <v>1</v>
          </cell>
          <cell r="H28">
            <v>18</v>
          </cell>
          <cell r="I28">
            <v>2.38</v>
          </cell>
          <cell r="J28">
            <v>2.39</v>
          </cell>
          <cell r="K28">
            <v>1</v>
          </cell>
          <cell r="L28">
            <v>20121231</v>
          </cell>
          <cell r="M28">
            <v>2.44</v>
          </cell>
          <cell r="N28">
            <v>20130221</v>
          </cell>
        </row>
        <row r="29">
          <cell r="A29" t="str">
            <v>PNM</v>
          </cell>
          <cell r="B29" t="str">
            <v>PNM</v>
          </cell>
          <cell r="C29" t="str">
            <v>PNM RESOURCES</v>
          </cell>
          <cell r="D29">
            <v>20121220</v>
          </cell>
          <cell r="E29" t="str">
            <v>EPS</v>
          </cell>
          <cell r="F29" t="str">
            <v>ANN</v>
          </cell>
          <cell r="G29">
            <v>1</v>
          </cell>
          <cell r="H29">
            <v>9</v>
          </cell>
          <cell r="I29">
            <v>1.3</v>
          </cell>
          <cell r="J29">
            <v>1.3</v>
          </cell>
          <cell r="K29">
            <v>1</v>
          </cell>
          <cell r="L29">
            <v>20121231</v>
          </cell>
          <cell r="M29">
            <v>1.31</v>
          </cell>
          <cell r="N29">
            <v>20130301</v>
          </cell>
        </row>
        <row r="30">
          <cell r="A30" t="str">
            <v>POM</v>
          </cell>
          <cell r="B30" t="str">
            <v>POM</v>
          </cell>
          <cell r="C30" t="str">
            <v>PEPCO HOLDINGS</v>
          </cell>
          <cell r="D30">
            <v>20121220</v>
          </cell>
          <cell r="E30" t="str">
            <v>EPS</v>
          </cell>
          <cell r="F30" t="str">
            <v>ANN</v>
          </cell>
          <cell r="G30">
            <v>1</v>
          </cell>
          <cell r="H30">
            <v>16</v>
          </cell>
          <cell r="I30">
            <v>1.2</v>
          </cell>
          <cell r="J30">
            <v>1.2</v>
          </cell>
          <cell r="K30">
            <v>1</v>
          </cell>
          <cell r="L30">
            <v>20121231</v>
          </cell>
          <cell r="M30">
            <v>1.21</v>
          </cell>
          <cell r="N30">
            <v>20130301</v>
          </cell>
        </row>
        <row r="31">
          <cell r="A31" t="str">
            <v>POR</v>
          </cell>
          <cell r="B31" t="str">
            <v>PORO</v>
          </cell>
          <cell r="C31" t="str">
            <v>PORTLAND GENERAL</v>
          </cell>
          <cell r="D31">
            <v>20121220</v>
          </cell>
          <cell r="E31" t="str">
            <v>EPS</v>
          </cell>
          <cell r="F31" t="str">
            <v>ANN</v>
          </cell>
          <cell r="G31">
            <v>1</v>
          </cell>
          <cell r="H31">
            <v>11</v>
          </cell>
          <cell r="I31">
            <v>1.9</v>
          </cell>
          <cell r="J31">
            <v>1.91</v>
          </cell>
          <cell r="K31">
            <v>1</v>
          </cell>
          <cell r="L31">
            <v>20121231</v>
          </cell>
          <cell r="M31">
            <v>1.87</v>
          </cell>
          <cell r="N31">
            <v>20130222</v>
          </cell>
        </row>
        <row r="32">
          <cell r="A32" t="str">
            <v>PPL</v>
          </cell>
          <cell r="B32" t="str">
            <v>PPL</v>
          </cell>
          <cell r="C32" t="str">
            <v>PP&amp;L CORP</v>
          </cell>
          <cell r="D32">
            <v>20121220</v>
          </cell>
          <cell r="E32" t="str">
            <v>EPS</v>
          </cell>
          <cell r="F32" t="str">
            <v>ANN</v>
          </cell>
          <cell r="G32">
            <v>1</v>
          </cell>
          <cell r="H32">
            <v>14</v>
          </cell>
          <cell r="I32">
            <v>2.35</v>
          </cell>
          <cell r="J32">
            <v>2.35</v>
          </cell>
          <cell r="K32">
            <v>1</v>
          </cell>
          <cell r="L32">
            <v>20121231</v>
          </cell>
          <cell r="M32">
            <v>2.42</v>
          </cell>
          <cell r="N32">
            <v>20130214</v>
          </cell>
        </row>
        <row r="33">
          <cell r="A33" t="str">
            <v>EIX</v>
          </cell>
          <cell r="B33" t="str">
            <v>SCE</v>
          </cell>
          <cell r="C33" t="str">
            <v>EDISON INTL</v>
          </cell>
          <cell r="D33">
            <v>20121220</v>
          </cell>
          <cell r="E33" t="str">
            <v>EPS</v>
          </cell>
          <cell r="F33" t="str">
            <v>ANN</v>
          </cell>
          <cell r="G33">
            <v>1</v>
          </cell>
          <cell r="H33">
            <v>10</v>
          </cell>
          <cell r="I33">
            <v>3.14</v>
          </cell>
          <cell r="J33">
            <v>3.2</v>
          </cell>
          <cell r="K33">
            <v>1</v>
          </cell>
          <cell r="L33">
            <v>20121231</v>
          </cell>
          <cell r="M33">
            <v>3.92</v>
          </cell>
          <cell r="N33">
            <v>20130226</v>
          </cell>
        </row>
        <row r="34">
          <cell r="A34" t="str">
            <v>SCG</v>
          </cell>
          <cell r="B34" t="str">
            <v>SCG</v>
          </cell>
          <cell r="C34" t="str">
            <v>SCANA CP</v>
          </cell>
          <cell r="D34">
            <v>20121220</v>
          </cell>
          <cell r="E34" t="str">
            <v>EPS</v>
          </cell>
          <cell r="F34" t="str">
            <v>ANN</v>
          </cell>
          <cell r="G34">
            <v>1</v>
          </cell>
          <cell r="H34">
            <v>11</v>
          </cell>
          <cell r="I34">
            <v>3.17</v>
          </cell>
          <cell r="J34">
            <v>3.16</v>
          </cell>
          <cell r="K34">
            <v>1</v>
          </cell>
          <cell r="L34">
            <v>20121231</v>
          </cell>
          <cell r="M34">
            <v>3.19</v>
          </cell>
          <cell r="N34">
            <v>20130221</v>
          </cell>
        </row>
        <row r="35">
          <cell r="A35" t="str">
            <v>SRE</v>
          </cell>
          <cell r="B35" t="str">
            <v>SDO</v>
          </cell>
          <cell r="C35" t="str">
            <v>SEMPRA ENERGY</v>
          </cell>
          <cell r="D35">
            <v>20121220</v>
          </cell>
          <cell r="E35" t="str">
            <v>EPS</v>
          </cell>
          <cell r="F35" t="str">
            <v>ANN</v>
          </cell>
          <cell r="G35">
            <v>1</v>
          </cell>
          <cell r="H35">
            <v>10</v>
          </cell>
          <cell r="I35">
            <v>4.16</v>
          </cell>
          <cell r="J35">
            <v>4.16</v>
          </cell>
          <cell r="K35">
            <v>1</v>
          </cell>
          <cell r="L35">
            <v>20121231</v>
          </cell>
          <cell r="M35">
            <v>4.3499999999999996</v>
          </cell>
          <cell r="N35">
            <v>20130226</v>
          </cell>
        </row>
        <row r="36">
          <cell r="A36" t="str">
            <v>VVC</v>
          </cell>
          <cell r="B36" t="str">
            <v>SIG</v>
          </cell>
          <cell r="C36" t="str">
            <v>VECTREN CORP</v>
          </cell>
          <cell r="D36">
            <v>20121220</v>
          </cell>
          <cell r="E36" t="str">
            <v>EPS</v>
          </cell>
          <cell r="F36" t="str">
            <v>ANN</v>
          </cell>
          <cell r="G36">
            <v>1</v>
          </cell>
          <cell r="H36">
            <v>6</v>
          </cell>
          <cell r="I36">
            <v>1.82</v>
          </cell>
          <cell r="J36">
            <v>1.82</v>
          </cell>
          <cell r="K36">
            <v>1</v>
          </cell>
          <cell r="L36">
            <v>20121231</v>
          </cell>
          <cell r="M36">
            <v>1.94</v>
          </cell>
          <cell r="N36">
            <v>20130214</v>
          </cell>
        </row>
        <row r="37">
          <cell r="A37" t="str">
            <v>SO</v>
          </cell>
          <cell r="B37" t="str">
            <v>SO</v>
          </cell>
          <cell r="C37" t="str">
            <v>SOUTHN CO</v>
          </cell>
          <cell r="D37">
            <v>20121220</v>
          </cell>
          <cell r="E37" t="str">
            <v>EPS</v>
          </cell>
          <cell r="F37" t="str">
            <v>ANN</v>
          </cell>
          <cell r="G37">
            <v>1</v>
          </cell>
          <cell r="H37">
            <v>20</v>
          </cell>
          <cell r="I37">
            <v>2.62</v>
          </cell>
          <cell r="J37">
            <v>2.62</v>
          </cell>
          <cell r="K37">
            <v>1</v>
          </cell>
          <cell r="L37">
            <v>20121231</v>
          </cell>
          <cell r="M37">
            <v>2.7</v>
          </cell>
          <cell r="N37">
            <v>20130130</v>
          </cell>
        </row>
        <row r="38">
          <cell r="A38" t="str">
            <v>TE</v>
          </cell>
          <cell r="B38" t="str">
            <v>TE</v>
          </cell>
          <cell r="C38" t="str">
            <v>TECO ENERGY INC</v>
          </cell>
          <cell r="D38">
            <v>20121220</v>
          </cell>
          <cell r="E38" t="str">
            <v>EPS</v>
          </cell>
          <cell r="F38" t="str">
            <v>ANN</v>
          </cell>
          <cell r="G38">
            <v>1</v>
          </cell>
          <cell r="H38">
            <v>14</v>
          </cell>
          <cell r="I38">
            <v>1.1599999999999999</v>
          </cell>
          <cell r="J38">
            <v>1.18</v>
          </cell>
          <cell r="K38">
            <v>1</v>
          </cell>
          <cell r="L38">
            <v>20121231</v>
          </cell>
          <cell r="M38">
            <v>1.1499999999999999</v>
          </cell>
          <cell r="N38">
            <v>20130205</v>
          </cell>
        </row>
        <row r="39">
          <cell r="A39" t="str">
            <v>AEE</v>
          </cell>
          <cell r="B39" t="str">
            <v>UEP</v>
          </cell>
          <cell r="C39" t="str">
            <v>AMEREN CP</v>
          </cell>
          <cell r="D39">
            <v>20121220</v>
          </cell>
          <cell r="E39" t="str">
            <v>EPS</v>
          </cell>
          <cell r="F39" t="str">
            <v>ANN</v>
          </cell>
          <cell r="G39">
            <v>1</v>
          </cell>
          <cell r="H39">
            <v>9</v>
          </cell>
          <cell r="I39">
            <v>2.42</v>
          </cell>
          <cell r="J39">
            <v>2.44</v>
          </cell>
          <cell r="K39">
            <v>1</v>
          </cell>
          <cell r="L39">
            <v>20121231</v>
          </cell>
          <cell r="M39">
            <v>2.42</v>
          </cell>
          <cell r="N39">
            <v>20130220</v>
          </cell>
        </row>
        <row r="40">
          <cell r="A40" t="str">
            <v>UIL</v>
          </cell>
          <cell r="B40" t="str">
            <v>UIL</v>
          </cell>
          <cell r="C40" t="str">
            <v>UIL HOLDING CORP</v>
          </cell>
          <cell r="D40">
            <v>20121220</v>
          </cell>
          <cell r="E40" t="str">
            <v>EPS</v>
          </cell>
          <cell r="F40" t="str">
            <v>ANN</v>
          </cell>
          <cell r="G40">
            <v>1</v>
          </cell>
          <cell r="H40">
            <v>9</v>
          </cell>
          <cell r="I40">
            <v>2.1</v>
          </cell>
          <cell r="J40">
            <v>2.08</v>
          </cell>
          <cell r="K40">
            <v>1</v>
          </cell>
          <cell r="L40">
            <v>20121231</v>
          </cell>
          <cell r="M40">
            <v>2.02</v>
          </cell>
          <cell r="N40">
            <v>20130221</v>
          </cell>
        </row>
        <row r="41">
          <cell r="A41" t="str">
            <v>WEC</v>
          </cell>
          <cell r="B41" t="str">
            <v>WPC</v>
          </cell>
          <cell r="C41" t="str">
            <v>WISCONSIN ENERGY</v>
          </cell>
          <cell r="D41">
            <v>20121220</v>
          </cell>
          <cell r="E41" t="str">
            <v>EPS</v>
          </cell>
          <cell r="F41" t="str">
            <v>ANN</v>
          </cell>
          <cell r="G41">
            <v>1</v>
          </cell>
          <cell r="H41">
            <v>16</v>
          </cell>
          <cell r="I41">
            <v>2.34</v>
          </cell>
          <cell r="J41">
            <v>2.33</v>
          </cell>
          <cell r="K41">
            <v>1</v>
          </cell>
          <cell r="L41">
            <v>20121231</v>
          </cell>
          <cell r="M41">
            <v>2.35</v>
          </cell>
          <cell r="N41">
            <v>20130130</v>
          </cell>
        </row>
        <row r="42">
          <cell r="A42" t="str">
            <v>LNT</v>
          </cell>
          <cell r="B42" t="str">
            <v>WPL</v>
          </cell>
          <cell r="C42" t="str">
            <v>ALLIANT ENER</v>
          </cell>
          <cell r="D42">
            <v>20121220</v>
          </cell>
          <cell r="E42" t="str">
            <v>EPS</v>
          </cell>
          <cell r="F42" t="str">
            <v>ANN</v>
          </cell>
          <cell r="G42">
            <v>1</v>
          </cell>
          <cell r="H42">
            <v>10</v>
          </cell>
          <cell r="I42">
            <v>1.49</v>
          </cell>
          <cell r="J42">
            <v>1.49</v>
          </cell>
          <cell r="K42">
            <v>1</v>
          </cell>
          <cell r="L42">
            <v>20121231</v>
          </cell>
          <cell r="M42">
            <v>1.5249999999999999</v>
          </cell>
          <cell r="N42">
            <v>20130214</v>
          </cell>
        </row>
        <row r="43">
          <cell r="A43" t="str">
            <v>AVA</v>
          </cell>
          <cell r="B43" t="str">
            <v>WWP</v>
          </cell>
          <cell r="C43" t="str">
            <v>AVISTA CORP</v>
          </cell>
          <cell r="D43">
            <v>20121220</v>
          </cell>
          <cell r="E43" t="str">
            <v>EPS</v>
          </cell>
          <cell r="F43" t="str">
            <v>ANN</v>
          </cell>
          <cell r="G43">
            <v>1</v>
          </cell>
          <cell r="H43">
            <v>8</v>
          </cell>
          <cell r="I43">
            <v>1.52</v>
          </cell>
          <cell r="J43">
            <v>1.53</v>
          </cell>
          <cell r="K43">
            <v>1</v>
          </cell>
          <cell r="L43">
            <v>20121231</v>
          </cell>
          <cell r="M43">
            <v>1.32</v>
          </cell>
          <cell r="N43">
            <v>20130220</v>
          </cell>
        </row>
        <row r="44">
          <cell r="A44" t="str">
            <v>PPL</v>
          </cell>
          <cell r="B44" t="str">
            <v>@1XJ</v>
          </cell>
          <cell r="C44" t="str">
            <v>PUMPKIN PATCH LT</v>
          </cell>
          <cell r="D44">
            <v>20121220</v>
          </cell>
          <cell r="E44" t="str">
            <v>EPS</v>
          </cell>
          <cell r="F44" t="str">
            <v>ANN</v>
          </cell>
          <cell r="G44">
            <v>1</v>
          </cell>
          <cell r="H44">
            <v>4</v>
          </cell>
          <cell r="I44">
            <v>8.7999999999999995E-2</v>
          </cell>
          <cell r="J44">
            <v>8.8999999999999996E-2</v>
          </cell>
          <cell r="K44">
            <v>0</v>
          </cell>
          <cell r="L44">
            <v>20130731</v>
          </cell>
          <cell r="M44">
            <v>0.05</v>
          </cell>
          <cell r="N44">
            <v>20130926</v>
          </cell>
        </row>
        <row r="45">
          <cell r="A45" t="str">
            <v>PPL</v>
          </cell>
          <cell r="B45" t="str">
            <v>@1Z1</v>
          </cell>
          <cell r="C45" t="str">
            <v>PPL</v>
          </cell>
          <cell r="D45">
            <v>20121220</v>
          </cell>
          <cell r="E45" t="str">
            <v>EPS</v>
          </cell>
          <cell r="F45" t="str">
            <v>ANN</v>
          </cell>
          <cell r="G45">
            <v>1</v>
          </cell>
          <cell r="H45">
            <v>6</v>
          </cell>
          <cell r="I45">
            <v>17.329999999999998</v>
          </cell>
          <cell r="J45">
            <v>16.96</v>
          </cell>
          <cell r="K45">
            <v>0</v>
          </cell>
          <cell r="L45">
            <v>20130630</v>
          </cell>
          <cell r="M45">
            <v>15.477</v>
          </cell>
          <cell r="N45">
            <v>20130821</v>
          </cell>
        </row>
        <row r="46">
          <cell r="A46" t="str">
            <v>CNP</v>
          </cell>
          <cell r="B46" t="str">
            <v>@3QP</v>
          </cell>
          <cell r="C46" t="str">
            <v>CONAFI PRESTITO</v>
          </cell>
          <cell r="D46">
            <v>20121220</v>
          </cell>
          <cell r="E46" t="str">
            <v>EPS</v>
          </cell>
          <cell r="F46" t="str">
            <v>ANN</v>
          </cell>
          <cell r="G46">
            <v>1</v>
          </cell>
          <cell r="H46">
            <v>1</v>
          </cell>
          <cell r="I46">
            <v>0.01</v>
          </cell>
          <cell r="J46">
            <v>0.01</v>
          </cell>
          <cell r="K46">
            <v>0</v>
          </cell>
          <cell r="L46">
            <v>20121231</v>
          </cell>
          <cell r="M46">
            <v>4.3999999999999997E-2</v>
          </cell>
          <cell r="N46">
            <v>20130319</v>
          </cell>
        </row>
        <row r="47">
          <cell r="A47" t="str">
            <v>XEL</v>
          </cell>
          <cell r="B47" t="str">
            <v>@6Q7</v>
          </cell>
          <cell r="C47" t="str">
            <v>XCITE ENERGY LTD</v>
          </cell>
          <cell r="D47">
            <v>20121220</v>
          </cell>
          <cell r="E47" t="str">
            <v>EPS</v>
          </cell>
          <cell r="F47" t="str">
            <v>ANN</v>
          </cell>
          <cell r="G47">
            <v>1</v>
          </cell>
          <cell r="H47">
            <v>4</v>
          </cell>
          <cell r="I47">
            <v>0.3</v>
          </cell>
          <cell r="J47">
            <v>1.52</v>
          </cell>
          <cell r="K47">
            <v>0</v>
          </cell>
          <cell r="L47">
            <v>20121231</v>
          </cell>
          <cell r="M47">
            <v>-0.7</v>
          </cell>
          <cell r="N47">
            <v>20130326</v>
          </cell>
        </row>
        <row r="48">
          <cell r="A48" t="str">
            <v>AGR</v>
          </cell>
          <cell r="B48" t="str">
            <v>@A7S</v>
          </cell>
          <cell r="C48" t="str">
            <v>AGROB IMMOBILIEN</v>
          </cell>
          <cell r="D48">
            <v>20121220</v>
          </cell>
          <cell r="E48" t="str">
            <v>EPS</v>
          </cell>
          <cell r="F48" t="str">
            <v>ANN</v>
          </cell>
          <cell r="G48">
            <v>1</v>
          </cell>
          <cell r="H48">
            <v>1</v>
          </cell>
          <cell r="I48">
            <v>0.39</v>
          </cell>
          <cell r="J48">
            <v>0.39</v>
          </cell>
          <cell r="K48">
            <v>0</v>
          </cell>
          <cell r="L48">
            <v>20121231</v>
          </cell>
          <cell r="M48">
            <v>0.40400000000000003</v>
          </cell>
          <cell r="N48">
            <v>20130426</v>
          </cell>
        </row>
        <row r="49">
          <cell r="A49" t="str">
            <v>EAS</v>
          </cell>
          <cell r="B49" t="str">
            <v>@AAME</v>
          </cell>
          <cell r="C49" t="str">
            <v>ENERGY ASSETS GR</v>
          </cell>
          <cell r="D49">
            <v>20121220</v>
          </cell>
          <cell r="E49" t="str">
            <v>EPS</v>
          </cell>
          <cell r="F49" t="str">
            <v>ANN</v>
          </cell>
          <cell r="G49">
            <v>1</v>
          </cell>
          <cell r="H49">
            <v>2</v>
          </cell>
          <cell r="I49">
            <v>9.75</v>
          </cell>
          <cell r="J49">
            <v>9.75</v>
          </cell>
          <cell r="K49">
            <v>0</v>
          </cell>
          <cell r="L49">
            <v>20130331</v>
          </cell>
          <cell r="M49">
            <v>10.67</v>
          </cell>
          <cell r="N49">
            <v>20130611</v>
          </cell>
        </row>
        <row r="50">
          <cell r="A50" t="str">
            <v>AGR</v>
          </cell>
          <cell r="B50" t="str">
            <v>@AR7</v>
          </cell>
          <cell r="C50" t="str">
            <v>AGRANA VZ</v>
          </cell>
          <cell r="D50">
            <v>20121220</v>
          </cell>
          <cell r="E50" t="str">
            <v>EPS</v>
          </cell>
          <cell r="F50" t="str">
            <v>ANN</v>
          </cell>
          <cell r="G50">
            <v>1</v>
          </cell>
          <cell r="H50">
            <v>4</v>
          </cell>
          <cell r="I50">
            <v>2.91</v>
          </cell>
          <cell r="J50">
            <v>2.8</v>
          </cell>
          <cell r="K50">
            <v>0</v>
          </cell>
          <cell r="L50">
            <v>20130228</v>
          </cell>
          <cell r="M50">
            <v>2.9516</v>
          </cell>
          <cell r="N50">
            <v>20130514</v>
          </cell>
        </row>
        <row r="51">
          <cell r="A51" t="str">
            <v>CNL</v>
          </cell>
          <cell r="B51" t="str">
            <v>@CCDA</v>
          </cell>
          <cell r="C51" t="str">
            <v>CELAMIN HOLDINGS</v>
          </cell>
          <cell r="D51">
            <v>20121220</v>
          </cell>
          <cell r="E51" t="str">
            <v>EPS</v>
          </cell>
          <cell r="F51" t="str">
            <v>ANN</v>
          </cell>
          <cell r="G51">
            <v>1</v>
          </cell>
          <cell r="H51">
            <v>1</v>
          </cell>
          <cell r="I51">
            <v>-1.2110000000000001</v>
          </cell>
          <cell r="J51">
            <v>-1.2110000000000001</v>
          </cell>
          <cell r="K51">
            <v>0</v>
          </cell>
          <cell r="L51">
            <v>20130630</v>
          </cell>
          <cell r="M51">
            <v>-0.84740000000000004</v>
          </cell>
          <cell r="N51">
            <v>20130924</v>
          </cell>
        </row>
        <row r="52">
          <cell r="A52" t="str">
            <v>CNP</v>
          </cell>
          <cell r="B52" t="str">
            <v>@CN0</v>
          </cell>
          <cell r="C52" t="str">
            <v>CNP ASSURANCES</v>
          </cell>
          <cell r="D52">
            <v>20121220</v>
          </cell>
          <cell r="E52" t="str">
            <v>EPS</v>
          </cell>
          <cell r="F52" t="str">
            <v>ANN</v>
          </cell>
          <cell r="G52">
            <v>1</v>
          </cell>
          <cell r="H52">
            <v>16</v>
          </cell>
          <cell r="I52">
            <v>1.62</v>
          </cell>
          <cell r="J52">
            <v>1.63</v>
          </cell>
          <cell r="K52">
            <v>0</v>
          </cell>
          <cell r="L52">
            <v>20121231</v>
          </cell>
          <cell r="M52">
            <v>1.74</v>
          </cell>
          <cell r="N52">
            <v>20130222</v>
          </cell>
        </row>
        <row r="53">
          <cell r="A53" t="str">
            <v>CIN</v>
          </cell>
          <cell r="B53" t="str">
            <v>@CUW</v>
          </cell>
          <cell r="C53" t="str">
            <v>CITY OF LONDON</v>
          </cell>
          <cell r="D53">
            <v>20121220</v>
          </cell>
          <cell r="E53" t="str">
            <v>EPS</v>
          </cell>
          <cell r="F53" t="str">
            <v>ANN</v>
          </cell>
          <cell r="G53">
            <v>1</v>
          </cell>
          <cell r="H53">
            <v>1</v>
          </cell>
          <cell r="I53">
            <v>20</v>
          </cell>
          <cell r="J53">
            <v>20</v>
          </cell>
          <cell r="K53">
            <v>0</v>
          </cell>
          <cell r="L53">
            <v>20130331</v>
          </cell>
          <cell r="M53">
            <v>-164.6</v>
          </cell>
          <cell r="N53">
            <v>20130625</v>
          </cell>
        </row>
        <row r="54">
          <cell r="A54" t="str">
            <v>SO</v>
          </cell>
          <cell r="B54" t="str">
            <v>@DAM</v>
          </cell>
          <cell r="C54" t="str">
            <v>SOMFY</v>
          </cell>
          <cell r="D54">
            <v>20121220</v>
          </cell>
          <cell r="E54" t="str">
            <v>EPS</v>
          </cell>
          <cell r="F54" t="str">
            <v>ANN</v>
          </cell>
          <cell r="G54">
            <v>1</v>
          </cell>
          <cell r="H54">
            <v>4</v>
          </cell>
          <cell r="I54">
            <v>2.12</v>
          </cell>
          <cell r="J54">
            <v>2.1</v>
          </cell>
          <cell r="K54">
            <v>0</v>
          </cell>
          <cell r="L54">
            <v>20121231</v>
          </cell>
          <cell r="M54">
            <v>2.2280000000000002</v>
          </cell>
          <cell r="N54">
            <v>20130228</v>
          </cell>
        </row>
        <row r="55">
          <cell r="A55" t="str">
            <v>DTE</v>
          </cell>
          <cell r="B55" t="str">
            <v>@DT</v>
          </cell>
          <cell r="C55" t="str">
            <v>DEUTSCHE TELEKOM</v>
          </cell>
          <cell r="D55">
            <v>20121220</v>
          </cell>
          <cell r="E55" t="str">
            <v>EPS</v>
          </cell>
          <cell r="F55" t="str">
            <v>ANN</v>
          </cell>
          <cell r="G55">
            <v>1</v>
          </cell>
          <cell r="H55">
            <v>28</v>
          </cell>
          <cell r="I55">
            <v>0.64</v>
          </cell>
          <cell r="J55">
            <v>0.64</v>
          </cell>
          <cell r="K55">
            <v>0</v>
          </cell>
          <cell r="L55">
            <v>20121231</v>
          </cell>
          <cell r="M55">
            <v>0.59</v>
          </cell>
          <cell r="N55">
            <v>20130228</v>
          </cell>
        </row>
        <row r="56">
          <cell r="A56" t="str">
            <v>EDE</v>
          </cell>
          <cell r="B56" t="str">
            <v>@E2L</v>
          </cell>
          <cell r="C56" t="str">
            <v>EDEGEL</v>
          </cell>
          <cell r="D56">
            <v>20121220</v>
          </cell>
          <cell r="E56" t="str">
            <v>EPS</v>
          </cell>
          <cell r="F56" t="str">
            <v>ANN</v>
          </cell>
          <cell r="G56">
            <v>1</v>
          </cell>
          <cell r="H56">
            <v>1</v>
          </cell>
          <cell r="I56">
            <v>0.05</v>
          </cell>
          <cell r="J56">
            <v>0.05</v>
          </cell>
          <cell r="K56">
            <v>0</v>
          </cell>
          <cell r="L56">
            <v>20121231</v>
          </cell>
          <cell r="M56">
            <v>4.7899999999999998E-2</v>
          </cell>
          <cell r="N56">
            <v>20130213</v>
          </cell>
        </row>
        <row r="57">
          <cell r="A57" t="str">
            <v>POM</v>
          </cell>
          <cell r="B57" t="str">
            <v>@IH0</v>
          </cell>
          <cell r="C57" t="str">
            <v>POMINA STEEL</v>
          </cell>
          <cell r="D57">
            <v>20121220</v>
          </cell>
          <cell r="E57" t="str">
            <v>EPS</v>
          </cell>
          <cell r="F57" t="str">
            <v>ANN</v>
          </cell>
          <cell r="G57">
            <v>1</v>
          </cell>
          <cell r="H57">
            <v>1</v>
          </cell>
          <cell r="I57">
            <v>911.8</v>
          </cell>
          <cell r="J57">
            <v>911.8</v>
          </cell>
          <cell r="K57">
            <v>0</v>
          </cell>
          <cell r="L57">
            <v>20121231</v>
          </cell>
          <cell r="M57">
            <v>5.1454000000000004</v>
          </cell>
          <cell r="N57">
            <v>20130208</v>
          </cell>
        </row>
        <row r="58">
          <cell r="A58" t="str">
            <v>PGN</v>
          </cell>
          <cell r="B58" t="str">
            <v>@J5W</v>
          </cell>
          <cell r="C58" t="str">
            <v>POLISH OIL &amp; GAS</v>
          </cell>
          <cell r="D58">
            <v>20121220</v>
          </cell>
          <cell r="E58" t="str">
            <v>EPS</v>
          </cell>
          <cell r="F58" t="str">
            <v>ANN</v>
          </cell>
          <cell r="G58">
            <v>1</v>
          </cell>
          <cell r="H58">
            <v>12</v>
          </cell>
          <cell r="I58">
            <v>0.36</v>
          </cell>
          <cell r="J58">
            <v>0.3</v>
          </cell>
          <cell r="K58">
            <v>0</v>
          </cell>
          <cell r="L58">
            <v>20121231</v>
          </cell>
          <cell r="M58">
            <v>0.38</v>
          </cell>
          <cell r="N58">
            <v>20130319</v>
          </cell>
        </row>
        <row r="59">
          <cell r="A59" t="str">
            <v>DTE</v>
          </cell>
          <cell r="B59" t="str">
            <v>@L64</v>
          </cell>
          <cell r="C59" t="str">
            <v>DART ENERGY</v>
          </cell>
          <cell r="D59">
            <v>20121220</v>
          </cell>
          <cell r="E59" t="str">
            <v>EPS</v>
          </cell>
          <cell r="F59" t="str">
            <v>ANN</v>
          </cell>
          <cell r="G59">
            <v>1</v>
          </cell>
          <cell r="H59">
            <v>2</v>
          </cell>
          <cell r="I59">
            <v>-2.3E-2</v>
          </cell>
          <cell r="J59">
            <v>-2.3E-2</v>
          </cell>
          <cell r="K59">
            <v>0</v>
          </cell>
          <cell r="L59">
            <v>20130630</v>
          </cell>
        </row>
        <row r="60">
          <cell r="A60" t="str">
            <v>SRE</v>
          </cell>
          <cell r="B60" t="str">
            <v>@O5S</v>
          </cell>
          <cell r="C60" t="str">
            <v>SALHIA REAL ESTA</v>
          </cell>
          <cell r="D60">
            <v>20121220</v>
          </cell>
          <cell r="E60" t="str">
            <v>EPS</v>
          </cell>
          <cell r="F60" t="str">
            <v>ANN</v>
          </cell>
          <cell r="G60">
            <v>1</v>
          </cell>
          <cell r="H60">
            <v>1</v>
          </cell>
          <cell r="I60">
            <v>1.4E-2</v>
          </cell>
          <cell r="J60">
            <v>1.4E-2</v>
          </cell>
          <cell r="K60">
            <v>0</v>
          </cell>
          <cell r="L60">
            <v>20121231</v>
          </cell>
          <cell r="M60">
            <v>0.02</v>
          </cell>
          <cell r="N60">
            <v>20130307</v>
          </cell>
        </row>
        <row r="61">
          <cell r="A61" t="str">
            <v>POM</v>
          </cell>
          <cell r="B61" t="str">
            <v>@PO8</v>
          </cell>
          <cell r="C61" t="str">
            <v>PLASTIC OMNIUM S</v>
          </cell>
          <cell r="D61">
            <v>20121220</v>
          </cell>
          <cell r="E61" t="str">
            <v>EPS</v>
          </cell>
          <cell r="F61" t="str">
            <v>ANN</v>
          </cell>
          <cell r="G61">
            <v>1</v>
          </cell>
          <cell r="H61">
            <v>6</v>
          </cell>
          <cell r="I61">
            <v>1.2</v>
          </cell>
          <cell r="J61">
            <v>1.18</v>
          </cell>
          <cell r="K61">
            <v>0</v>
          </cell>
          <cell r="L61">
            <v>20121231</v>
          </cell>
          <cell r="M61">
            <v>1.2133</v>
          </cell>
          <cell r="N61">
            <v>20130228</v>
          </cell>
        </row>
        <row r="62">
          <cell r="A62" t="str">
            <v>PGN</v>
          </cell>
          <cell r="B62" t="str">
            <v>@QPA</v>
          </cell>
          <cell r="C62" t="str">
            <v>PARAGON</v>
          </cell>
          <cell r="D62">
            <v>20121220</v>
          </cell>
          <cell r="E62" t="str">
            <v>EPS</v>
          </cell>
          <cell r="F62" t="str">
            <v>ANN</v>
          </cell>
          <cell r="G62">
            <v>1</v>
          </cell>
          <cell r="H62">
            <v>2</v>
          </cell>
          <cell r="I62">
            <v>1.41</v>
          </cell>
          <cell r="J62">
            <v>1.41</v>
          </cell>
          <cell r="K62">
            <v>0</v>
          </cell>
          <cell r="L62">
            <v>20121231</v>
          </cell>
          <cell r="M62">
            <v>1.39</v>
          </cell>
          <cell r="N62">
            <v>20130321</v>
          </cell>
        </row>
        <row r="63">
          <cell r="A63" t="str">
            <v>PEG</v>
          </cell>
          <cell r="B63" t="str">
            <v>@S6N</v>
          </cell>
          <cell r="C63" t="str">
            <v>PETARDS GROUP</v>
          </cell>
          <cell r="D63">
            <v>20121220</v>
          </cell>
          <cell r="E63" t="str">
            <v>EPS</v>
          </cell>
          <cell r="F63" t="str">
            <v>ANN</v>
          </cell>
          <cell r="G63">
            <v>1</v>
          </cell>
          <cell r="H63">
            <v>1</v>
          </cell>
          <cell r="I63">
            <v>2.85</v>
          </cell>
          <cell r="J63">
            <v>2.85</v>
          </cell>
          <cell r="K63">
            <v>0</v>
          </cell>
          <cell r="L63">
            <v>20121231</v>
          </cell>
          <cell r="M63">
            <v>2.92</v>
          </cell>
          <cell r="N63">
            <v>20130701</v>
          </cell>
        </row>
        <row r="64">
          <cell r="A64" t="str">
            <v>SO</v>
          </cell>
          <cell r="B64" t="str">
            <v>@SGF</v>
          </cell>
          <cell r="C64" t="str">
            <v>SOGEFI</v>
          </cell>
          <cell r="D64">
            <v>20121220</v>
          </cell>
          <cell r="E64" t="str">
            <v>EPS</v>
          </cell>
          <cell r="F64" t="str">
            <v>ANN</v>
          </cell>
          <cell r="G64">
            <v>1</v>
          </cell>
          <cell r="H64">
            <v>8</v>
          </cell>
          <cell r="I64">
            <v>0.3</v>
          </cell>
          <cell r="J64">
            <v>0.31</v>
          </cell>
          <cell r="K64">
            <v>0</v>
          </cell>
          <cell r="L64">
            <v>20121231</v>
          </cell>
          <cell r="M64">
            <v>0.26</v>
          </cell>
          <cell r="N64">
            <v>20130226</v>
          </cell>
        </row>
        <row r="65">
          <cell r="A65" t="str">
            <v>NST</v>
          </cell>
          <cell r="B65" t="str">
            <v>@T6I</v>
          </cell>
          <cell r="C65" t="str">
            <v>NORTHERN STAR RE</v>
          </cell>
          <cell r="D65">
            <v>20121220</v>
          </cell>
          <cell r="E65" t="str">
            <v>EPS</v>
          </cell>
          <cell r="F65" t="str">
            <v>ANN</v>
          </cell>
          <cell r="G65">
            <v>1</v>
          </cell>
          <cell r="H65">
            <v>2</v>
          </cell>
          <cell r="I65">
            <v>0.128</v>
          </cell>
          <cell r="J65">
            <v>0.128</v>
          </cell>
          <cell r="K65">
            <v>0</v>
          </cell>
          <cell r="L65">
            <v>20130630</v>
          </cell>
          <cell r="M65">
            <v>6.6000000000000003E-2</v>
          </cell>
          <cell r="N65">
            <v>20130805</v>
          </cell>
        </row>
        <row r="66">
          <cell r="A66" t="str">
            <v>AEE</v>
          </cell>
          <cell r="B66" t="str">
            <v>@UAW</v>
          </cell>
          <cell r="C66" t="str">
            <v>AURA ENERGY LTD</v>
          </cell>
          <cell r="D66">
            <v>20121220</v>
          </cell>
          <cell r="E66" t="str">
            <v>EPS</v>
          </cell>
          <cell r="F66" t="str">
            <v>ANN</v>
          </cell>
          <cell r="G66">
            <v>1</v>
          </cell>
          <cell r="H66">
            <v>1</v>
          </cell>
          <cell r="I66">
            <v>-1</v>
          </cell>
          <cell r="J66">
            <v>-1</v>
          </cell>
          <cell r="K66">
            <v>0</v>
          </cell>
          <cell r="L66">
            <v>20130630</v>
          </cell>
          <cell r="N66">
            <v>20130927</v>
          </cell>
        </row>
        <row r="67">
          <cell r="A67" t="str">
            <v>DTE</v>
          </cell>
          <cell r="B67" t="str">
            <v>@UIU</v>
          </cell>
          <cell r="C67" t="str">
            <v>DATONG PLC</v>
          </cell>
          <cell r="D67">
            <v>20121220</v>
          </cell>
          <cell r="E67" t="str">
            <v>EPS</v>
          </cell>
          <cell r="F67" t="str">
            <v>ANN</v>
          </cell>
          <cell r="G67">
            <v>1</v>
          </cell>
          <cell r="H67">
            <v>1</v>
          </cell>
          <cell r="I67">
            <v>0</v>
          </cell>
          <cell r="J67">
            <v>0</v>
          </cell>
          <cell r="K67">
            <v>0</v>
          </cell>
          <cell r="L67">
            <v>20130930</v>
          </cell>
        </row>
        <row r="68">
          <cell r="A68" t="str">
            <v>AGR</v>
          </cell>
          <cell r="B68" t="str">
            <v>@V2M</v>
          </cell>
          <cell r="C68" t="str">
            <v>ASSURA GROUP</v>
          </cell>
          <cell r="D68">
            <v>20121220</v>
          </cell>
          <cell r="E68" t="str">
            <v>EPS</v>
          </cell>
          <cell r="F68" t="str">
            <v>ANN</v>
          </cell>
          <cell r="G68">
            <v>1</v>
          </cell>
          <cell r="H68">
            <v>2</v>
          </cell>
          <cell r="I68">
            <v>1.96</v>
          </cell>
          <cell r="J68">
            <v>1.96</v>
          </cell>
          <cell r="K68">
            <v>0</v>
          </cell>
          <cell r="L68">
            <v>20130331</v>
          </cell>
          <cell r="M68">
            <v>1.8006</v>
          </cell>
          <cell r="N68">
            <v>20130528</v>
          </cell>
        </row>
        <row r="69">
          <cell r="A69" t="str">
            <v>SRE</v>
          </cell>
          <cell r="B69" t="str">
            <v>@VRU</v>
          </cell>
          <cell r="C69" t="str">
            <v>SIRIUS REAL ESTA</v>
          </cell>
          <cell r="D69">
            <v>20121220</v>
          </cell>
          <cell r="E69" t="str">
            <v>EPS</v>
          </cell>
          <cell r="F69" t="str">
            <v>ANN</v>
          </cell>
          <cell r="G69">
            <v>1</v>
          </cell>
          <cell r="H69">
            <v>1</v>
          </cell>
          <cell r="I69">
            <v>0.02</v>
          </cell>
          <cell r="J69">
            <v>0.02</v>
          </cell>
          <cell r="K69">
            <v>0</v>
          </cell>
          <cell r="L69">
            <v>20130331</v>
          </cell>
          <cell r="M69">
            <v>2.7E-2</v>
          </cell>
          <cell r="N69">
            <v>20130628</v>
          </cell>
        </row>
        <row r="70">
          <cell r="A70" t="str">
            <v>POM</v>
          </cell>
          <cell r="B70" t="str">
            <v>@VV</v>
          </cell>
          <cell r="C70" t="str">
            <v>POLMED SA</v>
          </cell>
          <cell r="D70">
            <v>20121220</v>
          </cell>
          <cell r="E70" t="str">
            <v>EPS</v>
          </cell>
          <cell r="F70" t="str">
            <v>ANN</v>
          </cell>
          <cell r="G70">
            <v>1</v>
          </cell>
          <cell r="H70">
            <v>1</v>
          </cell>
          <cell r="I70">
            <v>-0.1</v>
          </cell>
          <cell r="J70">
            <v>-0.1</v>
          </cell>
          <cell r="K70">
            <v>0</v>
          </cell>
          <cell r="L70">
            <v>20121231</v>
          </cell>
          <cell r="M70">
            <v>-0.12</v>
          </cell>
          <cell r="N70">
            <v>20130430</v>
          </cell>
        </row>
        <row r="71">
          <cell r="A71" t="str">
            <v>EXC</v>
          </cell>
          <cell r="B71" t="str">
            <v>@XDO</v>
          </cell>
          <cell r="C71" t="str">
            <v>EXCEET GROUP SE</v>
          </cell>
          <cell r="D71">
            <v>20121220</v>
          </cell>
          <cell r="E71" t="str">
            <v>EPS</v>
          </cell>
          <cell r="F71" t="str">
            <v>ANN</v>
          </cell>
          <cell r="G71">
            <v>1</v>
          </cell>
          <cell r="H71">
            <v>2</v>
          </cell>
          <cell r="I71">
            <v>7.0000000000000007E-2</v>
          </cell>
          <cell r="J71">
            <v>7.0000000000000007E-2</v>
          </cell>
          <cell r="K71">
            <v>0</v>
          </cell>
          <cell r="L71">
            <v>20121231</v>
          </cell>
          <cell r="M71">
            <v>0.16</v>
          </cell>
          <cell r="N71">
            <v>20130228</v>
          </cell>
        </row>
        <row r="72">
          <cell r="A72" t="str">
            <v>CMS</v>
          </cell>
          <cell r="B72" t="str">
            <v>@XJM</v>
          </cell>
          <cell r="C72" t="str">
            <v>COMMUNISIS PLC</v>
          </cell>
          <cell r="D72">
            <v>20121220</v>
          </cell>
          <cell r="E72" t="str">
            <v>EPS</v>
          </cell>
          <cell r="F72" t="str">
            <v>ANN</v>
          </cell>
          <cell r="G72">
            <v>1</v>
          </cell>
          <cell r="H72">
            <v>4</v>
          </cell>
          <cell r="I72">
            <v>5.57</v>
          </cell>
          <cell r="J72">
            <v>5.59</v>
          </cell>
          <cell r="K72">
            <v>0</v>
          </cell>
          <cell r="L72">
            <v>20121231</v>
          </cell>
          <cell r="M72">
            <v>5.38</v>
          </cell>
          <cell r="N72">
            <v>20130307</v>
          </cell>
        </row>
        <row r="73">
          <cell r="A73" t="str">
            <v>EDE</v>
          </cell>
          <cell r="B73" t="str">
            <v>DDE1</v>
          </cell>
          <cell r="C73" t="str">
            <v>EDGE RESOURCES I</v>
          </cell>
          <cell r="D73">
            <v>20121220</v>
          </cell>
          <cell r="E73" t="str">
            <v>EPS</v>
          </cell>
          <cell r="F73" t="str">
            <v>ANN</v>
          </cell>
          <cell r="G73">
            <v>1</v>
          </cell>
          <cell r="H73">
            <v>1</v>
          </cell>
          <cell r="I73">
            <v>0.02</v>
          </cell>
          <cell r="J73">
            <v>0.02</v>
          </cell>
          <cell r="K73">
            <v>0</v>
          </cell>
          <cell r="L73">
            <v>20130331</v>
          </cell>
          <cell r="N73">
            <v>20130617</v>
          </cell>
        </row>
        <row r="74">
          <cell r="A74" t="str">
            <v>EAS</v>
          </cell>
          <cell r="B74" t="str">
            <v>EAS1</v>
          </cell>
          <cell r="C74" t="str">
            <v>EAST ASIA MINERA</v>
          </cell>
          <cell r="D74">
            <v>20121220</v>
          </cell>
          <cell r="E74" t="str">
            <v>EPS</v>
          </cell>
          <cell r="F74" t="str">
            <v>ANN</v>
          </cell>
          <cell r="G74">
            <v>1</v>
          </cell>
          <cell r="H74">
            <v>1</v>
          </cell>
          <cell r="I74">
            <v>-0.6</v>
          </cell>
          <cell r="J74">
            <v>-0.6</v>
          </cell>
          <cell r="K74">
            <v>0</v>
          </cell>
          <cell r="L74">
            <v>20120831</v>
          </cell>
          <cell r="N74">
            <v>20121221</v>
          </cell>
        </row>
        <row r="75">
          <cell r="A75" t="str">
            <v>ETR</v>
          </cell>
          <cell r="B75" t="str">
            <v>IZP</v>
          </cell>
          <cell r="C75" t="str">
            <v>EACOM TIMBER</v>
          </cell>
          <cell r="D75">
            <v>20121220</v>
          </cell>
          <cell r="E75" t="str">
            <v>EPS</v>
          </cell>
          <cell r="F75" t="str">
            <v>ANN</v>
          </cell>
          <cell r="G75">
            <v>1</v>
          </cell>
          <cell r="H75">
            <v>1</v>
          </cell>
          <cell r="I75">
            <v>0.01</v>
          </cell>
          <cell r="J75">
            <v>0.01</v>
          </cell>
          <cell r="K75">
            <v>0</v>
          </cell>
          <cell r="L75">
            <v>20121231</v>
          </cell>
          <cell r="M75">
            <v>-0.03</v>
          </cell>
          <cell r="N75">
            <v>20130318</v>
          </cell>
        </row>
        <row r="76">
          <cell r="A76" t="str">
            <v>CNL</v>
          </cell>
          <cell r="B76" t="str">
            <v>NCL1</v>
          </cell>
          <cell r="C76" t="str">
            <v>CONTINENTAL GOLD</v>
          </cell>
          <cell r="D76">
            <v>20121220</v>
          </cell>
          <cell r="E76" t="str">
            <v>EPS</v>
          </cell>
          <cell r="F76" t="str">
            <v>ANN</v>
          </cell>
          <cell r="G76">
            <v>1</v>
          </cell>
          <cell r="H76">
            <v>3</v>
          </cell>
          <cell r="I76">
            <v>-0.09</v>
          </cell>
          <cell r="J76">
            <v>-0.09</v>
          </cell>
          <cell r="K76">
            <v>0</v>
          </cell>
          <cell r="L76">
            <v>20121231</v>
          </cell>
          <cell r="M76">
            <v>-7.0000000000000007E-2</v>
          </cell>
          <cell r="N76">
            <v>20130307</v>
          </cell>
        </row>
        <row r="77">
          <cell r="A77" t="str">
            <v>PPL</v>
          </cell>
          <cell r="B77" t="str">
            <v>PIF1</v>
          </cell>
          <cell r="C77" t="str">
            <v>PEMBINA PIPELINE</v>
          </cell>
          <cell r="D77">
            <v>20121220</v>
          </cell>
          <cell r="E77" t="str">
            <v>EPS</v>
          </cell>
          <cell r="F77" t="str">
            <v>ANN</v>
          </cell>
          <cell r="G77">
            <v>1</v>
          </cell>
          <cell r="H77">
            <v>5</v>
          </cell>
          <cell r="I77">
            <v>0.78</v>
          </cell>
          <cell r="J77">
            <v>0.77</v>
          </cell>
          <cell r="K77">
            <v>0</v>
          </cell>
          <cell r="L77">
            <v>20121231</v>
          </cell>
          <cell r="M77">
            <v>1.1000000000000001</v>
          </cell>
          <cell r="N77">
            <v>20130301</v>
          </cell>
        </row>
        <row r="78">
          <cell r="A78" t="str">
            <v>POM</v>
          </cell>
          <cell r="B78" t="str">
            <v>POM1</v>
          </cell>
          <cell r="C78" t="str">
            <v>POLYMET MINING C</v>
          </cell>
          <cell r="D78">
            <v>20121220</v>
          </cell>
          <cell r="E78" t="str">
            <v>EPS</v>
          </cell>
          <cell r="F78" t="str">
            <v>ANN</v>
          </cell>
          <cell r="G78">
            <v>1</v>
          </cell>
          <cell r="H78">
            <v>1</v>
          </cell>
          <cell r="I78">
            <v>-0.3</v>
          </cell>
          <cell r="J78">
            <v>-0.3</v>
          </cell>
          <cell r="K78">
            <v>0</v>
          </cell>
          <cell r="L78">
            <v>20130131</v>
          </cell>
          <cell r="M78">
            <v>-0.4</v>
          </cell>
          <cell r="N78">
            <v>20130423</v>
          </cell>
        </row>
        <row r="79">
          <cell r="A79" t="str">
            <v>PSD</v>
          </cell>
          <cell r="B79" t="str">
            <v>PSD3</v>
          </cell>
          <cell r="C79" t="str">
            <v>PULSE SEISMIC IN</v>
          </cell>
          <cell r="D79">
            <v>20121220</v>
          </cell>
          <cell r="E79" t="str">
            <v>EPS</v>
          </cell>
          <cell r="F79" t="str">
            <v>ANN</v>
          </cell>
          <cell r="G79">
            <v>1</v>
          </cell>
          <cell r="H79">
            <v>3</v>
          </cell>
          <cell r="I79">
            <v>0.28999999999999998</v>
          </cell>
          <cell r="J79">
            <v>0.31</v>
          </cell>
          <cell r="K79">
            <v>0</v>
          </cell>
          <cell r="L79">
            <v>20121231</v>
          </cell>
          <cell r="M79">
            <v>0.44</v>
          </cell>
          <cell r="N79">
            <v>20130130</v>
          </cell>
        </row>
        <row r="80">
          <cell r="A80" t="str">
            <v>SO</v>
          </cell>
          <cell r="B80" t="str">
            <v>SOCA</v>
          </cell>
          <cell r="C80" t="str">
            <v>SOFTCHOICE CORP</v>
          </cell>
          <cell r="D80">
            <v>20121220</v>
          </cell>
          <cell r="E80" t="str">
            <v>EPS</v>
          </cell>
          <cell r="F80" t="str">
            <v>ANN</v>
          </cell>
          <cell r="G80">
            <v>1</v>
          </cell>
          <cell r="H80">
            <v>4</v>
          </cell>
          <cell r="I80">
            <v>1.28</v>
          </cell>
          <cell r="J80">
            <v>1.28</v>
          </cell>
          <cell r="K80">
            <v>0</v>
          </cell>
          <cell r="L80">
            <v>20121231</v>
          </cell>
          <cell r="M80">
            <v>1.37</v>
          </cell>
          <cell r="N80">
            <v>20130219</v>
          </cell>
        </row>
        <row r="81">
          <cell r="A81" t="str">
            <v>XEL</v>
          </cell>
          <cell r="B81" t="str">
            <v>XTE1</v>
          </cell>
          <cell r="C81" t="str">
            <v>XCITE ENERGY LTD</v>
          </cell>
          <cell r="D81">
            <v>20121220</v>
          </cell>
          <cell r="E81" t="str">
            <v>EPS</v>
          </cell>
          <cell r="F81" t="str">
            <v>ANN</v>
          </cell>
          <cell r="G81">
            <v>1</v>
          </cell>
          <cell r="H81">
            <v>1</v>
          </cell>
          <cell r="I81">
            <v>0</v>
          </cell>
          <cell r="J81">
            <v>0</v>
          </cell>
          <cell r="K81">
            <v>0</v>
          </cell>
          <cell r="L81">
            <v>20121231</v>
          </cell>
          <cell r="M81">
            <v>-0.7</v>
          </cell>
          <cell r="N81">
            <v>20130326</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RDS"/>
    </sheetNames>
    <sheetDataSet>
      <sheetData sheetId="0">
        <row r="1">
          <cell r="A1" t="str">
            <v>OFTIC</v>
          </cell>
          <cell r="B1" t="str">
            <v>IBES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USFIRM=0 if from .INT file and USFIRM=1 if from .US file</v>
          </cell>
          <cell r="M1" t="str">
            <v>Forecast Period End Date (SAS Format)</v>
          </cell>
          <cell r="N1" t="str">
            <v>Actual Value, from the Detail Actuals File</v>
          </cell>
          <cell r="O1" t="str">
            <v>Announce date of the Actual, from the Detail Actuals File</v>
          </cell>
        </row>
        <row r="2">
          <cell r="A2" t="str">
            <v>PNW</v>
          </cell>
          <cell r="B2" t="str">
            <v>AZP</v>
          </cell>
          <cell r="C2" t="str">
            <v>PINNACLE WST CAP</v>
          </cell>
          <cell r="D2">
            <v>20121220</v>
          </cell>
          <cell r="E2" t="str">
            <v>EPS</v>
          </cell>
          <cell r="F2" t="str">
            <v>LTG</v>
          </cell>
          <cell r="G2">
            <v>0</v>
          </cell>
          <cell r="H2">
            <v>2</v>
          </cell>
          <cell r="I2">
            <v>6.3</v>
          </cell>
          <cell r="J2">
            <v>6.3</v>
          </cell>
          <cell r="K2">
            <v>1.84</v>
          </cell>
          <cell r="L2">
            <v>1</v>
          </cell>
        </row>
        <row r="3">
          <cell r="A3" t="str">
            <v>CMS</v>
          </cell>
          <cell r="B3" t="str">
            <v>CMS</v>
          </cell>
          <cell r="C3" t="str">
            <v>CMS ENERGY CORP</v>
          </cell>
          <cell r="D3">
            <v>20121220</v>
          </cell>
          <cell r="E3" t="str">
            <v>EPS</v>
          </cell>
          <cell r="F3" t="str">
            <v>LTG</v>
          </cell>
          <cell r="G3">
            <v>0</v>
          </cell>
          <cell r="H3">
            <v>4</v>
          </cell>
          <cell r="I3">
            <v>6.24</v>
          </cell>
          <cell r="J3">
            <v>6.34</v>
          </cell>
          <cell r="K3">
            <v>0.5</v>
          </cell>
          <cell r="L3">
            <v>1</v>
          </cell>
        </row>
        <row r="4">
          <cell r="A4" t="str">
            <v>CNL</v>
          </cell>
          <cell r="B4" t="str">
            <v>CNL</v>
          </cell>
          <cell r="C4" t="str">
            <v>CLECO CORP</v>
          </cell>
          <cell r="D4">
            <v>20121220</v>
          </cell>
          <cell r="E4" t="str">
            <v>EPS</v>
          </cell>
          <cell r="F4" t="str">
            <v>LTG</v>
          </cell>
          <cell r="G4">
            <v>0</v>
          </cell>
          <cell r="H4">
            <v>1</v>
          </cell>
          <cell r="I4">
            <v>3</v>
          </cell>
          <cell r="J4">
            <v>3</v>
          </cell>
          <cell r="L4">
            <v>1</v>
          </cell>
        </row>
        <row r="5">
          <cell r="A5" t="str">
            <v>D</v>
          </cell>
          <cell r="B5" t="str">
            <v>D</v>
          </cell>
          <cell r="C5" t="str">
            <v>DOMINION RES INC</v>
          </cell>
          <cell r="D5">
            <v>20121220</v>
          </cell>
          <cell r="E5" t="str">
            <v>EPS</v>
          </cell>
          <cell r="F5" t="str">
            <v>LTG</v>
          </cell>
          <cell r="G5">
            <v>0</v>
          </cell>
          <cell r="H5">
            <v>2</v>
          </cell>
          <cell r="I5">
            <v>5.14</v>
          </cell>
          <cell r="J5">
            <v>5.14</v>
          </cell>
          <cell r="K5">
            <v>0.06</v>
          </cell>
          <cell r="L5">
            <v>1</v>
          </cell>
        </row>
        <row r="6">
          <cell r="A6" t="str">
            <v>DTE</v>
          </cell>
          <cell r="B6" t="str">
            <v>DTE</v>
          </cell>
          <cell r="C6" t="str">
            <v>DTE ENERGY</v>
          </cell>
          <cell r="D6">
            <v>20121220</v>
          </cell>
          <cell r="E6" t="str">
            <v>EPS</v>
          </cell>
          <cell r="F6" t="str">
            <v>LTG</v>
          </cell>
          <cell r="G6">
            <v>0</v>
          </cell>
          <cell r="H6">
            <v>3</v>
          </cell>
          <cell r="I6">
            <v>5</v>
          </cell>
          <cell r="J6">
            <v>5.04</v>
          </cell>
          <cell r="K6">
            <v>0.16</v>
          </cell>
          <cell r="L6">
            <v>1</v>
          </cell>
        </row>
        <row r="7">
          <cell r="A7" t="str">
            <v>DUK</v>
          </cell>
          <cell r="B7" t="str">
            <v>DUK</v>
          </cell>
          <cell r="C7" t="str">
            <v>DUKE ENERGY CORP</v>
          </cell>
          <cell r="D7">
            <v>20121220</v>
          </cell>
          <cell r="E7" t="str">
            <v>EPS</v>
          </cell>
          <cell r="F7" t="str">
            <v>LTG</v>
          </cell>
          <cell r="G7">
            <v>0</v>
          </cell>
          <cell r="H7">
            <v>4</v>
          </cell>
          <cell r="I7">
            <v>3.04</v>
          </cell>
          <cell r="J7">
            <v>2.95</v>
          </cell>
          <cell r="K7">
            <v>1.92</v>
          </cell>
          <cell r="L7">
            <v>1</v>
          </cell>
        </row>
        <row r="8">
          <cell r="A8" t="str">
            <v>ED</v>
          </cell>
          <cell r="B8" t="str">
            <v>ED</v>
          </cell>
          <cell r="C8" t="str">
            <v>CONSOLIDATED EDI</v>
          </cell>
          <cell r="D8">
            <v>20121220</v>
          </cell>
          <cell r="E8" t="str">
            <v>EPS</v>
          </cell>
          <cell r="F8" t="str">
            <v>LTG</v>
          </cell>
          <cell r="G8">
            <v>0</v>
          </cell>
          <cell r="H8">
            <v>3</v>
          </cell>
          <cell r="I8">
            <v>3</v>
          </cell>
          <cell r="J8">
            <v>2.84</v>
          </cell>
          <cell r="K8">
            <v>0.65</v>
          </cell>
          <cell r="L8">
            <v>1</v>
          </cell>
        </row>
        <row r="9">
          <cell r="A9" t="str">
            <v>NEE</v>
          </cell>
          <cell r="B9" t="str">
            <v>FPL</v>
          </cell>
          <cell r="C9" t="str">
            <v>NEXTERA ENERGY I</v>
          </cell>
          <cell r="D9">
            <v>20121220</v>
          </cell>
          <cell r="E9" t="str">
            <v>EPS</v>
          </cell>
          <cell r="F9" t="str">
            <v>LTG</v>
          </cell>
          <cell r="G9">
            <v>0</v>
          </cell>
          <cell r="H9">
            <v>3</v>
          </cell>
          <cell r="I9">
            <v>6.1</v>
          </cell>
          <cell r="J9">
            <v>5.76</v>
          </cell>
          <cell r="K9">
            <v>0.66</v>
          </cell>
          <cell r="L9">
            <v>1</v>
          </cell>
        </row>
        <row r="10">
          <cell r="A10" t="str">
            <v>HE</v>
          </cell>
          <cell r="B10" t="str">
            <v>HE</v>
          </cell>
          <cell r="C10" t="str">
            <v>HAWAIIAN ELEC</v>
          </cell>
          <cell r="D10">
            <v>20121220</v>
          </cell>
          <cell r="E10" t="str">
            <v>EPS</v>
          </cell>
          <cell r="F10" t="str">
            <v>LTG</v>
          </cell>
          <cell r="G10">
            <v>0</v>
          </cell>
          <cell r="H10">
            <v>1</v>
          </cell>
          <cell r="I10">
            <v>7.7</v>
          </cell>
          <cell r="J10">
            <v>7.7</v>
          </cell>
          <cell r="L10">
            <v>1</v>
          </cell>
        </row>
        <row r="11">
          <cell r="A11" t="str">
            <v>CNP</v>
          </cell>
          <cell r="B11" t="str">
            <v>HOU</v>
          </cell>
          <cell r="C11" t="str">
            <v>CENTERPOINT ENER</v>
          </cell>
          <cell r="D11">
            <v>20121220</v>
          </cell>
          <cell r="E11" t="str">
            <v>EPS</v>
          </cell>
          <cell r="F11" t="str">
            <v>LTG</v>
          </cell>
          <cell r="G11">
            <v>0</v>
          </cell>
          <cell r="H11">
            <v>3</v>
          </cell>
          <cell r="I11">
            <v>5.6</v>
          </cell>
          <cell r="J11">
            <v>5.53</v>
          </cell>
          <cell r="K11">
            <v>0.5</v>
          </cell>
          <cell r="L11">
            <v>1</v>
          </cell>
        </row>
        <row r="12">
          <cell r="A12" t="str">
            <v>IDA</v>
          </cell>
          <cell r="B12" t="str">
            <v>IDA</v>
          </cell>
          <cell r="C12" t="str">
            <v>IDACORP INC.</v>
          </cell>
          <cell r="D12">
            <v>20121220</v>
          </cell>
          <cell r="E12" t="str">
            <v>EPS</v>
          </cell>
          <cell r="F12" t="str">
            <v>LTG</v>
          </cell>
          <cell r="G12">
            <v>0</v>
          </cell>
          <cell r="H12">
            <v>2</v>
          </cell>
          <cell r="I12">
            <v>4</v>
          </cell>
          <cell r="J12">
            <v>4</v>
          </cell>
          <cell r="K12">
            <v>0</v>
          </cell>
          <cell r="L12">
            <v>1</v>
          </cell>
        </row>
        <row r="13">
          <cell r="A13" t="str">
            <v>WR</v>
          </cell>
          <cell r="B13" t="str">
            <v>KAN</v>
          </cell>
          <cell r="C13" t="str">
            <v>WESTAR ENERGY</v>
          </cell>
          <cell r="D13">
            <v>20121220</v>
          </cell>
          <cell r="E13" t="str">
            <v>EPS</v>
          </cell>
          <cell r="F13" t="str">
            <v>LTG</v>
          </cell>
          <cell r="G13">
            <v>0</v>
          </cell>
          <cell r="H13">
            <v>1</v>
          </cell>
          <cell r="I13">
            <v>6.8</v>
          </cell>
          <cell r="J13">
            <v>6.8</v>
          </cell>
          <cell r="L13">
            <v>1</v>
          </cell>
        </row>
        <row r="14">
          <cell r="A14" t="str">
            <v>GXP</v>
          </cell>
          <cell r="B14" t="str">
            <v>KLT</v>
          </cell>
          <cell r="C14" t="str">
            <v>GREAT PLAINS</v>
          </cell>
          <cell r="D14">
            <v>20121220</v>
          </cell>
          <cell r="E14" t="str">
            <v>EPS</v>
          </cell>
          <cell r="F14" t="str">
            <v>LTG</v>
          </cell>
          <cell r="G14">
            <v>0</v>
          </cell>
          <cell r="H14">
            <v>1</v>
          </cell>
          <cell r="I14">
            <v>9.4</v>
          </cell>
          <cell r="J14">
            <v>9.4</v>
          </cell>
          <cell r="L14">
            <v>1</v>
          </cell>
        </row>
        <row r="15">
          <cell r="A15" t="str">
            <v>ALE</v>
          </cell>
          <cell r="B15" t="str">
            <v>MPL</v>
          </cell>
          <cell r="C15" t="str">
            <v>ALLETE INC</v>
          </cell>
          <cell r="D15">
            <v>20121220</v>
          </cell>
          <cell r="E15" t="str">
            <v>EPS</v>
          </cell>
          <cell r="F15" t="str">
            <v>LTG</v>
          </cell>
          <cell r="G15">
            <v>0</v>
          </cell>
          <cell r="H15">
            <v>1</v>
          </cell>
          <cell r="I15">
            <v>6</v>
          </cell>
          <cell r="J15">
            <v>6</v>
          </cell>
          <cell r="L15">
            <v>1</v>
          </cell>
        </row>
        <row r="16">
          <cell r="A16" t="str">
            <v>ETR</v>
          </cell>
          <cell r="B16" t="str">
            <v>MSU</v>
          </cell>
          <cell r="C16" t="str">
            <v>ENTERGY CP</v>
          </cell>
          <cell r="D16">
            <v>20121220</v>
          </cell>
          <cell r="E16" t="str">
            <v>EPS</v>
          </cell>
          <cell r="F16" t="str">
            <v>LTG</v>
          </cell>
          <cell r="G16">
            <v>0</v>
          </cell>
          <cell r="H16">
            <v>1</v>
          </cell>
          <cell r="I16">
            <v>0</v>
          </cell>
          <cell r="J16">
            <v>0</v>
          </cell>
          <cell r="L16">
            <v>1</v>
          </cell>
        </row>
        <row r="17">
          <cell r="A17" t="str">
            <v>XEL</v>
          </cell>
          <cell r="B17" t="str">
            <v>NSP</v>
          </cell>
          <cell r="C17" t="str">
            <v>XCEL ENERGY INC</v>
          </cell>
          <cell r="D17">
            <v>20121220</v>
          </cell>
          <cell r="E17" t="str">
            <v>EPS</v>
          </cell>
          <cell r="F17" t="str">
            <v>LTG</v>
          </cell>
          <cell r="G17">
            <v>0</v>
          </cell>
          <cell r="H17">
            <v>4</v>
          </cell>
          <cell r="I17">
            <v>5</v>
          </cell>
          <cell r="J17">
            <v>4.88</v>
          </cell>
          <cell r="K17">
            <v>0.32</v>
          </cell>
          <cell r="L17">
            <v>1</v>
          </cell>
        </row>
        <row r="18">
          <cell r="A18" t="str">
            <v>NU</v>
          </cell>
          <cell r="B18" t="str">
            <v>NU</v>
          </cell>
          <cell r="C18" t="str">
            <v>NORTHEAST UTILS</v>
          </cell>
          <cell r="D18">
            <v>20121220</v>
          </cell>
          <cell r="E18" t="str">
            <v>EPS</v>
          </cell>
          <cell r="F18" t="str">
            <v>LTG</v>
          </cell>
          <cell r="G18">
            <v>0</v>
          </cell>
          <cell r="H18">
            <v>5</v>
          </cell>
          <cell r="I18">
            <v>6</v>
          </cell>
          <cell r="J18">
            <v>5.9</v>
          </cell>
          <cell r="K18">
            <v>1.21</v>
          </cell>
          <cell r="L18">
            <v>1</v>
          </cell>
        </row>
        <row r="19">
          <cell r="A19" t="str">
            <v>NWE</v>
          </cell>
          <cell r="B19" t="str">
            <v>NWPS</v>
          </cell>
          <cell r="C19" t="str">
            <v>NORTHWESTERN CP</v>
          </cell>
          <cell r="D19">
            <v>20121220</v>
          </cell>
          <cell r="E19" t="str">
            <v>EPS</v>
          </cell>
          <cell r="F19" t="str">
            <v>LTG</v>
          </cell>
          <cell r="G19">
            <v>0</v>
          </cell>
          <cell r="H19">
            <v>3</v>
          </cell>
          <cell r="I19">
            <v>5</v>
          </cell>
          <cell r="J19">
            <v>6.67</v>
          </cell>
          <cell r="K19">
            <v>2.89</v>
          </cell>
          <cell r="L19">
            <v>1</v>
          </cell>
        </row>
        <row r="20">
          <cell r="A20" t="str">
            <v>FE</v>
          </cell>
          <cell r="B20" t="str">
            <v>OEC</v>
          </cell>
          <cell r="C20" t="str">
            <v>FIRSTENERGY CORP</v>
          </cell>
          <cell r="D20">
            <v>20121220</v>
          </cell>
          <cell r="E20" t="str">
            <v>EPS</v>
          </cell>
          <cell r="F20" t="str">
            <v>LTG</v>
          </cell>
          <cell r="G20">
            <v>0</v>
          </cell>
          <cell r="H20">
            <v>1</v>
          </cell>
          <cell r="I20">
            <v>4</v>
          </cell>
          <cell r="J20">
            <v>4</v>
          </cell>
          <cell r="L20">
            <v>1</v>
          </cell>
        </row>
        <row r="21">
          <cell r="A21" t="str">
            <v>OGE</v>
          </cell>
          <cell r="B21" t="str">
            <v>OGE</v>
          </cell>
          <cell r="C21" t="str">
            <v>OGE ENERGY CORP</v>
          </cell>
          <cell r="D21">
            <v>20121220</v>
          </cell>
          <cell r="E21" t="str">
            <v>EPS</v>
          </cell>
          <cell r="F21" t="str">
            <v>LTG</v>
          </cell>
          <cell r="G21">
            <v>0</v>
          </cell>
          <cell r="H21">
            <v>3</v>
          </cell>
          <cell r="I21">
            <v>5.0999999999999996</v>
          </cell>
          <cell r="J21">
            <v>5.37</v>
          </cell>
          <cell r="K21">
            <v>0.55000000000000004</v>
          </cell>
          <cell r="L21">
            <v>1</v>
          </cell>
        </row>
        <row r="22">
          <cell r="A22" t="str">
            <v>OTTR</v>
          </cell>
          <cell r="B22" t="str">
            <v>OTTR</v>
          </cell>
          <cell r="C22" t="str">
            <v>OTTER TAIL CORP.</v>
          </cell>
          <cell r="D22">
            <v>20121220</v>
          </cell>
          <cell r="E22" t="str">
            <v>EPS</v>
          </cell>
          <cell r="F22" t="str">
            <v>LTG</v>
          </cell>
          <cell r="G22">
            <v>0</v>
          </cell>
          <cell r="H22">
            <v>1</v>
          </cell>
          <cell r="I22">
            <v>5</v>
          </cell>
          <cell r="J22">
            <v>5</v>
          </cell>
          <cell r="L22">
            <v>1</v>
          </cell>
        </row>
        <row r="23">
          <cell r="A23" t="str">
            <v>PCG</v>
          </cell>
          <cell r="B23" t="str">
            <v>PCG</v>
          </cell>
          <cell r="C23" t="str">
            <v>P G &amp; E CORP</v>
          </cell>
          <cell r="D23">
            <v>20121220</v>
          </cell>
          <cell r="E23" t="str">
            <v>EPS</v>
          </cell>
          <cell r="F23" t="str">
            <v>LTG</v>
          </cell>
          <cell r="G23">
            <v>0</v>
          </cell>
          <cell r="H23">
            <v>2</v>
          </cell>
          <cell r="I23">
            <v>-4.2</v>
          </cell>
          <cell r="J23">
            <v>-4.2</v>
          </cell>
          <cell r="K23">
            <v>0</v>
          </cell>
          <cell r="L23">
            <v>1</v>
          </cell>
        </row>
        <row r="24">
          <cell r="A24" t="str">
            <v>EXC</v>
          </cell>
          <cell r="B24" t="str">
            <v>PE</v>
          </cell>
          <cell r="C24" t="str">
            <v>EXELON CORP</v>
          </cell>
          <cell r="D24">
            <v>20121220</v>
          </cell>
          <cell r="E24" t="str">
            <v>EPS</v>
          </cell>
          <cell r="F24" t="str">
            <v>LTG</v>
          </cell>
          <cell r="G24">
            <v>0</v>
          </cell>
          <cell r="H24">
            <v>2</v>
          </cell>
          <cell r="I24">
            <v>-17.47</v>
          </cell>
          <cell r="J24">
            <v>-17.47</v>
          </cell>
          <cell r="K24">
            <v>1.51</v>
          </cell>
          <cell r="L24">
            <v>1</v>
          </cell>
        </row>
        <row r="25">
          <cell r="A25" t="str">
            <v>PEG</v>
          </cell>
          <cell r="B25" t="str">
            <v>PEG</v>
          </cell>
          <cell r="C25" t="str">
            <v>PUB SVC ENTERS</v>
          </cell>
          <cell r="D25">
            <v>20121220</v>
          </cell>
          <cell r="E25" t="str">
            <v>EPS</v>
          </cell>
          <cell r="F25" t="str">
            <v>LTG</v>
          </cell>
          <cell r="G25">
            <v>0</v>
          </cell>
          <cell r="H25">
            <v>2</v>
          </cell>
          <cell r="I25">
            <v>-1.34</v>
          </cell>
          <cell r="J25">
            <v>-1.34</v>
          </cell>
          <cell r="K25">
            <v>6.14</v>
          </cell>
          <cell r="L25">
            <v>1</v>
          </cell>
        </row>
        <row r="26">
          <cell r="A26" t="str">
            <v>PNM</v>
          </cell>
          <cell r="B26" t="str">
            <v>PNM</v>
          </cell>
          <cell r="C26" t="str">
            <v>PNM RESOURCES</v>
          </cell>
          <cell r="D26">
            <v>20121220</v>
          </cell>
          <cell r="E26" t="str">
            <v>EPS</v>
          </cell>
          <cell r="F26" t="str">
            <v>LTG</v>
          </cell>
          <cell r="G26">
            <v>0</v>
          </cell>
          <cell r="H26">
            <v>2</v>
          </cell>
          <cell r="I26">
            <v>9.3000000000000007</v>
          </cell>
          <cell r="J26">
            <v>9.3000000000000007</v>
          </cell>
          <cell r="K26">
            <v>6.08</v>
          </cell>
          <cell r="L26">
            <v>1</v>
          </cell>
        </row>
        <row r="27">
          <cell r="A27" t="str">
            <v>POM</v>
          </cell>
          <cell r="B27" t="str">
            <v>POM</v>
          </cell>
          <cell r="C27" t="str">
            <v>PEPCO HOLDINGS</v>
          </cell>
          <cell r="D27">
            <v>20121220</v>
          </cell>
          <cell r="E27" t="str">
            <v>EPS</v>
          </cell>
          <cell r="F27" t="str">
            <v>LTG</v>
          </cell>
          <cell r="G27">
            <v>0</v>
          </cell>
          <cell r="H27">
            <v>3</v>
          </cell>
          <cell r="I27">
            <v>4.7</v>
          </cell>
          <cell r="J27">
            <v>5.23</v>
          </cell>
          <cell r="K27">
            <v>1.57</v>
          </cell>
          <cell r="L27">
            <v>1</v>
          </cell>
        </row>
        <row r="28">
          <cell r="A28" t="str">
            <v>POR</v>
          </cell>
          <cell r="B28" t="str">
            <v>PORO</v>
          </cell>
          <cell r="C28" t="str">
            <v>PORTLAND GENERAL</v>
          </cell>
          <cell r="D28">
            <v>20121220</v>
          </cell>
          <cell r="E28" t="str">
            <v>EPS</v>
          </cell>
          <cell r="F28" t="str">
            <v>LTG</v>
          </cell>
          <cell r="G28">
            <v>0</v>
          </cell>
          <cell r="H28">
            <v>2</v>
          </cell>
          <cell r="I28">
            <v>1.98</v>
          </cell>
          <cell r="J28">
            <v>1.98</v>
          </cell>
          <cell r="K28">
            <v>0.46</v>
          </cell>
          <cell r="L28">
            <v>1</v>
          </cell>
        </row>
        <row r="29">
          <cell r="A29" t="str">
            <v>PPL</v>
          </cell>
          <cell r="B29" t="str">
            <v>PPL</v>
          </cell>
          <cell r="C29" t="str">
            <v>PP&amp;L CORP</v>
          </cell>
          <cell r="D29">
            <v>20121220</v>
          </cell>
          <cell r="E29" t="str">
            <v>EPS</v>
          </cell>
          <cell r="F29" t="str">
            <v>LTG</v>
          </cell>
          <cell r="G29">
            <v>0</v>
          </cell>
          <cell r="H29">
            <v>1</v>
          </cell>
          <cell r="I29">
            <v>-8.1999999999999993</v>
          </cell>
          <cell r="J29">
            <v>-8.1999999999999993</v>
          </cell>
          <cell r="L29">
            <v>1</v>
          </cell>
        </row>
        <row r="30">
          <cell r="A30" t="str">
            <v>EIX</v>
          </cell>
          <cell r="B30" t="str">
            <v>SCE</v>
          </cell>
          <cell r="C30" t="str">
            <v>EDISON INTL</v>
          </cell>
          <cell r="D30">
            <v>20121220</v>
          </cell>
          <cell r="E30" t="str">
            <v>EPS</v>
          </cell>
          <cell r="F30" t="str">
            <v>LTG</v>
          </cell>
          <cell r="G30">
            <v>0</v>
          </cell>
          <cell r="H30">
            <v>3</v>
          </cell>
          <cell r="I30">
            <v>1</v>
          </cell>
          <cell r="J30">
            <v>0.93</v>
          </cell>
          <cell r="K30">
            <v>1.5</v>
          </cell>
          <cell r="L30">
            <v>1</v>
          </cell>
        </row>
        <row r="31">
          <cell r="A31" t="str">
            <v>SCG</v>
          </cell>
          <cell r="B31" t="str">
            <v>SCG</v>
          </cell>
          <cell r="C31" t="str">
            <v>SCANA CP</v>
          </cell>
          <cell r="D31">
            <v>20121220</v>
          </cell>
          <cell r="E31" t="str">
            <v>EPS</v>
          </cell>
          <cell r="F31" t="str">
            <v>LTG</v>
          </cell>
          <cell r="G31">
            <v>0</v>
          </cell>
          <cell r="H31">
            <v>3</v>
          </cell>
          <cell r="I31">
            <v>6</v>
          </cell>
          <cell r="J31">
            <v>5.87</v>
          </cell>
          <cell r="K31">
            <v>0.71</v>
          </cell>
          <cell r="L31">
            <v>1</v>
          </cell>
        </row>
        <row r="32">
          <cell r="A32" t="str">
            <v>SRE</v>
          </cell>
          <cell r="B32" t="str">
            <v>SDO</v>
          </cell>
          <cell r="C32" t="str">
            <v>SEMPRA ENERGY</v>
          </cell>
          <cell r="D32">
            <v>20121220</v>
          </cell>
          <cell r="E32" t="str">
            <v>EPS</v>
          </cell>
          <cell r="F32" t="str">
            <v>LTG</v>
          </cell>
          <cell r="G32">
            <v>0</v>
          </cell>
          <cell r="H32">
            <v>1</v>
          </cell>
          <cell r="I32">
            <v>7</v>
          </cell>
          <cell r="J32">
            <v>7</v>
          </cell>
          <cell r="L32">
            <v>1</v>
          </cell>
        </row>
        <row r="33">
          <cell r="A33" t="str">
            <v>SO</v>
          </cell>
          <cell r="B33" t="str">
            <v>SO</v>
          </cell>
          <cell r="C33" t="str">
            <v>SOUTHN CO</v>
          </cell>
          <cell r="D33">
            <v>20121220</v>
          </cell>
          <cell r="E33" t="str">
            <v>EPS</v>
          </cell>
          <cell r="F33" t="str">
            <v>LTG</v>
          </cell>
          <cell r="G33">
            <v>0</v>
          </cell>
          <cell r="H33">
            <v>5</v>
          </cell>
          <cell r="I33">
            <v>4.9800000000000004</v>
          </cell>
          <cell r="J33">
            <v>4.9400000000000004</v>
          </cell>
          <cell r="K33">
            <v>0.09</v>
          </cell>
          <cell r="L33">
            <v>1</v>
          </cell>
        </row>
        <row r="34">
          <cell r="A34" t="str">
            <v>TE</v>
          </cell>
          <cell r="B34" t="str">
            <v>TE</v>
          </cell>
          <cell r="C34" t="str">
            <v>TECO ENERGY INC</v>
          </cell>
          <cell r="D34">
            <v>20121220</v>
          </cell>
          <cell r="E34" t="str">
            <v>EPS</v>
          </cell>
          <cell r="F34" t="str">
            <v>LTG</v>
          </cell>
          <cell r="G34">
            <v>0</v>
          </cell>
          <cell r="H34">
            <v>1</v>
          </cell>
          <cell r="I34">
            <v>3</v>
          </cell>
          <cell r="J34">
            <v>3</v>
          </cell>
          <cell r="L34">
            <v>1</v>
          </cell>
        </row>
        <row r="35">
          <cell r="A35" t="str">
            <v>AEE</v>
          </cell>
          <cell r="B35" t="str">
            <v>UEP</v>
          </cell>
          <cell r="C35" t="str">
            <v>AMEREN CP</v>
          </cell>
          <cell r="D35">
            <v>20121220</v>
          </cell>
          <cell r="E35" t="str">
            <v>EPS</v>
          </cell>
          <cell r="F35" t="str">
            <v>LTG</v>
          </cell>
          <cell r="G35">
            <v>0</v>
          </cell>
          <cell r="H35">
            <v>1</v>
          </cell>
          <cell r="I35">
            <v>-6.4</v>
          </cell>
          <cell r="J35">
            <v>-6.4</v>
          </cell>
          <cell r="L35">
            <v>1</v>
          </cell>
        </row>
        <row r="36">
          <cell r="A36" t="str">
            <v>WEC</v>
          </cell>
          <cell r="B36" t="str">
            <v>WPC</v>
          </cell>
          <cell r="C36" t="str">
            <v>WISCONSIN ENERGY</v>
          </cell>
          <cell r="D36">
            <v>20121220</v>
          </cell>
          <cell r="E36" t="str">
            <v>EPS</v>
          </cell>
          <cell r="F36" t="str">
            <v>LTG</v>
          </cell>
          <cell r="G36">
            <v>0</v>
          </cell>
          <cell r="H36">
            <v>3</v>
          </cell>
          <cell r="I36">
            <v>5</v>
          </cell>
          <cell r="J36">
            <v>5.7</v>
          </cell>
          <cell r="K36">
            <v>1.21</v>
          </cell>
          <cell r="L36">
            <v>1</v>
          </cell>
        </row>
        <row r="37">
          <cell r="A37" t="str">
            <v>LNT</v>
          </cell>
          <cell r="B37" t="str">
            <v>WPL</v>
          </cell>
          <cell r="C37" t="str">
            <v>ALLIANT ENER</v>
          </cell>
          <cell r="D37">
            <v>20121220</v>
          </cell>
          <cell r="E37" t="str">
            <v>EPS</v>
          </cell>
          <cell r="F37" t="str">
            <v>LTG</v>
          </cell>
          <cell r="G37">
            <v>0</v>
          </cell>
          <cell r="H37">
            <v>1</v>
          </cell>
          <cell r="I37">
            <v>4.5999999999999996</v>
          </cell>
          <cell r="J37">
            <v>4.5999999999999996</v>
          </cell>
          <cell r="L37">
            <v>1</v>
          </cell>
        </row>
        <row r="38">
          <cell r="A38" t="str">
            <v>PPL</v>
          </cell>
          <cell r="B38" t="str">
            <v>@1XJ</v>
          </cell>
          <cell r="C38" t="str">
            <v>PUMPKIN PATCH LT</v>
          </cell>
          <cell r="D38">
            <v>20121220</v>
          </cell>
          <cell r="E38" t="str">
            <v>EPS</v>
          </cell>
          <cell r="F38" t="str">
            <v>LTG</v>
          </cell>
          <cell r="G38">
            <v>0</v>
          </cell>
          <cell r="H38">
            <v>1</v>
          </cell>
          <cell r="I38">
            <v>17</v>
          </cell>
          <cell r="J38">
            <v>17</v>
          </cell>
          <cell r="L38">
            <v>0</v>
          </cell>
        </row>
        <row r="39">
          <cell r="A39" t="str">
            <v>PPL</v>
          </cell>
          <cell r="B39" t="str">
            <v>@1Z1</v>
          </cell>
          <cell r="C39" t="str">
            <v>PPL</v>
          </cell>
          <cell r="D39">
            <v>20121220</v>
          </cell>
          <cell r="E39" t="str">
            <v>EPS</v>
          </cell>
          <cell r="F39" t="str">
            <v>LTG</v>
          </cell>
          <cell r="G39">
            <v>0</v>
          </cell>
          <cell r="H39">
            <v>1</v>
          </cell>
          <cell r="I39">
            <v>12.7</v>
          </cell>
          <cell r="J39">
            <v>12.7</v>
          </cell>
          <cell r="L39">
            <v>0</v>
          </cell>
        </row>
        <row r="40">
          <cell r="A40" t="str">
            <v>EAS</v>
          </cell>
          <cell r="B40" t="str">
            <v>@AAME</v>
          </cell>
          <cell r="C40" t="str">
            <v>ENERGY ASSETS GR</v>
          </cell>
          <cell r="D40">
            <v>20121220</v>
          </cell>
          <cell r="E40" t="str">
            <v>EPS</v>
          </cell>
          <cell r="F40" t="str">
            <v>LTG</v>
          </cell>
          <cell r="G40">
            <v>0</v>
          </cell>
          <cell r="H40">
            <v>1</v>
          </cell>
          <cell r="I40">
            <v>30</v>
          </cell>
          <cell r="J40">
            <v>30</v>
          </cell>
          <cell r="L40">
            <v>0</v>
          </cell>
        </row>
        <row r="41">
          <cell r="A41" t="str">
            <v>CNP</v>
          </cell>
          <cell r="B41" t="str">
            <v>@CN0</v>
          </cell>
          <cell r="C41" t="str">
            <v>CNP ASSURANCES</v>
          </cell>
          <cell r="D41">
            <v>20121220</v>
          </cell>
          <cell r="E41" t="str">
            <v>EPS</v>
          </cell>
          <cell r="F41" t="str">
            <v>LTG</v>
          </cell>
          <cell r="G41">
            <v>0</v>
          </cell>
          <cell r="H41">
            <v>2</v>
          </cell>
          <cell r="I41">
            <v>3.1</v>
          </cell>
          <cell r="J41">
            <v>3.1</v>
          </cell>
          <cell r="K41">
            <v>1.98</v>
          </cell>
          <cell r="L41">
            <v>0</v>
          </cell>
        </row>
        <row r="42">
          <cell r="A42" t="str">
            <v>SO</v>
          </cell>
          <cell r="B42" t="str">
            <v>@DAM</v>
          </cell>
          <cell r="C42" t="str">
            <v>SOMFY</v>
          </cell>
          <cell r="D42">
            <v>20121220</v>
          </cell>
          <cell r="E42" t="str">
            <v>EPS</v>
          </cell>
          <cell r="F42" t="str">
            <v>LTG</v>
          </cell>
          <cell r="G42">
            <v>0</v>
          </cell>
          <cell r="H42">
            <v>1</v>
          </cell>
          <cell r="I42">
            <v>4</v>
          </cell>
          <cell r="J42">
            <v>4</v>
          </cell>
          <cell r="L42">
            <v>0</v>
          </cell>
        </row>
        <row r="43">
          <cell r="A43" t="str">
            <v>DTE</v>
          </cell>
          <cell r="B43" t="str">
            <v>@DT</v>
          </cell>
          <cell r="C43" t="str">
            <v>DEUTSCHE TELEKOM</v>
          </cell>
          <cell r="D43">
            <v>20121220</v>
          </cell>
          <cell r="E43" t="str">
            <v>EPS</v>
          </cell>
          <cell r="F43" t="str">
            <v>LTG</v>
          </cell>
          <cell r="G43">
            <v>0</v>
          </cell>
          <cell r="H43">
            <v>9</v>
          </cell>
          <cell r="I43">
            <v>8.6999999999999993</v>
          </cell>
          <cell r="J43">
            <v>11.02</v>
          </cell>
          <cell r="K43">
            <v>16.11</v>
          </cell>
          <cell r="L43">
            <v>0</v>
          </cell>
        </row>
        <row r="44">
          <cell r="A44" t="str">
            <v>PGN</v>
          </cell>
          <cell r="B44" t="str">
            <v>@J5W</v>
          </cell>
          <cell r="C44" t="str">
            <v>POLISH OIL &amp; GAS</v>
          </cell>
          <cell r="D44">
            <v>20121220</v>
          </cell>
          <cell r="E44" t="str">
            <v>EPS</v>
          </cell>
          <cell r="F44" t="str">
            <v>LTG</v>
          </cell>
          <cell r="G44">
            <v>0</v>
          </cell>
          <cell r="H44">
            <v>2</v>
          </cell>
          <cell r="I44">
            <v>22.8</v>
          </cell>
          <cell r="J44">
            <v>22.8</v>
          </cell>
          <cell r="K44">
            <v>1.98</v>
          </cell>
          <cell r="L44">
            <v>0</v>
          </cell>
        </row>
        <row r="45">
          <cell r="A45" t="str">
            <v>DTE</v>
          </cell>
          <cell r="B45" t="str">
            <v>@L64</v>
          </cell>
          <cell r="C45" t="str">
            <v>DART ENERGY</v>
          </cell>
          <cell r="D45">
            <v>20121220</v>
          </cell>
          <cell r="E45" t="str">
            <v>EPS</v>
          </cell>
          <cell r="F45" t="str">
            <v>LTG</v>
          </cell>
          <cell r="G45">
            <v>0</v>
          </cell>
          <cell r="H45">
            <v>1</v>
          </cell>
          <cell r="I45">
            <v>-13.33</v>
          </cell>
          <cell r="J45">
            <v>-13.33</v>
          </cell>
          <cell r="L45">
            <v>0</v>
          </cell>
        </row>
        <row r="46">
          <cell r="A46" t="str">
            <v>PPL</v>
          </cell>
          <cell r="B46" t="str">
            <v>PIF1</v>
          </cell>
          <cell r="C46" t="str">
            <v>PEMBINA PIPELINE</v>
          </cell>
          <cell r="D46">
            <v>20121220</v>
          </cell>
          <cell r="E46" t="str">
            <v>EPS</v>
          </cell>
          <cell r="F46" t="str">
            <v>LTG</v>
          </cell>
          <cell r="G46">
            <v>0</v>
          </cell>
          <cell r="H46">
            <v>1</v>
          </cell>
          <cell r="I46">
            <v>-3.9</v>
          </cell>
          <cell r="J46">
            <v>-3.9</v>
          </cell>
          <cell r="L46">
            <v>0</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RDS"/>
    </sheetNames>
    <sheetDataSet>
      <sheetData sheetId="0">
        <row r="1">
          <cell r="B1" t="str">
            <v>Official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Forecast Period End Date (SAS Format)</v>
          </cell>
          <cell r="M1" t="str">
            <v>Actual Value, from the Detail Actuals File</v>
          </cell>
          <cell r="N1" t="str">
            <v>Announce date of the Actual, from the Detail Actuals File</v>
          </cell>
        </row>
        <row r="2">
          <cell r="B2" t="str">
            <v>GAS</v>
          </cell>
          <cell r="C2" t="str">
            <v>AGL RESOURCES</v>
          </cell>
          <cell r="D2">
            <v>20121220</v>
          </cell>
          <cell r="E2" t="str">
            <v>EPS</v>
          </cell>
          <cell r="F2" t="str">
            <v>ANN</v>
          </cell>
          <cell r="G2">
            <v>1</v>
          </cell>
          <cell r="H2">
            <v>8</v>
          </cell>
          <cell r="I2">
            <v>2.66</v>
          </cell>
          <cell r="J2">
            <v>2.66</v>
          </cell>
          <cell r="K2">
            <v>0.05</v>
          </cell>
          <cell r="L2">
            <v>20121231</v>
          </cell>
          <cell r="M2">
            <v>2.46</v>
          </cell>
          <cell r="N2">
            <v>20130206</v>
          </cell>
        </row>
        <row r="3">
          <cell r="B3" t="str">
            <v>CPK</v>
          </cell>
          <cell r="C3" t="str">
            <v>CHESAPEAKE UTIL</v>
          </cell>
          <cell r="D3">
            <v>20121220</v>
          </cell>
          <cell r="E3" t="str">
            <v>EPS</v>
          </cell>
          <cell r="F3" t="str">
            <v>ANN</v>
          </cell>
          <cell r="G3">
            <v>1</v>
          </cell>
          <cell r="H3">
            <v>4</v>
          </cell>
          <cell r="I3">
            <v>1.88</v>
          </cell>
          <cell r="J3">
            <v>1.89</v>
          </cell>
          <cell r="K3">
            <v>0.05</v>
          </cell>
          <cell r="L3">
            <v>20121231</v>
          </cell>
          <cell r="M3">
            <v>1.9933000000000001</v>
          </cell>
          <cell r="N3">
            <v>20130307</v>
          </cell>
        </row>
        <row r="4">
          <cell r="B4" t="str">
            <v>ATO</v>
          </cell>
          <cell r="C4" t="str">
            <v>ATMOS ENERGY CP</v>
          </cell>
          <cell r="D4">
            <v>20121220</v>
          </cell>
          <cell r="E4" t="str">
            <v>EPS</v>
          </cell>
          <cell r="F4" t="str">
            <v>ANN</v>
          </cell>
          <cell r="G4">
            <v>1</v>
          </cell>
          <cell r="H4">
            <v>8</v>
          </cell>
          <cell r="I4">
            <v>2.44</v>
          </cell>
          <cell r="J4">
            <v>2.4300000000000002</v>
          </cell>
          <cell r="K4">
            <v>7.0000000000000007E-2</v>
          </cell>
          <cell r="L4">
            <v>20130930</v>
          </cell>
          <cell r="M4">
            <v>2.5299999999999998</v>
          </cell>
          <cell r="N4">
            <v>20131106</v>
          </cell>
        </row>
        <row r="5">
          <cell r="B5" t="str">
            <v>LG</v>
          </cell>
          <cell r="C5" t="str">
            <v>LACLEDE GROUP</v>
          </cell>
          <cell r="D5">
            <v>20121220</v>
          </cell>
          <cell r="E5" t="str">
            <v>EPS</v>
          </cell>
          <cell r="F5" t="str">
            <v>ANN</v>
          </cell>
          <cell r="G5">
            <v>1</v>
          </cell>
          <cell r="H5">
            <v>4</v>
          </cell>
          <cell r="I5">
            <v>2.79</v>
          </cell>
          <cell r="J5">
            <v>2.8</v>
          </cell>
          <cell r="K5">
            <v>0.05</v>
          </cell>
          <cell r="L5">
            <v>20130930</v>
          </cell>
          <cell r="M5">
            <v>2.87</v>
          </cell>
          <cell r="N5">
            <v>20131126</v>
          </cell>
        </row>
        <row r="6">
          <cell r="B6" t="str">
            <v>NI</v>
          </cell>
          <cell r="C6" t="str">
            <v>NISOURCE INC</v>
          </cell>
          <cell r="D6">
            <v>20121220</v>
          </cell>
          <cell r="E6" t="str">
            <v>EPS</v>
          </cell>
          <cell r="F6" t="str">
            <v>ANN</v>
          </cell>
          <cell r="G6">
            <v>1</v>
          </cell>
          <cell r="H6">
            <v>8</v>
          </cell>
          <cell r="I6">
            <v>1.45</v>
          </cell>
          <cell r="J6">
            <v>1.45</v>
          </cell>
          <cell r="K6">
            <v>0.01</v>
          </cell>
          <cell r="L6">
            <v>20121231</v>
          </cell>
          <cell r="M6">
            <v>1.42</v>
          </cell>
          <cell r="N6">
            <v>20130219</v>
          </cell>
        </row>
        <row r="7">
          <cell r="B7" t="str">
            <v>NJR</v>
          </cell>
          <cell r="C7" t="str">
            <v>NEW JERSEY RES</v>
          </cell>
          <cell r="D7">
            <v>20121220</v>
          </cell>
          <cell r="E7" t="str">
            <v>EPS</v>
          </cell>
          <cell r="F7" t="str">
            <v>ANN</v>
          </cell>
          <cell r="G7">
            <v>1</v>
          </cell>
          <cell r="H7">
            <v>6</v>
          </cell>
          <cell r="I7">
            <v>1.26</v>
          </cell>
          <cell r="J7">
            <v>1.27</v>
          </cell>
          <cell r="K7">
            <v>0.12</v>
          </cell>
          <cell r="L7">
            <v>20130930</v>
          </cell>
          <cell r="M7">
            <v>1.36</v>
          </cell>
          <cell r="N7">
            <v>20131125</v>
          </cell>
        </row>
        <row r="8">
          <cell r="B8" t="str">
            <v>NWN</v>
          </cell>
          <cell r="C8" t="str">
            <v>NW NATURAL GAS</v>
          </cell>
          <cell r="D8">
            <v>20121220</v>
          </cell>
          <cell r="E8" t="str">
            <v>EPS</v>
          </cell>
          <cell r="F8" t="str">
            <v>ANN</v>
          </cell>
          <cell r="G8">
            <v>1</v>
          </cell>
          <cell r="H8">
            <v>4</v>
          </cell>
          <cell r="I8">
            <v>2.34</v>
          </cell>
          <cell r="J8">
            <v>2.34</v>
          </cell>
          <cell r="K8">
            <v>0.05</v>
          </cell>
          <cell r="L8">
            <v>20121231</v>
          </cell>
          <cell r="M8">
            <v>2.3199999999999998</v>
          </cell>
          <cell r="N8">
            <v>20130301</v>
          </cell>
        </row>
        <row r="9">
          <cell r="B9" t="str">
            <v>PNY</v>
          </cell>
          <cell r="C9" t="str">
            <v>PIEDMONT NAT GAS</v>
          </cell>
          <cell r="D9">
            <v>20121220</v>
          </cell>
          <cell r="E9" t="str">
            <v>EPS</v>
          </cell>
          <cell r="F9" t="str">
            <v>ANN</v>
          </cell>
          <cell r="G9">
            <v>1</v>
          </cell>
          <cell r="H9">
            <v>7</v>
          </cell>
          <cell r="I9">
            <v>1.62</v>
          </cell>
          <cell r="J9">
            <v>1.62</v>
          </cell>
          <cell r="K9">
            <v>0.01</v>
          </cell>
          <cell r="L9">
            <v>20121031</v>
          </cell>
          <cell r="M9">
            <v>1.66</v>
          </cell>
          <cell r="N9">
            <v>20121221</v>
          </cell>
        </row>
        <row r="10">
          <cell r="B10" t="str">
            <v>SJI</v>
          </cell>
          <cell r="C10" t="str">
            <v>SO JERSEY INDS</v>
          </cell>
          <cell r="D10">
            <v>20121220</v>
          </cell>
          <cell r="E10" t="str">
            <v>EPS</v>
          </cell>
          <cell r="F10" t="str">
            <v>ANN</v>
          </cell>
          <cell r="G10">
            <v>1</v>
          </cell>
          <cell r="H10">
            <v>3</v>
          </cell>
          <cell r="I10">
            <v>1.55</v>
          </cell>
          <cell r="J10">
            <v>1.55</v>
          </cell>
          <cell r="K10">
            <v>0.01</v>
          </cell>
          <cell r="L10">
            <v>20121231</v>
          </cell>
          <cell r="M10">
            <v>1.5149999999999999</v>
          </cell>
          <cell r="N10">
            <v>20130228</v>
          </cell>
        </row>
        <row r="11">
          <cell r="B11" t="str">
            <v>SWX</v>
          </cell>
          <cell r="C11" t="str">
            <v>SOUTHWEST GAS</v>
          </cell>
          <cell r="D11">
            <v>20121220</v>
          </cell>
          <cell r="E11" t="str">
            <v>EPS</v>
          </cell>
          <cell r="F11" t="str">
            <v>ANN</v>
          </cell>
          <cell r="G11">
            <v>1</v>
          </cell>
          <cell r="H11">
            <v>5</v>
          </cell>
          <cell r="I11">
            <v>2.6</v>
          </cell>
          <cell r="J11">
            <v>2.64</v>
          </cell>
          <cell r="K11">
            <v>0.08</v>
          </cell>
          <cell r="L11">
            <v>20121231</v>
          </cell>
          <cell r="M11">
            <v>2.72</v>
          </cell>
          <cell r="N11">
            <v>20130226</v>
          </cell>
        </row>
        <row r="12">
          <cell r="B12" t="str">
            <v>WGL</v>
          </cell>
          <cell r="C12" t="str">
            <v>WGL HOLDING INC</v>
          </cell>
          <cell r="D12">
            <v>20121220</v>
          </cell>
          <cell r="E12" t="str">
            <v>EPS</v>
          </cell>
          <cell r="F12" t="str">
            <v>ANN</v>
          </cell>
          <cell r="G12">
            <v>1</v>
          </cell>
          <cell r="H12">
            <v>5</v>
          </cell>
          <cell r="I12">
            <v>2.4500000000000002</v>
          </cell>
          <cell r="J12">
            <v>2.46</v>
          </cell>
          <cell r="K12">
            <v>0.03</v>
          </cell>
          <cell r="L12">
            <v>20130930</v>
          </cell>
          <cell r="M12">
            <v>2.31</v>
          </cell>
          <cell r="N12">
            <v>20131113</v>
          </cell>
        </row>
        <row r="13">
          <cell r="B13" t="str">
            <v>PEC</v>
          </cell>
          <cell r="C13" t="str">
            <v>PEC LTD</v>
          </cell>
          <cell r="D13">
            <v>20121220</v>
          </cell>
          <cell r="E13" t="str">
            <v>EPS</v>
          </cell>
          <cell r="F13" t="str">
            <v>ANN</v>
          </cell>
          <cell r="G13">
            <v>1</v>
          </cell>
          <cell r="H13">
            <v>2</v>
          </cell>
          <cell r="I13">
            <v>5.8999999999999997E-2</v>
          </cell>
          <cell r="J13">
            <v>5.8999999999999997E-2</v>
          </cell>
          <cell r="K13">
            <v>1E-3</v>
          </cell>
          <cell r="L13">
            <v>20130630</v>
          </cell>
          <cell r="N13">
            <v>20130821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RDS"/>
    </sheetNames>
    <sheetDataSet>
      <sheetData sheetId="0">
        <row r="1">
          <cell r="A1" t="str">
            <v>OFTIC</v>
          </cell>
          <cell r="B1" t="str">
            <v>IBES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USFIRM=0 if from .INT file and USFIRM=1 if from .US file</v>
          </cell>
          <cell r="L1" t="str">
            <v>Forecast Period End Date (SAS Format)</v>
          </cell>
          <cell r="M1" t="str">
            <v>Actual Value, from the Detail Actuals File</v>
          </cell>
          <cell r="N1" t="str">
            <v>Announce date of the Actual, from the Detail Actuals File</v>
          </cell>
        </row>
        <row r="2">
          <cell r="A2" t="str">
            <v>AGR</v>
          </cell>
          <cell r="B2" t="str">
            <v>00YE</v>
          </cell>
          <cell r="C2" t="str">
            <v>AVANGRID</v>
          </cell>
          <cell r="D2">
            <v>20161215</v>
          </cell>
          <cell r="E2" t="str">
            <v>EPS</v>
          </cell>
          <cell r="F2" t="str">
            <v>ANN</v>
          </cell>
          <cell r="G2">
            <v>1</v>
          </cell>
          <cell r="H2">
            <v>5</v>
          </cell>
          <cell r="I2">
            <v>1.99</v>
          </cell>
          <cell r="J2">
            <v>1.98</v>
          </cell>
          <cell r="K2">
            <v>1</v>
          </cell>
          <cell r="L2">
            <v>20161231</v>
          </cell>
          <cell r="M2">
            <v>2.0699999999999998</v>
          </cell>
          <cell r="N2">
            <v>20170221</v>
          </cell>
        </row>
        <row r="3">
          <cell r="A3" t="str">
            <v>PNW</v>
          </cell>
          <cell r="B3" t="str">
            <v>AZP</v>
          </cell>
          <cell r="C3" t="str">
            <v>PINNACLE WEST</v>
          </cell>
          <cell r="D3">
            <v>20161215</v>
          </cell>
          <cell r="E3" t="str">
            <v>EPS</v>
          </cell>
          <cell r="F3" t="str">
            <v>ANN</v>
          </cell>
          <cell r="G3">
            <v>1</v>
          </cell>
          <cell r="H3">
            <v>17</v>
          </cell>
          <cell r="I3">
            <v>3.95</v>
          </cell>
          <cell r="J3">
            <v>3.96</v>
          </cell>
          <cell r="K3">
            <v>1</v>
          </cell>
          <cell r="L3">
            <v>20161231</v>
          </cell>
          <cell r="M3">
            <v>3.95</v>
          </cell>
          <cell r="N3">
            <v>20170224</v>
          </cell>
        </row>
        <row r="4">
          <cell r="A4" t="str">
            <v>BKH</v>
          </cell>
          <cell r="B4" t="str">
            <v>BHP</v>
          </cell>
          <cell r="C4" t="str">
            <v>BLACK HILLS CP</v>
          </cell>
          <cell r="D4">
            <v>20161215</v>
          </cell>
          <cell r="E4" t="str">
            <v>EPS</v>
          </cell>
          <cell r="F4" t="str">
            <v>ANN</v>
          </cell>
          <cell r="G4">
            <v>1</v>
          </cell>
          <cell r="H4">
            <v>6</v>
          </cell>
          <cell r="I4">
            <v>3.04</v>
          </cell>
          <cell r="J4">
            <v>3.02</v>
          </cell>
          <cell r="K4">
            <v>1</v>
          </cell>
          <cell r="L4">
            <v>20161231</v>
          </cell>
          <cell r="M4">
            <v>3.19</v>
          </cell>
          <cell r="N4">
            <v>20170201</v>
          </cell>
        </row>
        <row r="5">
          <cell r="A5" t="str">
            <v>CMS</v>
          </cell>
          <cell r="B5" t="str">
            <v>CMS</v>
          </cell>
          <cell r="C5" t="str">
            <v>CMS ENERGY</v>
          </cell>
          <cell r="D5">
            <v>20161215</v>
          </cell>
          <cell r="E5" t="str">
            <v>EPS</v>
          </cell>
          <cell r="F5" t="str">
            <v>ANN</v>
          </cell>
          <cell r="G5">
            <v>1</v>
          </cell>
          <cell r="H5">
            <v>16</v>
          </cell>
          <cell r="I5">
            <v>2.02</v>
          </cell>
          <cell r="J5">
            <v>2.02</v>
          </cell>
          <cell r="K5">
            <v>1</v>
          </cell>
          <cell r="L5">
            <v>20161231</v>
          </cell>
          <cell r="M5">
            <v>2.02</v>
          </cell>
          <cell r="N5">
            <v>20170202</v>
          </cell>
        </row>
        <row r="6">
          <cell r="A6" t="str">
            <v>D</v>
          </cell>
          <cell r="B6" t="str">
            <v>D</v>
          </cell>
          <cell r="C6" t="str">
            <v>DOMINION RESOURC</v>
          </cell>
          <cell r="D6">
            <v>20161215</v>
          </cell>
          <cell r="E6" t="str">
            <v>EPS</v>
          </cell>
          <cell r="F6" t="str">
            <v>ANN</v>
          </cell>
          <cell r="G6">
            <v>1</v>
          </cell>
          <cell r="H6">
            <v>13</v>
          </cell>
          <cell r="I6">
            <v>3.8</v>
          </cell>
          <cell r="J6">
            <v>3.8</v>
          </cell>
          <cell r="K6">
            <v>1</v>
          </cell>
          <cell r="L6">
            <v>20161231</v>
          </cell>
          <cell r="M6">
            <v>3.8</v>
          </cell>
          <cell r="N6">
            <v>20170201</v>
          </cell>
        </row>
        <row r="7">
          <cell r="A7" t="str">
            <v>DTE</v>
          </cell>
          <cell r="B7" t="str">
            <v>DTE</v>
          </cell>
          <cell r="C7" t="str">
            <v>DTE ENERGY</v>
          </cell>
          <cell r="D7">
            <v>20161215</v>
          </cell>
          <cell r="E7" t="str">
            <v>EPS</v>
          </cell>
          <cell r="F7" t="str">
            <v>ANN</v>
          </cell>
          <cell r="G7">
            <v>1</v>
          </cell>
          <cell r="H7">
            <v>13</v>
          </cell>
          <cell r="I7">
            <v>5.27</v>
          </cell>
          <cell r="J7">
            <v>5.28</v>
          </cell>
          <cell r="K7">
            <v>1</v>
          </cell>
          <cell r="L7">
            <v>20161231</v>
          </cell>
          <cell r="M7">
            <v>5.28</v>
          </cell>
          <cell r="N7">
            <v>20170209</v>
          </cell>
        </row>
        <row r="8">
          <cell r="A8" t="str">
            <v>DUK</v>
          </cell>
          <cell r="B8" t="str">
            <v>DUK</v>
          </cell>
          <cell r="C8" t="str">
            <v>DUKE ENERGY</v>
          </cell>
          <cell r="D8">
            <v>20161215</v>
          </cell>
          <cell r="E8" t="str">
            <v>EPS</v>
          </cell>
          <cell r="F8" t="str">
            <v>ANN</v>
          </cell>
          <cell r="G8">
            <v>1</v>
          </cell>
          <cell r="H8">
            <v>15</v>
          </cell>
          <cell r="I8">
            <v>4.6900000000000004</v>
          </cell>
          <cell r="J8">
            <v>4.68</v>
          </cell>
          <cell r="K8">
            <v>1</v>
          </cell>
          <cell r="L8">
            <v>20161231</v>
          </cell>
          <cell r="M8">
            <v>4.6900000000000004</v>
          </cell>
          <cell r="N8">
            <v>20170216</v>
          </cell>
        </row>
        <row r="9">
          <cell r="A9" t="str">
            <v>ED</v>
          </cell>
          <cell r="B9" t="str">
            <v>ED</v>
          </cell>
          <cell r="C9" t="str">
            <v>CONSOLIDATED EDI</v>
          </cell>
          <cell r="D9">
            <v>20161215</v>
          </cell>
          <cell r="E9" t="str">
            <v>EPS</v>
          </cell>
          <cell r="F9" t="str">
            <v>ANN</v>
          </cell>
          <cell r="G9">
            <v>1</v>
          </cell>
          <cell r="H9">
            <v>16</v>
          </cell>
          <cell r="I9">
            <v>3.95</v>
          </cell>
          <cell r="J9">
            <v>3.95</v>
          </cell>
          <cell r="K9">
            <v>1</v>
          </cell>
          <cell r="L9">
            <v>20161231</v>
          </cell>
          <cell r="M9">
            <v>3.96</v>
          </cell>
          <cell r="N9">
            <v>20170216</v>
          </cell>
        </row>
        <row r="10">
          <cell r="A10" t="str">
            <v>EDE</v>
          </cell>
          <cell r="B10" t="str">
            <v>EDE</v>
          </cell>
          <cell r="C10" t="str">
            <v>EMPIRE DIST ELEC</v>
          </cell>
          <cell r="D10">
            <v>20161215</v>
          </cell>
          <cell r="E10" t="str">
            <v>EPS</v>
          </cell>
          <cell r="F10" t="str">
            <v>ANN</v>
          </cell>
          <cell r="G10">
            <v>1</v>
          </cell>
          <cell r="H10">
            <v>2</v>
          </cell>
          <cell r="I10">
            <v>1.48</v>
          </cell>
          <cell r="J10">
            <v>1.48</v>
          </cell>
          <cell r="K10">
            <v>1</v>
          </cell>
          <cell r="L10">
            <v>20161231</v>
          </cell>
        </row>
        <row r="11">
          <cell r="A11" t="str">
            <v>NEE</v>
          </cell>
          <cell r="B11" t="str">
            <v>FPL</v>
          </cell>
          <cell r="C11" t="str">
            <v>NEXTERA</v>
          </cell>
          <cell r="D11">
            <v>20161215</v>
          </cell>
          <cell r="E11" t="str">
            <v>EPS</v>
          </cell>
          <cell r="F11" t="str">
            <v>ANN</v>
          </cell>
          <cell r="G11">
            <v>1</v>
          </cell>
          <cell r="H11">
            <v>18</v>
          </cell>
          <cell r="I11">
            <v>1.55</v>
          </cell>
          <cell r="J11">
            <v>1.55</v>
          </cell>
          <cell r="K11">
            <v>1</v>
          </cell>
          <cell r="L11">
            <v>20161231</v>
          </cell>
          <cell r="M11">
            <v>1.5475000000000001</v>
          </cell>
          <cell r="N11">
            <v>20170127</v>
          </cell>
        </row>
        <row r="12">
          <cell r="A12" t="str">
            <v>HE</v>
          </cell>
          <cell r="B12" t="str">
            <v>HE</v>
          </cell>
          <cell r="C12" t="str">
            <v>HAWAIIAN ELEC</v>
          </cell>
          <cell r="D12">
            <v>20161215</v>
          </cell>
          <cell r="E12" t="str">
            <v>EPS</v>
          </cell>
          <cell r="F12" t="str">
            <v>ANN</v>
          </cell>
          <cell r="G12">
            <v>1</v>
          </cell>
          <cell r="H12">
            <v>7</v>
          </cell>
          <cell r="I12">
            <v>1.75</v>
          </cell>
          <cell r="J12">
            <v>1.73</v>
          </cell>
          <cell r="K12">
            <v>1</v>
          </cell>
          <cell r="L12">
            <v>20161231</v>
          </cell>
          <cell r="M12">
            <v>1.75</v>
          </cell>
          <cell r="N12">
            <v>20170214</v>
          </cell>
        </row>
        <row r="13">
          <cell r="A13" t="str">
            <v>CNP</v>
          </cell>
          <cell r="B13" t="str">
            <v>HOU</v>
          </cell>
          <cell r="C13" t="str">
            <v>CENTERPNT ENERGY</v>
          </cell>
          <cell r="D13">
            <v>20161215</v>
          </cell>
          <cell r="E13" t="str">
            <v>EPS</v>
          </cell>
          <cell r="F13" t="str">
            <v>ANN</v>
          </cell>
          <cell r="G13">
            <v>1</v>
          </cell>
          <cell r="H13">
            <v>14</v>
          </cell>
          <cell r="I13">
            <v>1.19</v>
          </cell>
          <cell r="J13">
            <v>1.18</v>
          </cell>
          <cell r="K13">
            <v>1</v>
          </cell>
          <cell r="L13">
            <v>20161231</v>
          </cell>
          <cell r="M13">
            <v>1.1599999999999999</v>
          </cell>
          <cell r="N13">
            <v>20170228</v>
          </cell>
        </row>
        <row r="14">
          <cell r="A14" t="str">
            <v>IDA</v>
          </cell>
          <cell r="B14" t="str">
            <v>IDA</v>
          </cell>
          <cell r="C14" t="str">
            <v>IDACORP INC.</v>
          </cell>
          <cell r="D14">
            <v>20161215</v>
          </cell>
          <cell r="E14" t="str">
            <v>EPS</v>
          </cell>
          <cell r="F14" t="str">
            <v>ANN</v>
          </cell>
          <cell r="G14">
            <v>1</v>
          </cell>
          <cell r="H14">
            <v>3</v>
          </cell>
          <cell r="I14">
            <v>3.89</v>
          </cell>
          <cell r="J14">
            <v>3.89</v>
          </cell>
          <cell r="K14">
            <v>1</v>
          </cell>
          <cell r="L14">
            <v>20161231</v>
          </cell>
          <cell r="M14">
            <v>3.94</v>
          </cell>
          <cell r="N14">
            <v>20170223</v>
          </cell>
        </row>
        <row r="15">
          <cell r="A15" t="str">
            <v>WR</v>
          </cell>
          <cell r="B15" t="str">
            <v>KAN</v>
          </cell>
          <cell r="C15" t="str">
            <v>WESTAR ENERGY</v>
          </cell>
          <cell r="D15">
            <v>20161215</v>
          </cell>
          <cell r="E15" t="str">
            <v>EPS</v>
          </cell>
          <cell r="F15" t="str">
            <v>ANN</v>
          </cell>
          <cell r="G15">
            <v>1</v>
          </cell>
          <cell r="H15">
            <v>11</v>
          </cell>
          <cell r="I15">
            <v>2.4500000000000002</v>
          </cell>
          <cell r="J15">
            <v>2.46</v>
          </cell>
          <cell r="K15">
            <v>1</v>
          </cell>
          <cell r="L15">
            <v>20161231</v>
          </cell>
          <cell r="M15">
            <v>2.4300000000000002</v>
          </cell>
          <cell r="N15">
            <v>20170222</v>
          </cell>
        </row>
        <row r="16">
          <cell r="A16" t="str">
            <v>GXP</v>
          </cell>
          <cell r="B16" t="str">
            <v>KLT</v>
          </cell>
          <cell r="C16" t="str">
            <v>GREAT PLAINS</v>
          </cell>
          <cell r="D16">
            <v>20161215</v>
          </cell>
          <cell r="E16" t="str">
            <v>EPS</v>
          </cell>
          <cell r="F16" t="str">
            <v>ANN</v>
          </cell>
          <cell r="G16">
            <v>1</v>
          </cell>
          <cell r="H16">
            <v>11</v>
          </cell>
          <cell r="I16">
            <v>1.8</v>
          </cell>
          <cell r="J16">
            <v>1.78</v>
          </cell>
          <cell r="K16">
            <v>1</v>
          </cell>
          <cell r="L16">
            <v>20161231</v>
          </cell>
          <cell r="M16">
            <v>1.85</v>
          </cell>
          <cell r="N16">
            <v>20170223</v>
          </cell>
        </row>
        <row r="17">
          <cell r="A17" t="str">
            <v>MGEE</v>
          </cell>
          <cell r="B17" t="str">
            <v>MDSN</v>
          </cell>
          <cell r="C17" t="str">
            <v>MGE ENERGY INC</v>
          </cell>
          <cell r="D17">
            <v>20161215</v>
          </cell>
          <cell r="E17" t="str">
            <v>EPS</v>
          </cell>
          <cell r="F17" t="str">
            <v>ANN</v>
          </cell>
          <cell r="G17">
            <v>1</v>
          </cell>
          <cell r="H17">
            <v>1</v>
          </cell>
          <cell r="I17">
            <v>2.2999999999999998</v>
          </cell>
          <cell r="J17">
            <v>2.2999999999999998</v>
          </cell>
          <cell r="K17">
            <v>1</v>
          </cell>
          <cell r="L17">
            <v>20161231</v>
          </cell>
          <cell r="N17">
            <v>20170224</v>
          </cell>
        </row>
        <row r="18">
          <cell r="A18" t="str">
            <v>ALE</v>
          </cell>
          <cell r="B18" t="str">
            <v>MPL</v>
          </cell>
          <cell r="C18" t="str">
            <v>ALLETE INC</v>
          </cell>
          <cell r="D18">
            <v>20161215</v>
          </cell>
          <cell r="E18" t="str">
            <v>EPS</v>
          </cell>
          <cell r="F18" t="str">
            <v>ANN</v>
          </cell>
          <cell r="G18">
            <v>1</v>
          </cell>
          <cell r="H18">
            <v>5</v>
          </cell>
          <cell r="I18">
            <v>3.12</v>
          </cell>
          <cell r="J18">
            <v>3.12</v>
          </cell>
          <cell r="K18">
            <v>1</v>
          </cell>
          <cell r="L18">
            <v>20161231</v>
          </cell>
          <cell r="M18">
            <v>3.13</v>
          </cell>
          <cell r="N18">
            <v>20170215</v>
          </cell>
        </row>
        <row r="19">
          <cell r="A19" t="str">
            <v>ETR</v>
          </cell>
          <cell r="B19" t="str">
            <v>MSU</v>
          </cell>
          <cell r="C19" t="str">
            <v>ENTERGY</v>
          </cell>
          <cell r="D19">
            <v>20161215</v>
          </cell>
          <cell r="E19" t="str">
            <v>EPS</v>
          </cell>
          <cell r="F19" t="str">
            <v>ANN</v>
          </cell>
          <cell r="G19">
            <v>1</v>
          </cell>
          <cell r="H19">
            <v>17</v>
          </cell>
          <cell r="I19">
            <v>6.85</v>
          </cell>
          <cell r="J19">
            <v>6.86</v>
          </cell>
          <cell r="K19">
            <v>1</v>
          </cell>
          <cell r="L19">
            <v>20161231</v>
          </cell>
          <cell r="M19">
            <v>7.11</v>
          </cell>
          <cell r="N19">
            <v>20170215</v>
          </cell>
        </row>
        <row r="20">
          <cell r="A20" t="str">
            <v>XEL</v>
          </cell>
          <cell r="B20" t="str">
            <v>NSP</v>
          </cell>
          <cell r="C20" t="str">
            <v>XCEL ENERGY</v>
          </cell>
          <cell r="D20">
            <v>20161215</v>
          </cell>
          <cell r="E20" t="str">
            <v>EPS</v>
          </cell>
          <cell r="F20" t="str">
            <v>ANN</v>
          </cell>
          <cell r="G20">
            <v>1</v>
          </cell>
          <cell r="H20">
            <v>16</v>
          </cell>
          <cell r="I20">
            <v>2.2000000000000002</v>
          </cell>
          <cell r="J20">
            <v>2.2000000000000002</v>
          </cell>
          <cell r="K20">
            <v>1</v>
          </cell>
          <cell r="L20">
            <v>20161231</v>
          </cell>
          <cell r="M20">
            <v>2.21</v>
          </cell>
          <cell r="N20">
            <v>20170202</v>
          </cell>
        </row>
        <row r="21">
          <cell r="A21" t="str">
            <v>NWE</v>
          </cell>
          <cell r="B21" t="str">
            <v>NWPS</v>
          </cell>
          <cell r="C21" t="str">
            <v>NORTHWESTERN US</v>
          </cell>
          <cell r="D21">
            <v>20161215</v>
          </cell>
          <cell r="E21" t="str">
            <v>EPS</v>
          </cell>
          <cell r="F21" t="str">
            <v>ANN</v>
          </cell>
          <cell r="G21">
            <v>1</v>
          </cell>
          <cell r="H21">
            <v>3</v>
          </cell>
          <cell r="I21">
            <v>3.2</v>
          </cell>
          <cell r="J21">
            <v>3.2</v>
          </cell>
          <cell r="K21">
            <v>1</v>
          </cell>
          <cell r="L21">
            <v>20161231</v>
          </cell>
          <cell r="M21">
            <v>3.11</v>
          </cell>
          <cell r="N21">
            <v>20170216</v>
          </cell>
        </row>
        <row r="22">
          <cell r="A22" t="str">
            <v>FE</v>
          </cell>
          <cell r="B22" t="str">
            <v>OEC</v>
          </cell>
          <cell r="C22" t="str">
            <v>FIRSTENERGY</v>
          </cell>
          <cell r="D22">
            <v>20161215</v>
          </cell>
          <cell r="E22" t="str">
            <v>EPS</v>
          </cell>
          <cell r="F22" t="str">
            <v>ANN</v>
          </cell>
          <cell r="G22">
            <v>1</v>
          </cell>
          <cell r="H22">
            <v>19</v>
          </cell>
          <cell r="I22">
            <v>2.64</v>
          </cell>
          <cell r="J22">
            <v>2.64</v>
          </cell>
          <cell r="K22">
            <v>1</v>
          </cell>
          <cell r="L22">
            <v>20161231</v>
          </cell>
          <cell r="M22">
            <v>2.63</v>
          </cell>
          <cell r="N22">
            <v>20170221</v>
          </cell>
        </row>
        <row r="23">
          <cell r="A23" t="str">
            <v>OGE</v>
          </cell>
          <cell r="B23" t="str">
            <v>OGE</v>
          </cell>
          <cell r="C23" t="str">
            <v>OGE ENERGY CORP</v>
          </cell>
          <cell r="D23">
            <v>20161215</v>
          </cell>
          <cell r="E23" t="str">
            <v>EPS</v>
          </cell>
          <cell r="F23" t="str">
            <v>ANN</v>
          </cell>
          <cell r="G23">
            <v>1</v>
          </cell>
          <cell r="H23">
            <v>8</v>
          </cell>
          <cell r="I23">
            <v>1.76</v>
          </cell>
          <cell r="J23">
            <v>1.76</v>
          </cell>
          <cell r="K23">
            <v>1</v>
          </cell>
          <cell r="L23">
            <v>20161231</v>
          </cell>
          <cell r="M23">
            <v>1.69</v>
          </cell>
          <cell r="N23">
            <v>20170223</v>
          </cell>
        </row>
        <row r="24">
          <cell r="A24" t="str">
            <v>OTTR</v>
          </cell>
          <cell r="B24" t="str">
            <v>OTTR</v>
          </cell>
          <cell r="C24" t="str">
            <v>OTTER TAIL</v>
          </cell>
          <cell r="D24">
            <v>20161215</v>
          </cell>
          <cell r="E24" t="str">
            <v>EPS</v>
          </cell>
          <cell r="F24" t="str">
            <v>ANN</v>
          </cell>
          <cell r="G24">
            <v>1</v>
          </cell>
          <cell r="H24">
            <v>2</v>
          </cell>
          <cell r="I24">
            <v>1.59</v>
          </cell>
          <cell r="J24">
            <v>1.59</v>
          </cell>
          <cell r="K24">
            <v>1</v>
          </cell>
          <cell r="L24">
            <v>20161231</v>
          </cell>
          <cell r="M24">
            <v>1.6</v>
          </cell>
          <cell r="N24">
            <v>20170206</v>
          </cell>
        </row>
        <row r="25">
          <cell r="A25" t="str">
            <v>PCG</v>
          </cell>
          <cell r="B25" t="str">
            <v>PCG</v>
          </cell>
          <cell r="C25" t="str">
            <v>PG&amp;E US</v>
          </cell>
          <cell r="D25">
            <v>20161215</v>
          </cell>
          <cell r="E25" t="str">
            <v>EPS</v>
          </cell>
          <cell r="F25" t="str">
            <v>ANN</v>
          </cell>
          <cell r="G25">
            <v>1</v>
          </cell>
          <cell r="H25">
            <v>16</v>
          </cell>
          <cell r="I25">
            <v>3.73</v>
          </cell>
          <cell r="J25">
            <v>3.72</v>
          </cell>
          <cell r="K25">
            <v>1</v>
          </cell>
          <cell r="L25">
            <v>20161231</v>
          </cell>
          <cell r="M25">
            <v>3.76</v>
          </cell>
          <cell r="N25">
            <v>20170216</v>
          </cell>
        </row>
        <row r="26">
          <cell r="A26" t="str">
            <v>EXC</v>
          </cell>
          <cell r="B26" t="str">
            <v>PE</v>
          </cell>
          <cell r="C26" t="str">
            <v>EXELON</v>
          </cell>
          <cell r="D26">
            <v>20161215</v>
          </cell>
          <cell r="E26" t="str">
            <v>EPS</v>
          </cell>
          <cell r="F26" t="str">
            <v>ANN</v>
          </cell>
          <cell r="G26">
            <v>1</v>
          </cell>
          <cell r="H26">
            <v>21</v>
          </cell>
          <cell r="I26">
            <v>2.69</v>
          </cell>
          <cell r="J26">
            <v>2.67</v>
          </cell>
          <cell r="K26">
            <v>1</v>
          </cell>
          <cell r="L26">
            <v>20161231</v>
          </cell>
          <cell r="M26">
            <v>2.68</v>
          </cell>
          <cell r="N26">
            <v>20170208</v>
          </cell>
        </row>
        <row r="27">
          <cell r="A27" t="str">
            <v>PEG</v>
          </cell>
          <cell r="B27" t="str">
            <v>PEG</v>
          </cell>
          <cell r="C27" t="str">
            <v>PSEG</v>
          </cell>
          <cell r="D27">
            <v>20161215</v>
          </cell>
          <cell r="E27" t="str">
            <v>EPS</v>
          </cell>
          <cell r="F27" t="str">
            <v>ANN</v>
          </cell>
          <cell r="G27">
            <v>1</v>
          </cell>
          <cell r="H27">
            <v>16</v>
          </cell>
          <cell r="I27">
            <v>2.87</v>
          </cell>
          <cell r="J27">
            <v>2.88</v>
          </cell>
          <cell r="K27">
            <v>1</v>
          </cell>
          <cell r="L27">
            <v>20161231</v>
          </cell>
          <cell r="M27">
            <v>2.9</v>
          </cell>
          <cell r="N27">
            <v>20170224</v>
          </cell>
        </row>
        <row r="28">
          <cell r="A28" t="str">
            <v>PNM</v>
          </cell>
          <cell r="B28" t="str">
            <v>PNM</v>
          </cell>
          <cell r="C28" t="str">
            <v>PNM RESOURCES</v>
          </cell>
          <cell r="D28">
            <v>20161215</v>
          </cell>
          <cell r="E28" t="str">
            <v>EPS</v>
          </cell>
          <cell r="F28" t="str">
            <v>ANN</v>
          </cell>
          <cell r="G28">
            <v>1</v>
          </cell>
          <cell r="H28">
            <v>9</v>
          </cell>
          <cell r="I28">
            <v>1.6</v>
          </cell>
          <cell r="J28">
            <v>1.61</v>
          </cell>
          <cell r="K28">
            <v>1</v>
          </cell>
          <cell r="L28">
            <v>20161231</v>
          </cell>
          <cell r="M28">
            <v>1.65</v>
          </cell>
          <cell r="N28">
            <v>20170228</v>
          </cell>
        </row>
        <row r="29">
          <cell r="A29" t="str">
            <v>POR</v>
          </cell>
          <cell r="B29" t="str">
            <v>PORO</v>
          </cell>
          <cell r="C29" t="str">
            <v>PORTLAND GENERAL</v>
          </cell>
          <cell r="D29">
            <v>20161215</v>
          </cell>
          <cell r="E29" t="str">
            <v>EPS</v>
          </cell>
          <cell r="F29" t="str">
            <v>ANN</v>
          </cell>
          <cell r="G29">
            <v>1</v>
          </cell>
          <cell r="H29">
            <v>13</v>
          </cell>
          <cell r="I29">
            <v>2.12</v>
          </cell>
          <cell r="J29">
            <v>2.12</v>
          </cell>
          <cell r="K29">
            <v>1</v>
          </cell>
          <cell r="L29">
            <v>20161231</v>
          </cell>
          <cell r="M29">
            <v>2.16</v>
          </cell>
          <cell r="N29">
            <v>20170217</v>
          </cell>
        </row>
        <row r="30">
          <cell r="A30" t="str">
            <v>PPL</v>
          </cell>
          <cell r="B30" t="str">
            <v>PPL</v>
          </cell>
          <cell r="C30" t="str">
            <v>PPL</v>
          </cell>
          <cell r="D30">
            <v>20161215</v>
          </cell>
          <cell r="E30" t="str">
            <v>EPS</v>
          </cell>
          <cell r="F30" t="str">
            <v>ANN</v>
          </cell>
          <cell r="G30">
            <v>1</v>
          </cell>
          <cell r="H30">
            <v>17</v>
          </cell>
          <cell r="I30">
            <v>2.37</v>
          </cell>
          <cell r="J30">
            <v>2.36</v>
          </cell>
          <cell r="K30">
            <v>1</v>
          </cell>
          <cell r="L30">
            <v>20161231</v>
          </cell>
          <cell r="M30">
            <v>2.4500000000000002</v>
          </cell>
          <cell r="N30">
            <v>20170201</v>
          </cell>
        </row>
        <row r="31">
          <cell r="A31" t="str">
            <v>EIX</v>
          </cell>
          <cell r="B31" t="str">
            <v>SCE</v>
          </cell>
          <cell r="C31" t="str">
            <v>EDISON INTL</v>
          </cell>
          <cell r="D31">
            <v>20161215</v>
          </cell>
          <cell r="E31" t="str">
            <v>EPS</v>
          </cell>
          <cell r="F31" t="str">
            <v>ANN</v>
          </cell>
          <cell r="G31">
            <v>1</v>
          </cell>
          <cell r="H31">
            <v>16</v>
          </cell>
          <cell r="I31">
            <v>3.92</v>
          </cell>
          <cell r="J31">
            <v>3.92</v>
          </cell>
          <cell r="K31">
            <v>1</v>
          </cell>
          <cell r="L31">
            <v>20161231</v>
          </cell>
          <cell r="M31">
            <v>3.97</v>
          </cell>
          <cell r="N31">
            <v>20170221</v>
          </cell>
        </row>
        <row r="32">
          <cell r="A32" t="str">
            <v>SCG</v>
          </cell>
          <cell r="B32" t="str">
            <v>SCG</v>
          </cell>
          <cell r="C32" t="str">
            <v>SCANA</v>
          </cell>
          <cell r="D32">
            <v>20161215</v>
          </cell>
          <cell r="E32" t="str">
            <v>EPS</v>
          </cell>
          <cell r="F32" t="str">
            <v>ANN</v>
          </cell>
          <cell r="G32">
            <v>1</v>
          </cell>
          <cell r="H32">
            <v>12</v>
          </cell>
          <cell r="I32">
            <v>4.08</v>
          </cell>
          <cell r="J32">
            <v>4.1100000000000003</v>
          </cell>
          <cell r="K32">
            <v>1</v>
          </cell>
          <cell r="L32">
            <v>20161231</v>
          </cell>
          <cell r="M32">
            <v>4.16</v>
          </cell>
          <cell r="N32">
            <v>20170216</v>
          </cell>
        </row>
        <row r="33">
          <cell r="A33" t="str">
            <v>SRE</v>
          </cell>
          <cell r="B33" t="str">
            <v>SDO</v>
          </cell>
          <cell r="C33" t="str">
            <v>SEMPRA ENER</v>
          </cell>
          <cell r="D33">
            <v>20161215</v>
          </cell>
          <cell r="E33" t="str">
            <v>EPS</v>
          </cell>
          <cell r="F33" t="str">
            <v>ANN</v>
          </cell>
          <cell r="G33">
            <v>1</v>
          </cell>
          <cell r="H33">
            <v>15</v>
          </cell>
          <cell r="I33">
            <v>4.82</v>
          </cell>
          <cell r="J33">
            <v>4.82</v>
          </cell>
          <cell r="K33">
            <v>1</v>
          </cell>
          <cell r="L33">
            <v>20161231</v>
          </cell>
          <cell r="M33">
            <v>5.05</v>
          </cell>
          <cell r="N33">
            <v>20170228</v>
          </cell>
        </row>
        <row r="34">
          <cell r="A34" t="str">
            <v>VVC</v>
          </cell>
          <cell r="B34" t="str">
            <v>SIG</v>
          </cell>
          <cell r="C34" t="str">
            <v>VECTREN CORP</v>
          </cell>
          <cell r="D34">
            <v>20161215</v>
          </cell>
          <cell r="E34" t="str">
            <v>EPS</v>
          </cell>
          <cell r="F34" t="str">
            <v>ANN</v>
          </cell>
          <cell r="G34">
            <v>1</v>
          </cell>
          <cell r="H34">
            <v>7</v>
          </cell>
          <cell r="I34">
            <v>2.5</v>
          </cell>
          <cell r="J34">
            <v>2.5</v>
          </cell>
          <cell r="K34">
            <v>1</v>
          </cell>
          <cell r="L34">
            <v>20161231</v>
          </cell>
          <cell r="M34">
            <v>2.5499999999999998</v>
          </cell>
          <cell r="N34">
            <v>20170222</v>
          </cell>
        </row>
        <row r="35">
          <cell r="A35" t="str">
            <v>SO</v>
          </cell>
          <cell r="B35" t="str">
            <v>SO</v>
          </cell>
          <cell r="C35" t="str">
            <v>SOUTHERN CO</v>
          </cell>
          <cell r="D35">
            <v>20161215</v>
          </cell>
          <cell r="E35" t="str">
            <v>EPS</v>
          </cell>
          <cell r="F35" t="str">
            <v>ANN</v>
          </cell>
          <cell r="G35">
            <v>1</v>
          </cell>
          <cell r="H35">
            <v>20</v>
          </cell>
          <cell r="I35">
            <v>2.88</v>
          </cell>
          <cell r="J35">
            <v>2.9</v>
          </cell>
          <cell r="K35">
            <v>1</v>
          </cell>
          <cell r="L35">
            <v>20161231</v>
          </cell>
          <cell r="M35">
            <v>2.89</v>
          </cell>
          <cell r="N35">
            <v>20170222</v>
          </cell>
        </row>
        <row r="36">
          <cell r="A36" t="str">
            <v>AEE</v>
          </cell>
          <cell r="B36" t="str">
            <v>UEP</v>
          </cell>
          <cell r="C36" t="str">
            <v>AMEREN</v>
          </cell>
          <cell r="D36">
            <v>20161215</v>
          </cell>
          <cell r="E36" t="str">
            <v>EPS</v>
          </cell>
          <cell r="F36" t="str">
            <v>ANN</v>
          </cell>
          <cell r="G36">
            <v>1</v>
          </cell>
          <cell r="H36">
            <v>9</v>
          </cell>
          <cell r="I36">
            <v>2.68</v>
          </cell>
          <cell r="J36">
            <v>2.67</v>
          </cell>
          <cell r="K36">
            <v>1</v>
          </cell>
          <cell r="L36">
            <v>20161231</v>
          </cell>
          <cell r="M36">
            <v>2.68</v>
          </cell>
          <cell r="N36">
            <v>20170216</v>
          </cell>
        </row>
        <row r="37">
          <cell r="A37" t="str">
            <v>WEC</v>
          </cell>
          <cell r="B37" t="str">
            <v>WPC</v>
          </cell>
          <cell r="C37" t="str">
            <v>WEC ENERGY GROUP</v>
          </cell>
          <cell r="D37">
            <v>20161215</v>
          </cell>
          <cell r="E37" t="str">
            <v>EPS</v>
          </cell>
          <cell r="F37" t="str">
            <v>ANN</v>
          </cell>
          <cell r="G37">
            <v>1</v>
          </cell>
          <cell r="H37">
            <v>15</v>
          </cell>
          <cell r="I37">
            <v>2.94</v>
          </cell>
          <cell r="J37">
            <v>2.94</v>
          </cell>
          <cell r="K37">
            <v>1</v>
          </cell>
          <cell r="L37">
            <v>20161231</v>
          </cell>
          <cell r="M37">
            <v>2.97</v>
          </cell>
          <cell r="N37">
            <v>20170201</v>
          </cell>
        </row>
        <row r="38">
          <cell r="A38" t="str">
            <v>LNT</v>
          </cell>
          <cell r="B38" t="str">
            <v>WPL</v>
          </cell>
          <cell r="C38" t="str">
            <v>ALLIANT ENER</v>
          </cell>
          <cell r="D38">
            <v>20161215</v>
          </cell>
          <cell r="E38" t="str">
            <v>EPS</v>
          </cell>
          <cell r="F38" t="str">
            <v>ANN</v>
          </cell>
          <cell r="G38">
            <v>1</v>
          </cell>
          <cell r="H38">
            <v>9</v>
          </cell>
          <cell r="I38">
            <v>1.89</v>
          </cell>
          <cell r="J38">
            <v>1.88</v>
          </cell>
          <cell r="K38">
            <v>1</v>
          </cell>
          <cell r="L38">
            <v>20161231</v>
          </cell>
          <cell r="M38">
            <v>1.88</v>
          </cell>
          <cell r="N38">
            <v>20170223</v>
          </cell>
        </row>
        <row r="39">
          <cell r="A39" t="str">
            <v>AVA</v>
          </cell>
          <cell r="B39" t="str">
            <v>WWP</v>
          </cell>
          <cell r="C39" t="str">
            <v>AVISTA US</v>
          </cell>
          <cell r="D39">
            <v>20161215</v>
          </cell>
          <cell r="E39" t="str">
            <v>EPS</v>
          </cell>
          <cell r="F39" t="str">
            <v>ANN</v>
          </cell>
          <cell r="G39">
            <v>1</v>
          </cell>
          <cell r="H39">
            <v>6</v>
          </cell>
          <cell r="I39">
            <v>2.09</v>
          </cell>
          <cell r="J39">
            <v>2.08</v>
          </cell>
          <cell r="K39">
            <v>1</v>
          </cell>
          <cell r="L39">
            <v>20161231</v>
          </cell>
          <cell r="M39">
            <v>2.15</v>
          </cell>
          <cell r="N39">
            <v>20170222</v>
          </cell>
        </row>
        <row r="40">
          <cell r="A40" t="str">
            <v>SCG</v>
          </cell>
          <cell r="B40" t="str">
            <v>@006C</v>
          </cell>
          <cell r="C40" t="str">
            <v>SCENTRE</v>
          </cell>
          <cell r="D40">
            <v>20161215</v>
          </cell>
          <cell r="E40" t="str">
            <v>EPS</v>
          </cell>
          <cell r="F40" t="str">
            <v>ANN</v>
          </cell>
          <cell r="G40">
            <v>1</v>
          </cell>
          <cell r="H40">
            <v>10</v>
          </cell>
          <cell r="I40">
            <v>0.23</v>
          </cell>
          <cell r="J40">
            <v>0.22800000000000001</v>
          </cell>
          <cell r="K40">
            <v>0</v>
          </cell>
          <cell r="L40">
            <v>20161231</v>
          </cell>
          <cell r="M40">
            <v>0.23200000000000001</v>
          </cell>
          <cell r="N40">
            <v>20170220</v>
          </cell>
        </row>
        <row r="41">
          <cell r="A41" t="str">
            <v>PPL</v>
          </cell>
          <cell r="B41" t="str">
            <v>@00TM</v>
          </cell>
          <cell r="C41" t="str">
            <v>PUREPROFILE</v>
          </cell>
          <cell r="D41">
            <v>20161215</v>
          </cell>
          <cell r="E41" t="str">
            <v>EPS</v>
          </cell>
          <cell r="F41" t="str">
            <v>ANN</v>
          </cell>
          <cell r="G41">
            <v>1</v>
          </cell>
          <cell r="H41">
            <v>2</v>
          </cell>
          <cell r="I41">
            <v>2.4E-2</v>
          </cell>
          <cell r="J41">
            <v>2.4E-2</v>
          </cell>
          <cell r="K41">
            <v>0</v>
          </cell>
          <cell r="L41">
            <v>20170630</v>
          </cell>
          <cell r="M41">
            <v>1.2999999999999999E-2</v>
          </cell>
          <cell r="N41">
            <v>20170831</v>
          </cell>
        </row>
        <row r="42">
          <cell r="A42" t="str">
            <v>PPL</v>
          </cell>
          <cell r="B42" t="str">
            <v>@1Z1</v>
          </cell>
          <cell r="C42" t="str">
            <v>PPL</v>
          </cell>
          <cell r="D42">
            <v>20161215</v>
          </cell>
          <cell r="E42" t="str">
            <v>EPS</v>
          </cell>
          <cell r="F42" t="str">
            <v>ANN</v>
          </cell>
          <cell r="G42">
            <v>1</v>
          </cell>
          <cell r="H42">
            <v>9</v>
          </cell>
          <cell r="I42">
            <v>7.89</v>
          </cell>
          <cell r="J42">
            <v>7.93</v>
          </cell>
          <cell r="K42">
            <v>0</v>
          </cell>
          <cell r="L42">
            <v>20160630</v>
          </cell>
          <cell r="M42">
            <v>5.9058000000000002</v>
          </cell>
          <cell r="N42">
            <v>20170119</v>
          </cell>
        </row>
        <row r="43">
          <cell r="A43" t="str">
            <v>AGR</v>
          </cell>
          <cell r="B43" t="str">
            <v>@AR7</v>
          </cell>
          <cell r="C43" t="str">
            <v>AGRANA VZ</v>
          </cell>
          <cell r="D43">
            <v>20161215</v>
          </cell>
          <cell r="E43" t="str">
            <v>EPS</v>
          </cell>
          <cell r="F43" t="str">
            <v>ANN</v>
          </cell>
          <cell r="G43">
            <v>1</v>
          </cell>
          <cell r="H43">
            <v>3</v>
          </cell>
          <cell r="I43">
            <v>1.97</v>
          </cell>
          <cell r="J43">
            <v>1.94</v>
          </cell>
          <cell r="K43">
            <v>0</v>
          </cell>
          <cell r="L43">
            <v>20170228</v>
          </cell>
          <cell r="M43">
            <v>1.9450000000000001</v>
          </cell>
          <cell r="N43">
            <v>20170512</v>
          </cell>
        </row>
        <row r="44">
          <cell r="A44" t="str">
            <v>CNP</v>
          </cell>
          <cell r="B44" t="str">
            <v>@CN0</v>
          </cell>
          <cell r="C44" t="str">
            <v>CNP ASSURANCES</v>
          </cell>
          <cell r="D44">
            <v>20161215</v>
          </cell>
          <cell r="E44" t="str">
            <v>EPS</v>
          </cell>
          <cell r="F44" t="str">
            <v>ANN</v>
          </cell>
          <cell r="G44">
            <v>1</v>
          </cell>
          <cell r="H44">
            <v>5</v>
          </cell>
          <cell r="I44">
            <v>1.53</v>
          </cell>
          <cell r="J44">
            <v>1.56</v>
          </cell>
          <cell r="K44">
            <v>0</v>
          </cell>
          <cell r="L44">
            <v>20161231</v>
          </cell>
          <cell r="M44">
            <v>1.52</v>
          </cell>
          <cell r="N44">
            <v>20170223</v>
          </cell>
        </row>
        <row r="45">
          <cell r="A45" t="str">
            <v>SO</v>
          </cell>
          <cell r="B45" t="str">
            <v>@DAM</v>
          </cell>
          <cell r="C45" t="str">
            <v>SOMFY</v>
          </cell>
          <cell r="D45">
            <v>20161215</v>
          </cell>
          <cell r="E45" t="str">
            <v>EPS</v>
          </cell>
          <cell r="F45" t="str">
            <v>ANN</v>
          </cell>
          <cell r="G45">
            <v>1</v>
          </cell>
          <cell r="H45">
            <v>3</v>
          </cell>
          <cell r="I45">
            <v>4.24</v>
          </cell>
          <cell r="J45">
            <v>4.26</v>
          </cell>
          <cell r="K45">
            <v>0</v>
          </cell>
          <cell r="L45">
            <v>20161231</v>
          </cell>
          <cell r="M45">
            <v>4.1079999999999997</v>
          </cell>
          <cell r="N45">
            <v>20170308</v>
          </cell>
        </row>
        <row r="46">
          <cell r="A46" t="str">
            <v>DTE</v>
          </cell>
          <cell r="B46" t="str">
            <v>@DT</v>
          </cell>
          <cell r="C46" t="str">
            <v>DEUTSCHE TELEKOM</v>
          </cell>
          <cell r="D46">
            <v>20161215</v>
          </cell>
          <cell r="E46" t="str">
            <v>EPS</v>
          </cell>
          <cell r="F46" t="str">
            <v>ANN</v>
          </cell>
          <cell r="G46">
            <v>1</v>
          </cell>
          <cell r="H46">
            <v>29</v>
          </cell>
          <cell r="I46">
            <v>0.87</v>
          </cell>
          <cell r="J46">
            <v>0.89</v>
          </cell>
          <cell r="K46">
            <v>0</v>
          </cell>
          <cell r="L46">
            <v>20161231</v>
          </cell>
          <cell r="M46">
            <v>0.89</v>
          </cell>
          <cell r="N46">
            <v>20170302</v>
          </cell>
        </row>
        <row r="47">
          <cell r="A47" t="str">
            <v>PGN</v>
          </cell>
          <cell r="B47" t="str">
            <v>@J5W</v>
          </cell>
          <cell r="C47" t="str">
            <v>POLISH OIL &amp; GAS</v>
          </cell>
          <cell r="D47">
            <v>20161215</v>
          </cell>
          <cell r="E47" t="str">
            <v>EPS</v>
          </cell>
          <cell r="F47" t="str">
            <v>ANN</v>
          </cell>
          <cell r="G47">
            <v>1</v>
          </cell>
          <cell r="H47">
            <v>7</v>
          </cell>
          <cell r="I47">
            <v>0.4</v>
          </cell>
          <cell r="J47">
            <v>0.4</v>
          </cell>
          <cell r="K47">
            <v>0</v>
          </cell>
          <cell r="L47">
            <v>20161231</v>
          </cell>
          <cell r="M47">
            <v>0.4</v>
          </cell>
          <cell r="N47">
            <v>20170216</v>
          </cell>
        </row>
        <row r="48">
          <cell r="A48" t="str">
            <v>POM</v>
          </cell>
          <cell r="B48" t="str">
            <v>@PO8</v>
          </cell>
          <cell r="C48" t="str">
            <v>COMPAGNIE PLA OM</v>
          </cell>
          <cell r="D48">
            <v>20161215</v>
          </cell>
          <cell r="E48" t="str">
            <v>EPS</v>
          </cell>
          <cell r="F48" t="str">
            <v>ANN</v>
          </cell>
          <cell r="G48">
            <v>1</v>
          </cell>
          <cell r="H48">
            <v>11</v>
          </cell>
          <cell r="I48">
            <v>2.21</v>
          </cell>
          <cell r="J48">
            <v>2.23</v>
          </cell>
          <cell r="K48">
            <v>0</v>
          </cell>
          <cell r="L48">
            <v>20161231</v>
          </cell>
          <cell r="M48">
            <v>2.09</v>
          </cell>
          <cell r="N48">
            <v>20170223</v>
          </cell>
        </row>
        <row r="49">
          <cell r="A49" t="str">
            <v>PGN</v>
          </cell>
          <cell r="B49" t="str">
            <v>@QPA</v>
          </cell>
          <cell r="C49" t="str">
            <v>PARAGON DE</v>
          </cell>
          <cell r="D49">
            <v>20161215</v>
          </cell>
          <cell r="E49" t="str">
            <v>EPS</v>
          </cell>
          <cell r="F49" t="str">
            <v>ANN</v>
          </cell>
          <cell r="G49">
            <v>1</v>
          </cell>
          <cell r="H49">
            <v>5</v>
          </cell>
          <cell r="I49">
            <v>0.9</v>
          </cell>
          <cell r="J49">
            <v>0.92</v>
          </cell>
          <cell r="K49">
            <v>0</v>
          </cell>
          <cell r="L49">
            <v>20161231</v>
          </cell>
          <cell r="M49">
            <v>0.84</v>
          </cell>
          <cell r="N49">
            <v>20170327</v>
          </cell>
        </row>
        <row r="50">
          <cell r="A50" t="str">
            <v>PEG</v>
          </cell>
          <cell r="B50" t="str">
            <v>@S6N</v>
          </cell>
          <cell r="C50" t="str">
            <v>PETARDS GROUP</v>
          </cell>
          <cell r="D50">
            <v>20161215</v>
          </cell>
          <cell r="E50" t="str">
            <v>EPS</v>
          </cell>
          <cell r="F50" t="str">
            <v>ANN</v>
          </cell>
          <cell r="G50">
            <v>1</v>
          </cell>
          <cell r="H50">
            <v>2</v>
          </cell>
          <cell r="I50">
            <v>1.72</v>
          </cell>
          <cell r="J50">
            <v>1.72</v>
          </cell>
          <cell r="K50">
            <v>0</v>
          </cell>
          <cell r="L50">
            <v>20161231</v>
          </cell>
          <cell r="M50">
            <v>1.86</v>
          </cell>
          <cell r="N50">
            <v>20170314</v>
          </cell>
        </row>
        <row r="51">
          <cell r="A51" t="str">
            <v>SO</v>
          </cell>
          <cell r="B51" t="str">
            <v>@SGF</v>
          </cell>
          <cell r="C51" t="str">
            <v>SOGEFI</v>
          </cell>
          <cell r="D51">
            <v>20161215</v>
          </cell>
          <cell r="E51" t="str">
            <v>EPS</v>
          </cell>
          <cell r="F51" t="str">
            <v>ANN</v>
          </cell>
          <cell r="G51">
            <v>1</v>
          </cell>
          <cell r="H51">
            <v>7</v>
          </cell>
          <cell r="I51">
            <v>0.22</v>
          </cell>
          <cell r="J51">
            <v>0.22</v>
          </cell>
          <cell r="K51">
            <v>0</v>
          </cell>
          <cell r="L51">
            <v>20161231</v>
          </cell>
          <cell r="M51">
            <v>0.22</v>
          </cell>
          <cell r="N51">
            <v>20170227</v>
          </cell>
        </row>
        <row r="52">
          <cell r="A52" t="str">
            <v>NST</v>
          </cell>
          <cell r="B52" t="str">
            <v>@T6I</v>
          </cell>
          <cell r="C52" t="str">
            <v>NORTHERN STAR RE</v>
          </cell>
          <cell r="D52">
            <v>20161215</v>
          </cell>
          <cell r="E52" t="str">
            <v>EPS</v>
          </cell>
          <cell r="F52" t="str">
            <v>ANN</v>
          </cell>
          <cell r="G52">
            <v>1</v>
          </cell>
          <cell r="H52">
            <v>13</v>
          </cell>
          <cell r="I52">
            <v>0.36</v>
          </cell>
          <cell r="J52">
            <v>0.35899999999999999</v>
          </cell>
          <cell r="K52">
            <v>0</v>
          </cell>
          <cell r="L52">
            <v>20170630</v>
          </cell>
          <cell r="M52">
            <v>0.35099999999999998</v>
          </cell>
          <cell r="N52">
            <v>20170821</v>
          </cell>
        </row>
        <row r="53">
          <cell r="A53" t="str">
            <v>AGR</v>
          </cell>
          <cell r="B53" t="str">
            <v>@V2M</v>
          </cell>
          <cell r="C53" t="str">
            <v>ASSURA</v>
          </cell>
          <cell r="D53">
            <v>20161215</v>
          </cell>
          <cell r="E53" t="str">
            <v>EPS</v>
          </cell>
          <cell r="F53" t="str">
            <v>ANN</v>
          </cell>
          <cell r="G53">
            <v>1</v>
          </cell>
          <cell r="H53">
            <v>3</v>
          </cell>
          <cell r="I53">
            <v>2.39</v>
          </cell>
          <cell r="J53">
            <v>2.4</v>
          </cell>
          <cell r="K53">
            <v>0</v>
          </cell>
          <cell r="L53">
            <v>20170331</v>
          </cell>
          <cell r="M53">
            <v>2.3898999999999999</v>
          </cell>
          <cell r="N53">
            <v>20170523</v>
          </cell>
        </row>
        <row r="54">
          <cell r="A54" t="str">
            <v>SRE</v>
          </cell>
          <cell r="B54" t="str">
            <v>@VRU</v>
          </cell>
          <cell r="C54" t="str">
            <v>SIRIUS REAL ESTA</v>
          </cell>
          <cell r="D54">
            <v>20161215</v>
          </cell>
          <cell r="E54" t="str">
            <v>EPS</v>
          </cell>
          <cell r="F54" t="str">
            <v>ANN</v>
          </cell>
          <cell r="G54">
            <v>1</v>
          </cell>
          <cell r="H54">
            <v>3</v>
          </cell>
          <cell r="I54">
            <v>0.04</v>
          </cell>
          <cell r="J54">
            <v>0.04</v>
          </cell>
          <cell r="K54">
            <v>0</v>
          </cell>
          <cell r="L54">
            <v>20170331</v>
          </cell>
          <cell r="M54">
            <v>4.1000000000000002E-2</v>
          </cell>
          <cell r="N54">
            <v>20170626</v>
          </cell>
        </row>
        <row r="55">
          <cell r="A55" t="str">
            <v>POM</v>
          </cell>
          <cell r="B55" t="str">
            <v>@VV</v>
          </cell>
          <cell r="C55" t="str">
            <v>POLMED SA</v>
          </cell>
          <cell r="D55">
            <v>20161215</v>
          </cell>
          <cell r="E55" t="str">
            <v>EPS</v>
          </cell>
          <cell r="F55" t="str">
            <v>ANN</v>
          </cell>
          <cell r="G55">
            <v>1</v>
          </cell>
          <cell r="H55">
            <v>1</v>
          </cell>
          <cell r="I55">
            <v>0.3</v>
          </cell>
          <cell r="J55">
            <v>0.3</v>
          </cell>
          <cell r="K55">
            <v>0</v>
          </cell>
          <cell r="L55">
            <v>20161231</v>
          </cell>
          <cell r="M55">
            <v>0.15</v>
          </cell>
          <cell r="N55">
            <v>20170324</v>
          </cell>
        </row>
        <row r="56">
          <cell r="A56" t="str">
            <v>EXC</v>
          </cell>
          <cell r="B56" t="str">
            <v>@XDO</v>
          </cell>
          <cell r="C56" t="str">
            <v>EXCEET GRP</v>
          </cell>
          <cell r="D56">
            <v>20161215</v>
          </cell>
          <cell r="E56" t="str">
            <v>EPS</v>
          </cell>
          <cell r="F56" t="str">
            <v>ANN</v>
          </cell>
          <cell r="G56">
            <v>1</v>
          </cell>
          <cell r="H56">
            <v>1</v>
          </cell>
          <cell r="I56">
            <v>-0.47</v>
          </cell>
          <cell r="J56">
            <v>-0.47</v>
          </cell>
          <cell r="K56">
            <v>0</v>
          </cell>
          <cell r="L56">
            <v>20161231</v>
          </cell>
          <cell r="M56">
            <v>-0.35</v>
          </cell>
          <cell r="N56">
            <v>20170228</v>
          </cell>
        </row>
        <row r="57">
          <cell r="A57" t="str">
            <v>CMS</v>
          </cell>
          <cell r="B57" t="str">
            <v>@XJM</v>
          </cell>
          <cell r="C57" t="str">
            <v>COMMUNISIS PLC</v>
          </cell>
          <cell r="D57">
            <v>20161215</v>
          </cell>
          <cell r="E57" t="str">
            <v>EPS</v>
          </cell>
          <cell r="F57" t="str">
            <v>ANN</v>
          </cell>
          <cell r="G57">
            <v>1</v>
          </cell>
          <cell r="H57">
            <v>2</v>
          </cell>
          <cell r="I57">
            <v>5.86</v>
          </cell>
          <cell r="J57">
            <v>5.86</v>
          </cell>
          <cell r="K57">
            <v>0</v>
          </cell>
          <cell r="L57">
            <v>20161231</v>
          </cell>
          <cell r="M57">
            <v>6.07</v>
          </cell>
          <cell r="N57">
            <v>20170309</v>
          </cell>
        </row>
        <row r="58">
          <cell r="A58" t="str">
            <v>PEG</v>
          </cell>
          <cell r="B58" t="str">
            <v>GEP1</v>
          </cell>
          <cell r="C58" t="str">
            <v>PATTERN</v>
          </cell>
          <cell r="D58">
            <v>20161215</v>
          </cell>
          <cell r="E58" t="str">
            <v>EPS</v>
          </cell>
          <cell r="F58" t="str">
            <v>ANN</v>
          </cell>
          <cell r="G58">
            <v>1</v>
          </cell>
          <cell r="H58">
            <v>5</v>
          </cell>
          <cell r="I58">
            <v>-0.34</v>
          </cell>
          <cell r="J58">
            <v>-0.37</v>
          </cell>
          <cell r="K58">
            <v>0</v>
          </cell>
          <cell r="L58">
            <v>20161231</v>
          </cell>
          <cell r="M58">
            <v>-0.22</v>
          </cell>
          <cell r="N58">
            <v>20170301</v>
          </cell>
        </row>
        <row r="59">
          <cell r="A59" t="str">
            <v>CNL</v>
          </cell>
          <cell r="B59" t="str">
            <v>NCL1</v>
          </cell>
          <cell r="C59" t="str">
            <v>CONTINENTAL GOLD</v>
          </cell>
          <cell r="D59">
            <v>20161215</v>
          </cell>
          <cell r="E59" t="str">
            <v>EPS</v>
          </cell>
          <cell r="F59" t="str">
            <v>ANN</v>
          </cell>
          <cell r="G59">
            <v>1</v>
          </cell>
          <cell r="H59">
            <v>3</v>
          </cell>
          <cell r="I59">
            <v>-0.02</v>
          </cell>
          <cell r="J59">
            <v>-0.02</v>
          </cell>
          <cell r="K59">
            <v>0</v>
          </cell>
          <cell r="L59">
            <v>20161231</v>
          </cell>
          <cell r="M59">
            <v>-0.04</v>
          </cell>
          <cell r="N59">
            <v>20170309</v>
          </cell>
        </row>
        <row r="60">
          <cell r="A60" t="str">
            <v>PPL</v>
          </cell>
          <cell r="B60" t="str">
            <v>PIF1</v>
          </cell>
          <cell r="C60" t="str">
            <v>PEMBINA PIPELINE</v>
          </cell>
          <cell r="D60">
            <v>20161215</v>
          </cell>
          <cell r="E60" t="str">
            <v>EPS</v>
          </cell>
          <cell r="F60" t="str">
            <v>ANN</v>
          </cell>
          <cell r="G60">
            <v>1</v>
          </cell>
          <cell r="H60">
            <v>11</v>
          </cell>
          <cell r="I60">
            <v>1.0900000000000001</v>
          </cell>
          <cell r="J60">
            <v>1.1100000000000001</v>
          </cell>
          <cell r="K60">
            <v>0</v>
          </cell>
          <cell r="L60">
            <v>20161231</v>
          </cell>
          <cell r="M60">
            <v>1.01</v>
          </cell>
          <cell r="N60">
            <v>20170223</v>
          </cell>
        </row>
        <row r="61">
          <cell r="A61" t="str">
            <v>POM</v>
          </cell>
          <cell r="B61" t="str">
            <v>POM1</v>
          </cell>
          <cell r="C61" t="str">
            <v>POLYMET MINING C</v>
          </cell>
          <cell r="D61">
            <v>20161215</v>
          </cell>
          <cell r="E61" t="str">
            <v>EPS</v>
          </cell>
          <cell r="F61" t="str">
            <v>ANN</v>
          </cell>
          <cell r="G61">
            <v>1</v>
          </cell>
          <cell r="H61">
            <v>2</v>
          </cell>
          <cell r="I61">
            <v>-0.4</v>
          </cell>
          <cell r="J61">
            <v>-0.4</v>
          </cell>
          <cell r="K61">
            <v>0</v>
          </cell>
          <cell r="L61">
            <v>20170131</v>
          </cell>
          <cell r="M61">
            <v>-0.39</v>
          </cell>
          <cell r="N61">
            <v>20170420</v>
          </cell>
        </row>
        <row r="62">
          <cell r="A62" t="str">
            <v>PSD</v>
          </cell>
          <cell r="B62" t="str">
            <v>PSD3</v>
          </cell>
          <cell r="C62" t="str">
            <v>PULSE SEISMIC</v>
          </cell>
          <cell r="D62">
            <v>20161215</v>
          </cell>
          <cell r="E62" t="str">
            <v>EPS</v>
          </cell>
          <cell r="F62" t="str">
            <v>ANN</v>
          </cell>
          <cell r="G62">
            <v>1</v>
          </cell>
          <cell r="H62">
            <v>1</v>
          </cell>
          <cell r="I62">
            <v>-0.12</v>
          </cell>
          <cell r="J62">
            <v>-0.12</v>
          </cell>
          <cell r="K62">
            <v>0</v>
          </cell>
          <cell r="L62">
            <v>20161231</v>
          </cell>
          <cell r="M62">
            <v>-0.13</v>
          </cell>
          <cell r="N62">
            <v>20170307</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xlarihdhppyk9rg"/>
    </sheetNames>
    <sheetDataSet>
      <sheetData sheetId="0">
        <row r="1">
          <cell r="B1" t="str">
            <v>Official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Forecast Period End Date (SAS Format)</v>
          </cell>
          <cell r="M1" t="str">
            <v>Actual Value, from the Detail Actuals File</v>
          </cell>
          <cell r="N1" t="str">
            <v>Announce date of the Actual, from the Detail Actuals File</v>
          </cell>
        </row>
        <row r="2">
          <cell r="B2" t="str">
            <v>GAS</v>
          </cell>
          <cell r="C2" t="str">
            <v>AGL RESOURCES</v>
          </cell>
          <cell r="D2">
            <v>41263</v>
          </cell>
          <cell r="E2" t="str">
            <v>EPS</v>
          </cell>
          <cell r="F2" t="str">
            <v>LTG</v>
          </cell>
          <cell r="G2" t="str">
            <v>0</v>
          </cell>
          <cell r="H2">
            <v>2</v>
          </cell>
          <cell r="I2">
            <v>4.05</v>
          </cell>
          <cell r="J2">
            <v>4.05</v>
          </cell>
          <cell r="K2">
            <v>7.0000000000000007E-2</v>
          </cell>
        </row>
        <row r="3">
          <cell r="B3" t="str">
            <v>ATO</v>
          </cell>
          <cell r="C3" t="str">
            <v>ATMOS ENERGY CP</v>
          </cell>
          <cell r="D3">
            <v>41263</v>
          </cell>
          <cell r="E3" t="str">
            <v>EPS</v>
          </cell>
          <cell r="F3" t="str">
            <v>LTG</v>
          </cell>
          <cell r="G3" t="str">
            <v>0</v>
          </cell>
          <cell r="H3">
            <v>2</v>
          </cell>
          <cell r="I3">
            <v>6</v>
          </cell>
          <cell r="J3">
            <v>6</v>
          </cell>
          <cell r="K3">
            <v>0</v>
          </cell>
        </row>
        <row r="4">
          <cell r="B4" t="str">
            <v>NI</v>
          </cell>
          <cell r="C4" t="str">
            <v>NISOURCE INC</v>
          </cell>
          <cell r="D4">
            <v>41263</v>
          </cell>
          <cell r="E4" t="str">
            <v>EPS</v>
          </cell>
          <cell r="F4" t="str">
            <v>LTG</v>
          </cell>
          <cell r="G4" t="str">
            <v>0</v>
          </cell>
          <cell r="H4">
            <v>1</v>
          </cell>
          <cell r="I4">
            <v>6.7</v>
          </cell>
          <cell r="J4">
            <v>6.7</v>
          </cell>
        </row>
        <row r="5">
          <cell r="B5" t="str">
            <v>NJR</v>
          </cell>
          <cell r="C5" t="str">
            <v>NEW JERSEY RES</v>
          </cell>
          <cell r="D5">
            <v>41263</v>
          </cell>
          <cell r="E5" t="str">
            <v>EPS</v>
          </cell>
          <cell r="F5" t="str">
            <v>LTG</v>
          </cell>
          <cell r="G5" t="str">
            <v>0</v>
          </cell>
          <cell r="H5">
            <v>1</v>
          </cell>
          <cell r="I5">
            <v>2.7</v>
          </cell>
          <cell r="J5">
            <v>2.7</v>
          </cell>
        </row>
        <row r="6">
          <cell r="B6" t="str">
            <v>NWN</v>
          </cell>
          <cell r="C6" t="str">
            <v>NW NATURAL GAS</v>
          </cell>
          <cell r="D6">
            <v>41263</v>
          </cell>
          <cell r="E6" t="str">
            <v>EPS</v>
          </cell>
          <cell r="F6" t="str">
            <v>LTG</v>
          </cell>
          <cell r="G6" t="str">
            <v>0</v>
          </cell>
          <cell r="H6">
            <v>1</v>
          </cell>
          <cell r="I6">
            <v>4.5</v>
          </cell>
          <cell r="J6">
            <v>4.5</v>
          </cell>
        </row>
        <row r="7">
          <cell r="B7" t="str">
            <v>PNY</v>
          </cell>
          <cell r="C7" t="str">
            <v>PIEDMONT NAT GAS</v>
          </cell>
          <cell r="D7">
            <v>41263</v>
          </cell>
          <cell r="E7" t="str">
            <v>EPS</v>
          </cell>
          <cell r="F7" t="str">
            <v>LTG</v>
          </cell>
          <cell r="G7" t="str">
            <v>0</v>
          </cell>
          <cell r="H7">
            <v>2</v>
          </cell>
          <cell r="I7">
            <v>5.35</v>
          </cell>
          <cell r="J7">
            <v>5.35</v>
          </cell>
          <cell r="K7">
            <v>1.91</v>
          </cell>
        </row>
        <row r="8">
          <cell r="B8" t="str">
            <v>SJI</v>
          </cell>
          <cell r="C8" t="str">
            <v>SO JERSEY INDS</v>
          </cell>
          <cell r="D8">
            <v>41263</v>
          </cell>
          <cell r="E8" t="str">
            <v>EPS</v>
          </cell>
          <cell r="F8" t="str">
            <v>LTG</v>
          </cell>
          <cell r="G8" t="str">
            <v>0</v>
          </cell>
          <cell r="H8">
            <v>1</v>
          </cell>
          <cell r="I8">
            <v>6</v>
          </cell>
          <cell r="J8">
            <v>6</v>
          </cell>
        </row>
        <row r="9">
          <cell r="B9" t="str">
            <v>SWX</v>
          </cell>
          <cell r="C9" t="str">
            <v>SOUTHWEST GAS</v>
          </cell>
          <cell r="D9">
            <v>41263</v>
          </cell>
          <cell r="E9" t="str">
            <v>EPS</v>
          </cell>
          <cell r="F9" t="str">
            <v>LTG</v>
          </cell>
          <cell r="G9" t="str">
            <v>0</v>
          </cell>
          <cell r="H9">
            <v>2</v>
          </cell>
          <cell r="I9">
            <v>4.05</v>
          </cell>
          <cell r="J9">
            <v>4.05</v>
          </cell>
          <cell r="K9">
            <v>2.76</v>
          </cell>
        </row>
        <row r="10">
          <cell r="B10" t="str">
            <v>WGL</v>
          </cell>
          <cell r="C10" t="str">
            <v>WGL HOLDING INC</v>
          </cell>
          <cell r="D10">
            <v>41263</v>
          </cell>
          <cell r="E10" t="str">
            <v>EPS</v>
          </cell>
          <cell r="F10" t="str">
            <v>LTG</v>
          </cell>
          <cell r="G10" t="str">
            <v>0</v>
          </cell>
          <cell r="H10">
            <v>1</v>
          </cell>
          <cell r="I10">
            <v>5.6</v>
          </cell>
          <cell r="J10">
            <v>5.6</v>
          </cell>
        </row>
        <row r="11">
          <cell r="B11" t="str">
            <v>CPK</v>
          </cell>
          <cell r="C11" t="str">
            <v>CHESAPEAKE UTIL</v>
          </cell>
          <cell r="D11">
            <v>41263</v>
          </cell>
          <cell r="E11" t="str">
            <v>EPS</v>
          </cell>
          <cell r="F11" t="str">
            <v>LTG</v>
          </cell>
          <cell r="G11" t="str">
            <v>0</v>
          </cell>
          <cell r="H11">
            <v>1</v>
          </cell>
          <cell r="I11">
            <v>3</v>
          </cell>
          <cell r="J11">
            <v>3</v>
          </cell>
        </row>
        <row r="12">
          <cell r="B12" t="str">
            <v>LG</v>
          </cell>
          <cell r="C12" t="str">
            <v>LACLEDE GROUP</v>
          </cell>
          <cell r="D12">
            <v>41074</v>
          </cell>
          <cell r="E12" t="str">
            <v>EPS</v>
          </cell>
          <cell r="F12" t="str">
            <v>LTG</v>
          </cell>
          <cell r="G12" t="str">
            <v>0</v>
          </cell>
          <cell r="H12">
            <v>1</v>
          </cell>
          <cell r="I12">
            <v>5.3</v>
          </cell>
          <cell r="J12">
            <v>5.3</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RDS"/>
    </sheetNames>
    <sheetDataSet>
      <sheetData sheetId="0">
        <row r="1">
          <cell r="A1" t="str">
            <v>OFTIC</v>
          </cell>
          <cell r="B1" t="str">
            <v>IBES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USFIRM=0 if from .INT file and USFIRM=1 if from .US file</v>
          </cell>
          <cell r="L1" t="str">
            <v>Forecast Period End Date (SAS Format)</v>
          </cell>
          <cell r="M1" t="str">
            <v>Actual Value, from the Detail Actuals File</v>
          </cell>
          <cell r="N1" t="str">
            <v>Announce date of the Actual, from the Detail Actuals File</v>
          </cell>
        </row>
        <row r="2">
          <cell r="A2" t="str">
            <v>PNW</v>
          </cell>
          <cell r="B2" t="str">
            <v>AZP</v>
          </cell>
          <cell r="C2" t="str">
            <v>PINNACLE WST CAP</v>
          </cell>
          <cell r="D2">
            <v>20111215</v>
          </cell>
          <cell r="E2" t="str">
            <v>EPS</v>
          </cell>
          <cell r="F2" t="str">
            <v>ANN</v>
          </cell>
          <cell r="G2">
            <v>1</v>
          </cell>
          <cell r="H2">
            <v>16</v>
          </cell>
          <cell r="I2">
            <v>2.89</v>
          </cell>
          <cell r="J2">
            <v>2.88</v>
          </cell>
          <cell r="K2">
            <v>1</v>
          </cell>
          <cell r="L2">
            <v>20111231</v>
          </cell>
          <cell r="M2">
            <v>2.99</v>
          </cell>
          <cell r="N2">
            <v>20120224</v>
          </cell>
        </row>
        <row r="3">
          <cell r="A3" t="str">
            <v>CEG</v>
          </cell>
          <cell r="B3" t="str">
            <v>BGE</v>
          </cell>
          <cell r="C3" t="str">
            <v>CONSTELLATION EN</v>
          </cell>
          <cell r="D3">
            <v>20111215</v>
          </cell>
          <cell r="E3" t="str">
            <v>EPS</v>
          </cell>
          <cell r="F3" t="str">
            <v>ANN</v>
          </cell>
          <cell r="G3">
            <v>1</v>
          </cell>
          <cell r="H3">
            <v>7</v>
          </cell>
          <cell r="I3">
            <v>3.14</v>
          </cell>
          <cell r="J3">
            <v>3.15</v>
          </cell>
          <cell r="K3">
            <v>1</v>
          </cell>
          <cell r="L3">
            <v>20111231</v>
          </cell>
          <cell r="M3">
            <v>2.12</v>
          </cell>
          <cell r="N3">
            <v>20120217</v>
          </cell>
        </row>
        <row r="4">
          <cell r="A4" t="str">
            <v>BKH</v>
          </cell>
          <cell r="B4" t="str">
            <v>BHP</v>
          </cell>
          <cell r="C4" t="str">
            <v>BLACK HILLS CP</v>
          </cell>
          <cell r="D4">
            <v>20111215</v>
          </cell>
          <cell r="E4" t="str">
            <v>EPS</v>
          </cell>
          <cell r="F4" t="str">
            <v>ANN</v>
          </cell>
          <cell r="G4">
            <v>1</v>
          </cell>
          <cell r="H4">
            <v>5</v>
          </cell>
          <cell r="I4">
            <v>1.76</v>
          </cell>
          <cell r="J4">
            <v>1.77</v>
          </cell>
          <cell r="K4">
            <v>1</v>
          </cell>
          <cell r="L4">
            <v>20111231</v>
          </cell>
          <cell r="M4">
            <v>1.92</v>
          </cell>
          <cell r="N4">
            <v>20120202</v>
          </cell>
        </row>
        <row r="5">
          <cell r="A5" t="str">
            <v>NST</v>
          </cell>
          <cell r="B5" t="str">
            <v>BSE</v>
          </cell>
          <cell r="C5" t="str">
            <v>NSTAR</v>
          </cell>
          <cell r="D5">
            <v>20111215</v>
          </cell>
          <cell r="E5" t="str">
            <v>EPS</v>
          </cell>
          <cell r="F5" t="str">
            <v>ANN</v>
          </cell>
          <cell r="G5">
            <v>1</v>
          </cell>
          <cell r="H5">
            <v>11</v>
          </cell>
          <cell r="I5">
            <v>2.65</v>
          </cell>
          <cell r="J5">
            <v>2.67</v>
          </cell>
          <cell r="K5">
            <v>1</v>
          </cell>
          <cell r="L5">
            <v>20111231</v>
          </cell>
          <cell r="M5">
            <v>2.65</v>
          </cell>
          <cell r="N5">
            <v>20120126</v>
          </cell>
        </row>
        <row r="6">
          <cell r="A6" t="str">
            <v>CMS</v>
          </cell>
          <cell r="B6" t="str">
            <v>CMS</v>
          </cell>
          <cell r="C6" t="str">
            <v>CMS ENERGY CORP</v>
          </cell>
          <cell r="D6">
            <v>20111215</v>
          </cell>
          <cell r="E6" t="str">
            <v>EPS</v>
          </cell>
          <cell r="F6" t="str">
            <v>ANN</v>
          </cell>
          <cell r="G6">
            <v>1</v>
          </cell>
          <cell r="H6">
            <v>16</v>
          </cell>
          <cell r="I6">
            <v>1.45</v>
          </cell>
          <cell r="J6">
            <v>1.45</v>
          </cell>
          <cell r="K6">
            <v>1</v>
          </cell>
          <cell r="L6">
            <v>20111231</v>
          </cell>
          <cell r="M6">
            <v>1.45</v>
          </cell>
          <cell r="N6">
            <v>20120223</v>
          </cell>
        </row>
        <row r="7">
          <cell r="A7" t="str">
            <v>CNL</v>
          </cell>
          <cell r="B7" t="str">
            <v>CNL</v>
          </cell>
          <cell r="C7" t="str">
            <v>CLECO CORP</v>
          </cell>
          <cell r="D7">
            <v>20111215</v>
          </cell>
          <cell r="E7" t="str">
            <v>EPS</v>
          </cell>
          <cell r="F7" t="str">
            <v>ANN</v>
          </cell>
          <cell r="G7">
            <v>1</v>
          </cell>
          <cell r="H7">
            <v>5</v>
          </cell>
          <cell r="I7">
            <v>2.44</v>
          </cell>
          <cell r="J7">
            <v>2.42</v>
          </cell>
          <cell r="K7">
            <v>1</v>
          </cell>
          <cell r="L7">
            <v>20111231</v>
          </cell>
          <cell r="M7">
            <v>2.5299999999999998</v>
          </cell>
          <cell r="N7">
            <v>20120222</v>
          </cell>
        </row>
        <row r="8">
          <cell r="A8" t="str">
            <v>PGN</v>
          </cell>
          <cell r="B8" t="str">
            <v>CPL</v>
          </cell>
          <cell r="C8" t="str">
            <v>PROGRESS ENERGY</v>
          </cell>
          <cell r="D8">
            <v>20111215</v>
          </cell>
          <cell r="E8" t="str">
            <v>EPS</v>
          </cell>
          <cell r="F8" t="str">
            <v>ANN</v>
          </cell>
          <cell r="G8">
            <v>1</v>
          </cell>
          <cell r="H8">
            <v>18</v>
          </cell>
          <cell r="I8">
            <v>3.1</v>
          </cell>
          <cell r="J8">
            <v>3.1</v>
          </cell>
          <cell r="K8">
            <v>1</v>
          </cell>
          <cell r="L8">
            <v>20111231</v>
          </cell>
          <cell r="M8">
            <v>2.95</v>
          </cell>
          <cell r="N8">
            <v>20120216</v>
          </cell>
        </row>
        <row r="9">
          <cell r="A9" t="str">
            <v>CV</v>
          </cell>
          <cell r="B9" t="str">
            <v>CV</v>
          </cell>
          <cell r="C9" t="str">
            <v>CENT VT PUB SVC</v>
          </cell>
          <cell r="D9">
            <v>20111215</v>
          </cell>
          <cell r="E9" t="str">
            <v>EPS</v>
          </cell>
          <cell r="F9" t="str">
            <v>ANN</v>
          </cell>
          <cell r="G9">
            <v>1</v>
          </cell>
          <cell r="H9">
            <v>1</v>
          </cell>
          <cell r="I9">
            <v>1.65</v>
          </cell>
          <cell r="J9">
            <v>1.65</v>
          </cell>
          <cell r="K9">
            <v>1</v>
          </cell>
          <cell r="L9">
            <v>20111231</v>
          </cell>
          <cell r="M9">
            <v>0.4</v>
          </cell>
          <cell r="N9">
            <v>20120314</v>
          </cell>
        </row>
        <row r="10">
          <cell r="A10" t="str">
            <v>D</v>
          </cell>
          <cell r="B10" t="str">
            <v>D</v>
          </cell>
          <cell r="C10" t="str">
            <v>DOMINION RES INC</v>
          </cell>
          <cell r="D10">
            <v>20111215</v>
          </cell>
          <cell r="E10" t="str">
            <v>EPS</v>
          </cell>
          <cell r="F10" t="str">
            <v>ANN</v>
          </cell>
          <cell r="G10">
            <v>1</v>
          </cell>
          <cell r="H10">
            <v>17</v>
          </cell>
          <cell r="I10">
            <v>3.14</v>
          </cell>
          <cell r="J10">
            <v>3.13</v>
          </cell>
          <cell r="K10">
            <v>1</v>
          </cell>
          <cell r="L10">
            <v>20111231</v>
          </cell>
          <cell r="M10">
            <v>3.05</v>
          </cell>
          <cell r="N10">
            <v>20120127</v>
          </cell>
        </row>
        <row r="11">
          <cell r="A11" t="str">
            <v>DPL</v>
          </cell>
          <cell r="B11" t="str">
            <v>DPL</v>
          </cell>
          <cell r="C11" t="str">
            <v>DPL INC</v>
          </cell>
          <cell r="D11">
            <v>20111215</v>
          </cell>
          <cell r="E11" t="str">
            <v>EPS</v>
          </cell>
          <cell r="F11" t="str">
            <v>ANN</v>
          </cell>
          <cell r="G11">
            <v>1</v>
          </cell>
          <cell r="H11">
            <v>2</v>
          </cell>
          <cell r="I11">
            <v>2.29</v>
          </cell>
          <cell r="J11">
            <v>2.29</v>
          </cell>
          <cell r="K11">
            <v>1</v>
          </cell>
          <cell r="L11">
            <v>20111231</v>
          </cell>
        </row>
        <row r="12">
          <cell r="A12" t="str">
            <v>DTE</v>
          </cell>
          <cell r="B12" t="str">
            <v>DTE</v>
          </cell>
          <cell r="C12" t="str">
            <v>DTE ENERGY</v>
          </cell>
          <cell r="D12">
            <v>20111215</v>
          </cell>
          <cell r="E12" t="str">
            <v>EPS</v>
          </cell>
          <cell r="F12" t="str">
            <v>ANN</v>
          </cell>
          <cell r="G12">
            <v>1</v>
          </cell>
          <cell r="H12">
            <v>14</v>
          </cell>
          <cell r="I12">
            <v>3.61</v>
          </cell>
          <cell r="J12">
            <v>3.62</v>
          </cell>
          <cell r="K12">
            <v>1</v>
          </cell>
          <cell r="L12">
            <v>20111231</v>
          </cell>
          <cell r="M12">
            <v>3.71</v>
          </cell>
          <cell r="N12">
            <v>20120216</v>
          </cell>
        </row>
        <row r="13">
          <cell r="A13" t="str">
            <v>DUK</v>
          </cell>
          <cell r="B13" t="str">
            <v>DUK</v>
          </cell>
          <cell r="C13" t="str">
            <v>DUKE ENERGY CORP</v>
          </cell>
          <cell r="D13">
            <v>20111215</v>
          </cell>
          <cell r="E13" t="str">
            <v>EPS</v>
          </cell>
          <cell r="F13" t="str">
            <v>ANN</v>
          </cell>
          <cell r="G13">
            <v>1</v>
          </cell>
          <cell r="H13">
            <v>18</v>
          </cell>
          <cell r="I13">
            <v>4.26</v>
          </cell>
          <cell r="J13">
            <v>4.26</v>
          </cell>
          <cell r="K13">
            <v>1</v>
          </cell>
          <cell r="L13">
            <v>20111231</v>
          </cell>
          <cell r="M13">
            <v>4.38</v>
          </cell>
          <cell r="N13">
            <v>20120216</v>
          </cell>
        </row>
        <row r="14">
          <cell r="A14" t="str">
            <v>ED</v>
          </cell>
          <cell r="B14" t="str">
            <v>ED</v>
          </cell>
          <cell r="C14" t="str">
            <v>CONSOLIDATED EDI</v>
          </cell>
          <cell r="D14">
            <v>20111215</v>
          </cell>
          <cell r="E14" t="str">
            <v>EPS</v>
          </cell>
          <cell r="F14" t="str">
            <v>ANN</v>
          </cell>
          <cell r="G14">
            <v>1</v>
          </cell>
          <cell r="H14">
            <v>16</v>
          </cell>
          <cell r="I14">
            <v>3.59</v>
          </cell>
          <cell r="J14">
            <v>3.58</v>
          </cell>
          <cell r="K14">
            <v>1</v>
          </cell>
          <cell r="L14">
            <v>20111231</v>
          </cell>
          <cell r="M14">
            <v>3.62</v>
          </cell>
          <cell r="N14">
            <v>20120119</v>
          </cell>
        </row>
        <row r="15">
          <cell r="A15" t="str">
            <v>EDE</v>
          </cell>
          <cell r="B15" t="str">
            <v>EDE</v>
          </cell>
          <cell r="C15" t="str">
            <v>EMPIRE DIST ELEC</v>
          </cell>
          <cell r="D15">
            <v>20111215</v>
          </cell>
          <cell r="E15" t="str">
            <v>EPS</v>
          </cell>
          <cell r="F15" t="str">
            <v>ANN</v>
          </cell>
          <cell r="G15">
            <v>1</v>
          </cell>
          <cell r="H15">
            <v>3</v>
          </cell>
          <cell r="I15">
            <v>1.35</v>
          </cell>
          <cell r="J15">
            <v>1.32</v>
          </cell>
          <cell r="K15">
            <v>1</v>
          </cell>
          <cell r="L15">
            <v>20111231</v>
          </cell>
          <cell r="M15">
            <v>1.31</v>
          </cell>
          <cell r="N15">
            <v>20120202</v>
          </cell>
        </row>
        <row r="16">
          <cell r="A16" t="str">
            <v>NEE</v>
          </cell>
          <cell r="B16" t="str">
            <v>FPL</v>
          </cell>
          <cell r="C16" t="str">
            <v>NEXTERA ENERGY I</v>
          </cell>
          <cell r="D16">
            <v>20111215</v>
          </cell>
          <cell r="E16" t="str">
            <v>EPS</v>
          </cell>
          <cell r="F16" t="str">
            <v>ANN</v>
          </cell>
          <cell r="G16">
            <v>1</v>
          </cell>
          <cell r="H16">
            <v>23</v>
          </cell>
          <cell r="I16">
            <v>1.0900000000000001</v>
          </cell>
          <cell r="J16">
            <v>1.1000000000000001</v>
          </cell>
          <cell r="K16">
            <v>1</v>
          </cell>
          <cell r="L16">
            <v>20111231</v>
          </cell>
          <cell r="M16">
            <v>1.0974999999999999</v>
          </cell>
          <cell r="N16">
            <v>20120127</v>
          </cell>
        </row>
        <row r="17">
          <cell r="A17" t="str">
            <v>HE</v>
          </cell>
          <cell r="B17" t="str">
            <v>HE</v>
          </cell>
          <cell r="C17" t="str">
            <v>HAWAIIAN ELEC</v>
          </cell>
          <cell r="D17">
            <v>20111215</v>
          </cell>
          <cell r="E17" t="str">
            <v>EPS</v>
          </cell>
          <cell r="F17" t="str">
            <v>ANN</v>
          </cell>
          <cell r="G17">
            <v>1</v>
          </cell>
          <cell r="H17">
            <v>6</v>
          </cell>
          <cell r="I17">
            <v>1.41</v>
          </cell>
          <cell r="J17">
            <v>1.42</v>
          </cell>
          <cell r="K17">
            <v>1</v>
          </cell>
          <cell r="L17">
            <v>20111231</v>
          </cell>
          <cell r="M17">
            <v>1.44</v>
          </cell>
          <cell r="N17">
            <v>20120208</v>
          </cell>
        </row>
        <row r="18">
          <cell r="A18" t="str">
            <v>CNP</v>
          </cell>
          <cell r="B18" t="str">
            <v>HOU</v>
          </cell>
          <cell r="C18" t="str">
            <v>CENTERPOINT ENER</v>
          </cell>
          <cell r="D18">
            <v>20111215</v>
          </cell>
          <cell r="E18" t="str">
            <v>EPS</v>
          </cell>
          <cell r="F18" t="str">
            <v>ANN</v>
          </cell>
          <cell r="G18">
            <v>1</v>
          </cell>
          <cell r="H18">
            <v>12</v>
          </cell>
          <cell r="I18">
            <v>1.1399999999999999</v>
          </cell>
          <cell r="J18">
            <v>1.1399999999999999</v>
          </cell>
          <cell r="K18">
            <v>1</v>
          </cell>
          <cell r="L18">
            <v>20111231</v>
          </cell>
          <cell r="M18">
            <v>1.27</v>
          </cell>
          <cell r="N18">
            <v>20120229</v>
          </cell>
        </row>
        <row r="19">
          <cell r="A19" t="str">
            <v>IDA</v>
          </cell>
          <cell r="B19" t="str">
            <v>IDA</v>
          </cell>
          <cell r="C19" t="str">
            <v>IDACORP INC.</v>
          </cell>
          <cell r="D19">
            <v>20111215</v>
          </cell>
          <cell r="E19" t="str">
            <v>EPS</v>
          </cell>
          <cell r="F19" t="str">
            <v>ANN</v>
          </cell>
          <cell r="G19">
            <v>1</v>
          </cell>
          <cell r="H19">
            <v>4</v>
          </cell>
          <cell r="I19">
            <v>3.4</v>
          </cell>
          <cell r="J19">
            <v>3.38</v>
          </cell>
          <cell r="K19">
            <v>1</v>
          </cell>
          <cell r="L19">
            <v>20111231</v>
          </cell>
          <cell r="M19">
            <v>3.36</v>
          </cell>
          <cell r="N19">
            <v>20120222</v>
          </cell>
        </row>
        <row r="20">
          <cell r="A20" t="str">
            <v>WR</v>
          </cell>
          <cell r="B20" t="str">
            <v>KAN</v>
          </cell>
          <cell r="C20" t="str">
            <v>WESTAR ENERGY</v>
          </cell>
          <cell r="D20">
            <v>20111215</v>
          </cell>
          <cell r="E20" t="str">
            <v>EPS</v>
          </cell>
          <cell r="F20" t="str">
            <v>ANN</v>
          </cell>
          <cell r="G20">
            <v>1</v>
          </cell>
          <cell r="H20">
            <v>10</v>
          </cell>
          <cell r="I20">
            <v>1.8</v>
          </cell>
          <cell r="J20">
            <v>1.79</v>
          </cell>
          <cell r="K20">
            <v>1</v>
          </cell>
          <cell r="L20">
            <v>20111231</v>
          </cell>
          <cell r="M20">
            <v>1.81</v>
          </cell>
          <cell r="N20">
            <v>20120223</v>
          </cell>
        </row>
        <row r="21">
          <cell r="A21" t="str">
            <v>GXP</v>
          </cell>
          <cell r="B21" t="str">
            <v>KLT</v>
          </cell>
          <cell r="C21" t="str">
            <v>GREAT PLAINS</v>
          </cell>
          <cell r="D21">
            <v>20111215</v>
          </cell>
          <cell r="E21" t="str">
            <v>EPS</v>
          </cell>
          <cell r="F21" t="str">
            <v>ANN</v>
          </cell>
          <cell r="G21">
            <v>1</v>
          </cell>
          <cell r="H21">
            <v>5</v>
          </cell>
          <cell r="I21">
            <v>1.27</v>
          </cell>
          <cell r="J21">
            <v>1.28</v>
          </cell>
          <cell r="K21">
            <v>1</v>
          </cell>
          <cell r="L21">
            <v>20111231</v>
          </cell>
          <cell r="M21">
            <v>1.25</v>
          </cell>
          <cell r="N21">
            <v>20120227</v>
          </cell>
        </row>
        <row r="22">
          <cell r="A22" t="str">
            <v>MGEE</v>
          </cell>
          <cell r="B22" t="str">
            <v>MDSN</v>
          </cell>
          <cell r="C22" t="str">
            <v>MGE ENERGY INC</v>
          </cell>
          <cell r="D22">
            <v>20111215</v>
          </cell>
          <cell r="E22" t="str">
            <v>EPS</v>
          </cell>
          <cell r="F22" t="str">
            <v>ANN</v>
          </cell>
          <cell r="G22">
            <v>1</v>
          </cell>
          <cell r="H22">
            <v>1</v>
          </cell>
          <cell r="I22">
            <v>1.87</v>
          </cell>
          <cell r="J22">
            <v>1.87</v>
          </cell>
          <cell r="K22">
            <v>1</v>
          </cell>
          <cell r="L22">
            <v>20111231</v>
          </cell>
          <cell r="M22">
            <v>1.76</v>
          </cell>
          <cell r="N22">
            <v>20120224</v>
          </cell>
        </row>
        <row r="23">
          <cell r="A23" t="str">
            <v>ALE</v>
          </cell>
          <cell r="B23" t="str">
            <v>MPL</v>
          </cell>
          <cell r="C23" t="str">
            <v>ALLETE INC</v>
          </cell>
          <cell r="D23">
            <v>20111215</v>
          </cell>
          <cell r="E23" t="str">
            <v>EPS</v>
          </cell>
          <cell r="F23" t="str">
            <v>ANN</v>
          </cell>
          <cell r="G23">
            <v>1</v>
          </cell>
          <cell r="H23">
            <v>4</v>
          </cell>
          <cell r="I23">
            <v>2.42</v>
          </cell>
          <cell r="J23">
            <v>2.44</v>
          </cell>
          <cell r="K23">
            <v>1</v>
          </cell>
          <cell r="L23">
            <v>20111231</v>
          </cell>
          <cell r="M23">
            <v>2.39</v>
          </cell>
          <cell r="N23">
            <v>20120215</v>
          </cell>
        </row>
        <row r="24">
          <cell r="A24" t="str">
            <v>ETR</v>
          </cell>
          <cell r="B24" t="str">
            <v>MSU</v>
          </cell>
          <cell r="C24" t="str">
            <v>ENTERGY CP</v>
          </cell>
          <cell r="D24">
            <v>20111215</v>
          </cell>
          <cell r="E24" t="str">
            <v>EPS</v>
          </cell>
          <cell r="F24" t="str">
            <v>ANN</v>
          </cell>
          <cell r="G24">
            <v>1</v>
          </cell>
          <cell r="H24">
            <v>17</v>
          </cell>
          <cell r="I24">
            <v>7.55</v>
          </cell>
          <cell r="J24">
            <v>7.53</v>
          </cell>
          <cell r="K24">
            <v>1</v>
          </cell>
          <cell r="L24">
            <v>20111231</v>
          </cell>
          <cell r="M24">
            <v>7.62</v>
          </cell>
          <cell r="N24">
            <v>20120131</v>
          </cell>
        </row>
        <row r="25">
          <cell r="A25" t="str">
            <v>XEL</v>
          </cell>
          <cell r="B25" t="str">
            <v>NSP</v>
          </cell>
          <cell r="C25" t="str">
            <v>XCEL ENERGY INC</v>
          </cell>
          <cell r="D25">
            <v>20111215</v>
          </cell>
          <cell r="E25" t="str">
            <v>EPS</v>
          </cell>
          <cell r="F25" t="str">
            <v>ANN</v>
          </cell>
          <cell r="G25">
            <v>1</v>
          </cell>
          <cell r="H25">
            <v>17</v>
          </cell>
          <cell r="I25">
            <v>1.74</v>
          </cell>
          <cell r="J25">
            <v>1.74</v>
          </cell>
          <cell r="K25">
            <v>1</v>
          </cell>
          <cell r="L25">
            <v>20111231</v>
          </cell>
          <cell r="M25">
            <v>1.72</v>
          </cell>
          <cell r="N25">
            <v>20120202</v>
          </cell>
        </row>
        <row r="26">
          <cell r="A26" t="str">
            <v>NU</v>
          </cell>
          <cell r="B26" t="str">
            <v>NU</v>
          </cell>
          <cell r="C26" t="str">
            <v>NORTHEAST UTILS</v>
          </cell>
          <cell r="D26">
            <v>20111215</v>
          </cell>
          <cell r="E26" t="str">
            <v>EPS</v>
          </cell>
          <cell r="F26" t="str">
            <v>ANN</v>
          </cell>
          <cell r="G26">
            <v>1</v>
          </cell>
          <cell r="H26">
            <v>15</v>
          </cell>
          <cell r="I26">
            <v>2.35</v>
          </cell>
          <cell r="J26">
            <v>2.33</v>
          </cell>
          <cell r="K26">
            <v>1</v>
          </cell>
          <cell r="L26">
            <v>20111231</v>
          </cell>
          <cell r="M26">
            <v>2.38</v>
          </cell>
          <cell r="N26">
            <v>20120223</v>
          </cell>
        </row>
        <row r="27">
          <cell r="A27" t="str">
            <v>NWE</v>
          </cell>
          <cell r="B27" t="str">
            <v>NWPS</v>
          </cell>
          <cell r="C27" t="str">
            <v>NORTHWESTERN CP</v>
          </cell>
          <cell r="D27">
            <v>20111215</v>
          </cell>
          <cell r="E27" t="str">
            <v>EPS</v>
          </cell>
          <cell r="F27" t="str">
            <v>ANN</v>
          </cell>
          <cell r="G27">
            <v>1</v>
          </cell>
          <cell r="H27">
            <v>6</v>
          </cell>
          <cell r="I27">
            <v>2.33</v>
          </cell>
          <cell r="J27">
            <v>2.33</v>
          </cell>
          <cell r="K27">
            <v>1</v>
          </cell>
          <cell r="L27">
            <v>20111231</v>
          </cell>
          <cell r="M27">
            <v>2.5299999999999998</v>
          </cell>
          <cell r="N27">
            <v>20120216</v>
          </cell>
        </row>
        <row r="28">
          <cell r="A28" t="str">
            <v>FE</v>
          </cell>
          <cell r="B28" t="str">
            <v>OEC</v>
          </cell>
          <cell r="C28" t="str">
            <v>FIRSTENERGY CORP</v>
          </cell>
          <cell r="D28">
            <v>20111215</v>
          </cell>
          <cell r="E28" t="str">
            <v>EPS</v>
          </cell>
          <cell r="F28" t="str">
            <v>ANN</v>
          </cell>
          <cell r="G28">
            <v>1</v>
          </cell>
          <cell r="H28">
            <v>15</v>
          </cell>
          <cell r="I28">
            <v>3.35</v>
          </cell>
          <cell r="J28">
            <v>3.38</v>
          </cell>
          <cell r="K28">
            <v>1</v>
          </cell>
          <cell r="L28">
            <v>20111231</v>
          </cell>
          <cell r="M28">
            <v>3.64</v>
          </cell>
          <cell r="N28">
            <v>20120228</v>
          </cell>
        </row>
        <row r="29">
          <cell r="A29" t="str">
            <v>OGE</v>
          </cell>
          <cell r="B29" t="str">
            <v>OGE</v>
          </cell>
          <cell r="C29" t="str">
            <v>OGE ENERGY CORP</v>
          </cell>
          <cell r="D29">
            <v>20111215</v>
          </cell>
          <cell r="E29" t="str">
            <v>EPS</v>
          </cell>
          <cell r="F29" t="str">
            <v>ANN</v>
          </cell>
          <cell r="G29">
            <v>1</v>
          </cell>
          <cell r="H29">
            <v>6</v>
          </cell>
          <cell r="I29">
            <v>1.71</v>
          </cell>
          <cell r="J29">
            <v>1.7</v>
          </cell>
          <cell r="K29">
            <v>1</v>
          </cell>
          <cell r="L29">
            <v>20111231</v>
          </cell>
          <cell r="M29">
            <v>1.7150000000000001</v>
          </cell>
          <cell r="N29">
            <v>20120216</v>
          </cell>
        </row>
        <row r="30">
          <cell r="A30" t="str">
            <v>OTTR</v>
          </cell>
          <cell r="B30" t="str">
            <v>OTTR</v>
          </cell>
          <cell r="C30" t="str">
            <v>OTTER TAIL CORP.</v>
          </cell>
          <cell r="D30">
            <v>20111215</v>
          </cell>
          <cell r="E30" t="str">
            <v>EPS</v>
          </cell>
          <cell r="F30" t="str">
            <v>ANN</v>
          </cell>
          <cell r="G30">
            <v>1</v>
          </cell>
          <cell r="H30">
            <v>1</v>
          </cell>
          <cell r="I30">
            <v>0.68</v>
          </cell>
          <cell r="J30">
            <v>0.68</v>
          </cell>
          <cell r="K30">
            <v>1</v>
          </cell>
          <cell r="L30">
            <v>20111231</v>
          </cell>
          <cell r="M30">
            <v>0.46</v>
          </cell>
          <cell r="N30">
            <v>20120206</v>
          </cell>
        </row>
        <row r="31">
          <cell r="A31" t="str">
            <v>PCG</v>
          </cell>
          <cell r="B31" t="str">
            <v>PCG</v>
          </cell>
          <cell r="C31" t="str">
            <v>P G &amp; E CORP</v>
          </cell>
          <cell r="D31">
            <v>20111215</v>
          </cell>
          <cell r="E31" t="str">
            <v>EPS</v>
          </cell>
          <cell r="F31" t="str">
            <v>ANN</v>
          </cell>
          <cell r="G31">
            <v>1</v>
          </cell>
          <cell r="H31">
            <v>16</v>
          </cell>
          <cell r="I31">
            <v>3.52</v>
          </cell>
          <cell r="J31">
            <v>3.51</v>
          </cell>
          <cell r="K31">
            <v>1</v>
          </cell>
          <cell r="L31">
            <v>20111231</v>
          </cell>
          <cell r="M31">
            <v>3.58</v>
          </cell>
          <cell r="N31">
            <v>20120216</v>
          </cell>
        </row>
        <row r="32">
          <cell r="A32" t="str">
            <v>EXC</v>
          </cell>
          <cell r="B32" t="str">
            <v>PE</v>
          </cell>
          <cell r="C32" t="str">
            <v>EXELON CORP</v>
          </cell>
          <cell r="D32">
            <v>20111215</v>
          </cell>
          <cell r="E32" t="str">
            <v>EPS</v>
          </cell>
          <cell r="F32" t="str">
            <v>ANN</v>
          </cell>
          <cell r="G32">
            <v>1</v>
          </cell>
          <cell r="H32">
            <v>20</v>
          </cell>
          <cell r="I32">
            <v>4.21</v>
          </cell>
          <cell r="J32">
            <v>4.21</v>
          </cell>
          <cell r="K32">
            <v>1</v>
          </cell>
          <cell r="L32">
            <v>20111231</v>
          </cell>
          <cell r="M32">
            <v>4.16</v>
          </cell>
          <cell r="N32">
            <v>20120125</v>
          </cell>
        </row>
        <row r="33">
          <cell r="A33" t="str">
            <v>PEG</v>
          </cell>
          <cell r="B33" t="str">
            <v>PEG</v>
          </cell>
          <cell r="C33" t="str">
            <v>PUB SVC ENTERS</v>
          </cell>
          <cell r="D33">
            <v>20111215</v>
          </cell>
          <cell r="E33" t="str">
            <v>EPS</v>
          </cell>
          <cell r="F33" t="str">
            <v>ANN</v>
          </cell>
          <cell r="G33">
            <v>1</v>
          </cell>
          <cell r="H33">
            <v>16</v>
          </cell>
          <cell r="I33">
            <v>2.73</v>
          </cell>
          <cell r="J33">
            <v>2.73</v>
          </cell>
          <cell r="K33">
            <v>1</v>
          </cell>
          <cell r="L33">
            <v>20111231</v>
          </cell>
          <cell r="M33">
            <v>2.74</v>
          </cell>
          <cell r="N33">
            <v>20120223</v>
          </cell>
        </row>
        <row r="34">
          <cell r="A34" t="str">
            <v>PNM</v>
          </cell>
          <cell r="B34" t="str">
            <v>PNM</v>
          </cell>
          <cell r="C34" t="str">
            <v>PNM RESOURCES</v>
          </cell>
          <cell r="D34">
            <v>20111215</v>
          </cell>
          <cell r="E34" t="str">
            <v>EPS</v>
          </cell>
          <cell r="F34" t="str">
            <v>ANN</v>
          </cell>
          <cell r="G34">
            <v>1</v>
          </cell>
          <cell r="H34">
            <v>8</v>
          </cell>
          <cell r="I34">
            <v>1.02</v>
          </cell>
          <cell r="J34">
            <v>1.02</v>
          </cell>
          <cell r="K34">
            <v>1</v>
          </cell>
          <cell r="L34">
            <v>20111231</v>
          </cell>
          <cell r="M34">
            <v>1.08</v>
          </cell>
          <cell r="N34">
            <v>20120229</v>
          </cell>
        </row>
        <row r="35">
          <cell r="A35" t="str">
            <v>POM</v>
          </cell>
          <cell r="B35" t="str">
            <v>POM</v>
          </cell>
          <cell r="C35" t="str">
            <v>PEPCO HOLDINGS</v>
          </cell>
          <cell r="D35">
            <v>20111215</v>
          </cell>
          <cell r="E35" t="str">
            <v>EPS</v>
          </cell>
          <cell r="F35" t="str">
            <v>ANN</v>
          </cell>
          <cell r="G35">
            <v>1</v>
          </cell>
          <cell r="H35">
            <v>10</v>
          </cell>
          <cell r="I35">
            <v>1.23</v>
          </cell>
          <cell r="J35">
            <v>1.23</v>
          </cell>
          <cell r="K35">
            <v>1</v>
          </cell>
          <cell r="L35">
            <v>20111231</v>
          </cell>
          <cell r="M35">
            <v>1.25</v>
          </cell>
          <cell r="N35">
            <v>20120224</v>
          </cell>
        </row>
        <row r="36">
          <cell r="A36" t="str">
            <v>POR</v>
          </cell>
          <cell r="B36" t="str">
            <v>PORO</v>
          </cell>
          <cell r="C36" t="str">
            <v>PORTLAND GENERAL</v>
          </cell>
          <cell r="D36">
            <v>20111215</v>
          </cell>
          <cell r="E36" t="str">
            <v>EPS</v>
          </cell>
          <cell r="F36" t="str">
            <v>ANN</v>
          </cell>
          <cell r="G36">
            <v>1</v>
          </cell>
          <cell r="H36">
            <v>12</v>
          </cell>
          <cell r="I36">
            <v>2</v>
          </cell>
          <cell r="J36">
            <v>2</v>
          </cell>
          <cell r="K36">
            <v>1</v>
          </cell>
          <cell r="L36">
            <v>20111231</v>
          </cell>
          <cell r="M36">
            <v>1.95</v>
          </cell>
          <cell r="N36">
            <v>20120224</v>
          </cell>
        </row>
        <row r="37">
          <cell r="A37" t="str">
            <v>PPL</v>
          </cell>
          <cell r="B37" t="str">
            <v>PPL</v>
          </cell>
          <cell r="C37" t="str">
            <v>PP&amp;L CORP</v>
          </cell>
          <cell r="D37">
            <v>20111215</v>
          </cell>
          <cell r="E37" t="str">
            <v>EPS</v>
          </cell>
          <cell r="F37" t="str">
            <v>ANN</v>
          </cell>
          <cell r="G37">
            <v>1</v>
          </cell>
          <cell r="H37">
            <v>17</v>
          </cell>
          <cell r="I37">
            <v>2.65</v>
          </cell>
          <cell r="J37">
            <v>2.63</v>
          </cell>
          <cell r="K37">
            <v>1</v>
          </cell>
          <cell r="L37">
            <v>20111231</v>
          </cell>
          <cell r="M37">
            <v>2.72</v>
          </cell>
          <cell r="N37">
            <v>20120210</v>
          </cell>
        </row>
        <row r="38">
          <cell r="A38" t="str">
            <v>EIX</v>
          </cell>
          <cell r="B38" t="str">
            <v>SCE</v>
          </cell>
          <cell r="C38" t="str">
            <v>EDISON INTL</v>
          </cell>
          <cell r="D38">
            <v>20111215</v>
          </cell>
          <cell r="E38" t="str">
            <v>EPS</v>
          </cell>
          <cell r="F38" t="str">
            <v>ANN</v>
          </cell>
          <cell r="G38">
            <v>1</v>
          </cell>
          <cell r="H38">
            <v>15</v>
          </cell>
          <cell r="I38">
            <v>2.94</v>
          </cell>
          <cell r="J38">
            <v>2.93</v>
          </cell>
          <cell r="K38">
            <v>1</v>
          </cell>
          <cell r="L38">
            <v>20111231</v>
          </cell>
          <cell r="M38">
            <v>3.22</v>
          </cell>
          <cell r="N38">
            <v>20120229</v>
          </cell>
        </row>
        <row r="39">
          <cell r="A39" t="str">
            <v>SCG</v>
          </cell>
          <cell r="B39" t="str">
            <v>SCG</v>
          </cell>
          <cell r="C39" t="str">
            <v>SCANA CP</v>
          </cell>
          <cell r="D39">
            <v>20111215</v>
          </cell>
          <cell r="E39" t="str">
            <v>EPS</v>
          </cell>
          <cell r="F39" t="str">
            <v>ANN</v>
          </cell>
          <cell r="G39">
            <v>1</v>
          </cell>
          <cell r="H39">
            <v>12</v>
          </cell>
          <cell r="I39">
            <v>3.04</v>
          </cell>
          <cell r="J39">
            <v>3.04</v>
          </cell>
          <cell r="K39">
            <v>1</v>
          </cell>
          <cell r="L39">
            <v>20111231</v>
          </cell>
          <cell r="M39">
            <v>2.97</v>
          </cell>
          <cell r="N39">
            <v>20120215</v>
          </cell>
        </row>
        <row r="40">
          <cell r="A40" t="str">
            <v>SRE</v>
          </cell>
          <cell r="B40" t="str">
            <v>SDO</v>
          </cell>
          <cell r="C40" t="str">
            <v>SEMPRA ENERGY</v>
          </cell>
          <cell r="D40">
            <v>20111215</v>
          </cell>
          <cell r="E40" t="str">
            <v>EPS</v>
          </cell>
          <cell r="F40" t="str">
            <v>ANN</v>
          </cell>
          <cell r="G40">
            <v>1</v>
          </cell>
          <cell r="H40">
            <v>9</v>
          </cell>
          <cell r="I40">
            <v>4.25</v>
          </cell>
          <cell r="J40">
            <v>4.22</v>
          </cell>
          <cell r="K40">
            <v>1</v>
          </cell>
          <cell r="L40">
            <v>20111231</v>
          </cell>
          <cell r="M40">
            <v>4.47</v>
          </cell>
          <cell r="N40">
            <v>20120228</v>
          </cell>
        </row>
        <row r="41">
          <cell r="A41" t="str">
            <v>VVC</v>
          </cell>
          <cell r="B41" t="str">
            <v>SIG</v>
          </cell>
          <cell r="C41" t="str">
            <v>VECTREN CORP</v>
          </cell>
          <cell r="D41">
            <v>20111215</v>
          </cell>
          <cell r="E41" t="str">
            <v>EPS</v>
          </cell>
          <cell r="F41" t="str">
            <v>ANN</v>
          </cell>
          <cell r="G41">
            <v>1</v>
          </cell>
          <cell r="H41">
            <v>6</v>
          </cell>
          <cell r="I41">
            <v>1.73</v>
          </cell>
          <cell r="J41">
            <v>1.71</v>
          </cell>
          <cell r="K41">
            <v>1</v>
          </cell>
          <cell r="L41">
            <v>20111231</v>
          </cell>
          <cell r="M41">
            <v>1.73</v>
          </cell>
          <cell r="N41">
            <v>20120215</v>
          </cell>
        </row>
        <row r="42">
          <cell r="A42" t="str">
            <v>SO</v>
          </cell>
          <cell r="B42" t="str">
            <v>SO</v>
          </cell>
          <cell r="C42" t="str">
            <v>SOUTHN CO</v>
          </cell>
          <cell r="D42">
            <v>20111215</v>
          </cell>
          <cell r="E42" t="str">
            <v>EPS</v>
          </cell>
          <cell r="F42" t="str">
            <v>ANN</v>
          </cell>
          <cell r="G42">
            <v>1</v>
          </cell>
          <cell r="H42">
            <v>20</v>
          </cell>
          <cell r="I42">
            <v>2.56</v>
          </cell>
          <cell r="J42">
            <v>2.5499999999999998</v>
          </cell>
          <cell r="K42">
            <v>1</v>
          </cell>
          <cell r="L42">
            <v>20111231</v>
          </cell>
          <cell r="M42">
            <v>2.57</v>
          </cell>
          <cell r="N42">
            <v>20120125</v>
          </cell>
        </row>
        <row r="43">
          <cell r="A43" t="str">
            <v>TE</v>
          </cell>
          <cell r="B43" t="str">
            <v>TE</v>
          </cell>
          <cell r="C43" t="str">
            <v>TECO ENERGY INC</v>
          </cell>
          <cell r="D43">
            <v>20111215</v>
          </cell>
          <cell r="E43" t="str">
            <v>EPS</v>
          </cell>
          <cell r="F43" t="str">
            <v>ANN</v>
          </cell>
          <cell r="G43">
            <v>1</v>
          </cell>
          <cell r="H43">
            <v>18</v>
          </cell>
          <cell r="I43">
            <v>1.3</v>
          </cell>
          <cell r="J43">
            <v>1.31</v>
          </cell>
          <cell r="K43">
            <v>1</v>
          </cell>
          <cell r="L43">
            <v>20111231</v>
          </cell>
          <cell r="M43">
            <v>1.27</v>
          </cell>
          <cell r="N43">
            <v>20120202</v>
          </cell>
        </row>
        <row r="44">
          <cell r="A44" t="str">
            <v>AEE</v>
          </cell>
          <cell r="B44" t="str">
            <v>UEP</v>
          </cell>
          <cell r="C44" t="str">
            <v>AMEREN CP</v>
          </cell>
          <cell r="D44">
            <v>20111215</v>
          </cell>
          <cell r="E44" t="str">
            <v>EPS</v>
          </cell>
          <cell r="F44" t="str">
            <v>ANN</v>
          </cell>
          <cell r="G44">
            <v>1</v>
          </cell>
          <cell r="H44">
            <v>8</v>
          </cell>
          <cell r="I44">
            <v>2.5499999999999998</v>
          </cell>
          <cell r="J44">
            <v>2.5299999999999998</v>
          </cell>
          <cell r="K44">
            <v>1</v>
          </cell>
          <cell r="L44">
            <v>20111231</v>
          </cell>
          <cell r="M44">
            <v>2.56</v>
          </cell>
          <cell r="N44">
            <v>20120223</v>
          </cell>
        </row>
        <row r="45">
          <cell r="A45" t="str">
            <v>UIL</v>
          </cell>
          <cell r="B45" t="str">
            <v>UIL</v>
          </cell>
          <cell r="C45" t="str">
            <v>UIL HOLDING CORP</v>
          </cell>
          <cell r="D45">
            <v>20111215</v>
          </cell>
          <cell r="E45" t="str">
            <v>EPS</v>
          </cell>
          <cell r="F45" t="str">
            <v>ANN</v>
          </cell>
          <cell r="G45">
            <v>1</v>
          </cell>
          <cell r="H45">
            <v>7</v>
          </cell>
          <cell r="I45">
            <v>1.95</v>
          </cell>
          <cell r="J45">
            <v>1.96</v>
          </cell>
          <cell r="K45">
            <v>1</v>
          </cell>
          <cell r="L45">
            <v>20111231</v>
          </cell>
          <cell r="M45">
            <v>1.95</v>
          </cell>
          <cell r="N45">
            <v>20120222</v>
          </cell>
        </row>
        <row r="46">
          <cell r="A46" t="str">
            <v>WEC</v>
          </cell>
          <cell r="B46" t="str">
            <v>WPC</v>
          </cell>
          <cell r="C46" t="str">
            <v>WISCONSIN ENERGY</v>
          </cell>
          <cell r="D46">
            <v>20111215</v>
          </cell>
          <cell r="E46" t="str">
            <v>EPS</v>
          </cell>
          <cell r="F46" t="str">
            <v>ANN</v>
          </cell>
          <cell r="G46">
            <v>1</v>
          </cell>
          <cell r="H46">
            <v>16</v>
          </cell>
          <cell r="I46">
            <v>2.15</v>
          </cell>
          <cell r="J46">
            <v>2.15</v>
          </cell>
          <cell r="K46">
            <v>1</v>
          </cell>
          <cell r="L46">
            <v>20111231</v>
          </cell>
          <cell r="M46">
            <v>2.1800000000000002</v>
          </cell>
          <cell r="N46">
            <v>20120202</v>
          </cell>
        </row>
        <row r="47">
          <cell r="A47" t="str">
            <v>LNT</v>
          </cell>
          <cell r="B47" t="str">
            <v>WPL</v>
          </cell>
          <cell r="C47" t="str">
            <v>ALLIANT ENER</v>
          </cell>
          <cell r="D47">
            <v>20111215</v>
          </cell>
          <cell r="E47" t="str">
            <v>EPS</v>
          </cell>
          <cell r="F47" t="str">
            <v>ANN</v>
          </cell>
          <cell r="G47">
            <v>1</v>
          </cell>
          <cell r="H47">
            <v>10</v>
          </cell>
          <cell r="I47">
            <v>1.41</v>
          </cell>
          <cell r="J47">
            <v>1.41</v>
          </cell>
          <cell r="K47">
            <v>1</v>
          </cell>
          <cell r="L47">
            <v>20111231</v>
          </cell>
          <cell r="M47">
            <v>1.375</v>
          </cell>
          <cell r="N47">
            <v>20120210</v>
          </cell>
        </row>
        <row r="48">
          <cell r="A48" t="str">
            <v>AVA</v>
          </cell>
          <cell r="B48" t="str">
            <v>WWP</v>
          </cell>
          <cell r="C48" t="str">
            <v>AVISTA CORP</v>
          </cell>
          <cell r="D48">
            <v>20111215</v>
          </cell>
          <cell r="E48" t="str">
            <v>EPS</v>
          </cell>
          <cell r="F48" t="str">
            <v>ANN</v>
          </cell>
          <cell r="G48">
            <v>1</v>
          </cell>
          <cell r="H48">
            <v>5</v>
          </cell>
          <cell r="I48">
            <v>1.75</v>
          </cell>
          <cell r="J48">
            <v>1.76</v>
          </cell>
          <cell r="K48">
            <v>1</v>
          </cell>
          <cell r="L48">
            <v>20111231</v>
          </cell>
          <cell r="M48">
            <v>1.72</v>
          </cell>
          <cell r="N48">
            <v>20120215</v>
          </cell>
        </row>
        <row r="49">
          <cell r="A49" t="str">
            <v>PPL</v>
          </cell>
          <cell r="B49" t="str">
            <v>@1XJ</v>
          </cell>
          <cell r="C49" t="str">
            <v>PUMPKIN PATCH LT</v>
          </cell>
          <cell r="D49">
            <v>20111215</v>
          </cell>
          <cell r="E49" t="str">
            <v>EPS</v>
          </cell>
          <cell r="F49" t="str">
            <v>ANN</v>
          </cell>
          <cell r="G49">
            <v>1</v>
          </cell>
          <cell r="H49">
            <v>5</v>
          </cell>
          <cell r="I49">
            <v>5.7000000000000002E-2</v>
          </cell>
          <cell r="J49">
            <v>6.0999999999999999E-2</v>
          </cell>
          <cell r="K49">
            <v>0</v>
          </cell>
          <cell r="L49">
            <v>20120731</v>
          </cell>
          <cell r="M49">
            <v>0.06</v>
          </cell>
          <cell r="N49">
            <v>20120926</v>
          </cell>
        </row>
        <row r="50">
          <cell r="A50" t="str">
            <v>PPL</v>
          </cell>
          <cell r="B50" t="str">
            <v>@1Z1</v>
          </cell>
          <cell r="C50" t="str">
            <v>PPL</v>
          </cell>
          <cell r="D50">
            <v>20111215</v>
          </cell>
          <cell r="E50" t="str">
            <v>EPS</v>
          </cell>
          <cell r="F50" t="str">
            <v>ANN</v>
          </cell>
          <cell r="G50">
            <v>1</v>
          </cell>
          <cell r="H50">
            <v>4</v>
          </cell>
          <cell r="I50">
            <v>15.15</v>
          </cell>
          <cell r="J50">
            <v>15.23</v>
          </cell>
          <cell r="K50">
            <v>0</v>
          </cell>
          <cell r="L50">
            <v>20120630</v>
          </cell>
          <cell r="M50">
            <v>15.038600000000001</v>
          </cell>
          <cell r="N50">
            <v>20120813</v>
          </cell>
        </row>
        <row r="51">
          <cell r="A51" t="str">
            <v>CNP</v>
          </cell>
          <cell r="B51" t="str">
            <v>@3QP</v>
          </cell>
          <cell r="C51" t="str">
            <v>CONAFI PRESTITO</v>
          </cell>
          <cell r="D51">
            <v>20111215</v>
          </cell>
          <cell r="E51" t="str">
            <v>EPS</v>
          </cell>
          <cell r="F51" t="str">
            <v>ANN</v>
          </cell>
          <cell r="G51">
            <v>1</v>
          </cell>
          <cell r="H51">
            <v>1</v>
          </cell>
          <cell r="I51">
            <v>-0.03</v>
          </cell>
          <cell r="J51">
            <v>-0.03</v>
          </cell>
          <cell r="K51">
            <v>0</v>
          </cell>
          <cell r="L51">
            <v>20111231</v>
          </cell>
          <cell r="M51">
            <v>-0.08</v>
          </cell>
          <cell r="N51">
            <v>20120412</v>
          </cell>
        </row>
        <row r="52">
          <cell r="A52" t="str">
            <v>DPL</v>
          </cell>
          <cell r="B52" t="str">
            <v>@6OD</v>
          </cell>
          <cell r="C52" t="str">
            <v>DOMINION PETROLE</v>
          </cell>
          <cell r="D52">
            <v>20111215</v>
          </cell>
          <cell r="E52" t="str">
            <v>EPS</v>
          </cell>
          <cell r="F52" t="str">
            <v>ANN</v>
          </cell>
          <cell r="G52">
            <v>1</v>
          </cell>
          <cell r="H52">
            <v>5</v>
          </cell>
          <cell r="I52">
            <v>0</v>
          </cell>
          <cell r="J52">
            <v>-0.06</v>
          </cell>
          <cell r="K52">
            <v>0</v>
          </cell>
          <cell r="L52">
            <v>20111231</v>
          </cell>
        </row>
        <row r="53">
          <cell r="A53" t="str">
            <v>XEL</v>
          </cell>
          <cell r="B53" t="str">
            <v>@6Q7</v>
          </cell>
          <cell r="C53" t="str">
            <v>XCITE ENERGY LTD</v>
          </cell>
          <cell r="D53">
            <v>20111215</v>
          </cell>
          <cell r="E53" t="str">
            <v>EPS</v>
          </cell>
          <cell r="F53" t="str">
            <v>ANN</v>
          </cell>
          <cell r="G53">
            <v>1</v>
          </cell>
          <cell r="H53">
            <v>2</v>
          </cell>
          <cell r="I53">
            <v>-3.27</v>
          </cell>
          <cell r="J53">
            <v>-3.27</v>
          </cell>
          <cell r="K53">
            <v>0</v>
          </cell>
          <cell r="L53">
            <v>20111231</v>
          </cell>
          <cell r="M53">
            <v>0.1</v>
          </cell>
          <cell r="N53">
            <v>20120323</v>
          </cell>
        </row>
        <row r="54">
          <cell r="A54" t="str">
            <v>AGR</v>
          </cell>
          <cell r="B54" t="str">
            <v>@A7S</v>
          </cell>
          <cell r="C54" t="str">
            <v>AGROB IMMOBILIEN</v>
          </cell>
          <cell r="D54">
            <v>20111215</v>
          </cell>
          <cell r="E54" t="str">
            <v>EPS</v>
          </cell>
          <cell r="F54" t="str">
            <v>ANN</v>
          </cell>
          <cell r="G54">
            <v>1</v>
          </cell>
          <cell r="H54">
            <v>1</v>
          </cell>
          <cell r="I54">
            <v>0.4</v>
          </cell>
          <cell r="J54">
            <v>0.4</v>
          </cell>
          <cell r="K54">
            <v>0</v>
          </cell>
          <cell r="L54">
            <v>20111231</v>
          </cell>
          <cell r="M54">
            <v>0.41</v>
          </cell>
          <cell r="N54">
            <v>20120427</v>
          </cell>
        </row>
        <row r="55">
          <cell r="A55" t="str">
            <v>AGR</v>
          </cell>
          <cell r="B55" t="str">
            <v>@AR7</v>
          </cell>
          <cell r="C55" t="str">
            <v>AGRANA VZ</v>
          </cell>
          <cell r="D55">
            <v>20111215</v>
          </cell>
          <cell r="E55" t="str">
            <v>EPS</v>
          </cell>
          <cell r="F55" t="str">
            <v>ANN</v>
          </cell>
          <cell r="G55">
            <v>1</v>
          </cell>
          <cell r="H55">
            <v>4</v>
          </cell>
          <cell r="I55">
            <v>1.99</v>
          </cell>
          <cell r="J55">
            <v>2.0099999999999998</v>
          </cell>
          <cell r="K55">
            <v>0</v>
          </cell>
          <cell r="L55">
            <v>20120229</v>
          </cell>
          <cell r="M55">
            <v>2.6682000000000001</v>
          </cell>
          <cell r="N55">
            <v>20120515</v>
          </cell>
        </row>
        <row r="56">
          <cell r="A56" t="str">
            <v>CNL</v>
          </cell>
          <cell r="B56" t="str">
            <v>@CCDA</v>
          </cell>
          <cell r="C56" t="str">
            <v>CELAMIN HOLDINGS</v>
          </cell>
          <cell r="D56">
            <v>20111215</v>
          </cell>
          <cell r="E56" t="str">
            <v>EPS</v>
          </cell>
          <cell r="F56" t="str">
            <v>ANN</v>
          </cell>
          <cell r="G56">
            <v>1</v>
          </cell>
          <cell r="H56">
            <v>1</v>
          </cell>
          <cell r="I56">
            <v>-0.72599999999999998</v>
          </cell>
          <cell r="J56">
            <v>-0.72599999999999998</v>
          </cell>
          <cell r="K56">
            <v>0</v>
          </cell>
          <cell r="L56">
            <v>20120630</v>
          </cell>
          <cell r="M56">
            <v>-2.2395</v>
          </cell>
          <cell r="N56">
            <v>20120927</v>
          </cell>
        </row>
        <row r="57">
          <cell r="A57" t="str">
            <v>CNP</v>
          </cell>
          <cell r="B57" t="str">
            <v>@CN0</v>
          </cell>
          <cell r="C57" t="str">
            <v>CNP ASSURANCES</v>
          </cell>
          <cell r="D57">
            <v>20111215</v>
          </cell>
          <cell r="E57" t="str">
            <v>EPS</v>
          </cell>
          <cell r="F57" t="str">
            <v>ANN</v>
          </cell>
          <cell r="G57">
            <v>1</v>
          </cell>
          <cell r="H57">
            <v>17</v>
          </cell>
          <cell r="I57">
            <v>1.35</v>
          </cell>
          <cell r="J57">
            <v>1.37</v>
          </cell>
          <cell r="K57">
            <v>0</v>
          </cell>
          <cell r="L57">
            <v>20111231</v>
          </cell>
          <cell r="M57">
            <v>1.74</v>
          </cell>
          <cell r="N57">
            <v>20120222</v>
          </cell>
        </row>
        <row r="58">
          <cell r="A58" t="str">
            <v>SO</v>
          </cell>
          <cell r="B58" t="str">
            <v>@DAM</v>
          </cell>
          <cell r="C58" t="str">
            <v>SOMFY</v>
          </cell>
          <cell r="D58">
            <v>20111215</v>
          </cell>
          <cell r="E58" t="str">
            <v>EPS</v>
          </cell>
          <cell r="F58" t="str">
            <v>ANN</v>
          </cell>
          <cell r="G58">
            <v>1</v>
          </cell>
          <cell r="H58">
            <v>4</v>
          </cell>
          <cell r="I58">
            <v>2.6</v>
          </cell>
          <cell r="J58">
            <v>2.7</v>
          </cell>
          <cell r="K58">
            <v>0</v>
          </cell>
          <cell r="L58">
            <v>20111231</v>
          </cell>
          <cell r="M58">
            <v>4.2699999999999996</v>
          </cell>
          <cell r="N58">
            <v>20120227</v>
          </cell>
        </row>
        <row r="59">
          <cell r="A59" t="str">
            <v>DTE</v>
          </cell>
          <cell r="B59" t="str">
            <v>@DT</v>
          </cell>
          <cell r="C59" t="str">
            <v>DEUTSCHE TELEKOM</v>
          </cell>
          <cell r="D59">
            <v>20111215</v>
          </cell>
          <cell r="E59" t="str">
            <v>EPS</v>
          </cell>
          <cell r="F59" t="str">
            <v>ANN</v>
          </cell>
          <cell r="G59">
            <v>1</v>
          </cell>
          <cell r="H59">
            <v>19</v>
          </cell>
          <cell r="I59">
            <v>0.7</v>
          </cell>
          <cell r="J59">
            <v>0.63</v>
          </cell>
          <cell r="K59">
            <v>0</v>
          </cell>
          <cell r="L59">
            <v>20111231</v>
          </cell>
          <cell r="M59">
            <v>0.66</v>
          </cell>
          <cell r="N59">
            <v>20120223</v>
          </cell>
        </row>
        <row r="60">
          <cell r="A60" t="str">
            <v>CMS</v>
          </cell>
          <cell r="B60" t="str">
            <v>@HMD</v>
          </cell>
          <cell r="C60" t="str">
            <v>CAHYA MATA SARA.</v>
          </cell>
          <cell r="D60">
            <v>20111215</v>
          </cell>
          <cell r="E60" t="str">
            <v>EPS</v>
          </cell>
          <cell r="F60" t="str">
            <v>ANN</v>
          </cell>
          <cell r="G60">
            <v>1</v>
          </cell>
          <cell r="H60">
            <v>1</v>
          </cell>
          <cell r="I60">
            <v>0.08</v>
          </cell>
          <cell r="J60">
            <v>0.08</v>
          </cell>
          <cell r="K60">
            <v>0</v>
          </cell>
          <cell r="L60">
            <v>20111231</v>
          </cell>
          <cell r="N60">
            <v>20120228</v>
          </cell>
        </row>
        <row r="61">
          <cell r="A61" t="str">
            <v>POM</v>
          </cell>
          <cell r="B61" t="str">
            <v>@IH0</v>
          </cell>
          <cell r="C61" t="str">
            <v>POMINA STEEL</v>
          </cell>
          <cell r="D61">
            <v>20111215</v>
          </cell>
          <cell r="E61" t="str">
            <v>EPS</v>
          </cell>
          <cell r="F61" t="str">
            <v>ANN</v>
          </cell>
          <cell r="G61">
            <v>1</v>
          </cell>
          <cell r="H61">
            <v>1</v>
          </cell>
          <cell r="I61">
            <v>3375.9</v>
          </cell>
          <cell r="J61">
            <v>3375.9</v>
          </cell>
          <cell r="K61">
            <v>0</v>
          </cell>
          <cell r="L61">
            <v>20111231</v>
          </cell>
          <cell r="M61">
            <v>1116.0284999999999</v>
          </cell>
          <cell r="N61">
            <v>20120220</v>
          </cell>
        </row>
        <row r="62">
          <cell r="A62" t="str">
            <v>PGN</v>
          </cell>
          <cell r="B62" t="str">
            <v>@J5W</v>
          </cell>
          <cell r="C62" t="str">
            <v>POLISH OIL &amp; GAS</v>
          </cell>
          <cell r="D62">
            <v>20111215</v>
          </cell>
          <cell r="E62" t="str">
            <v>EPS</v>
          </cell>
          <cell r="F62" t="str">
            <v>ANN</v>
          </cell>
          <cell r="G62">
            <v>1</v>
          </cell>
          <cell r="H62">
            <v>12</v>
          </cell>
          <cell r="I62">
            <v>0.23</v>
          </cell>
          <cell r="J62">
            <v>0.24</v>
          </cell>
          <cell r="K62">
            <v>0</v>
          </cell>
          <cell r="L62">
            <v>20111231</v>
          </cell>
          <cell r="M62">
            <v>0.28000000000000003</v>
          </cell>
          <cell r="N62">
            <v>20120320</v>
          </cell>
        </row>
        <row r="63">
          <cell r="A63" t="str">
            <v>DTE</v>
          </cell>
          <cell r="B63" t="str">
            <v>@L64</v>
          </cell>
          <cell r="C63" t="str">
            <v>DART ENERGY</v>
          </cell>
          <cell r="D63">
            <v>20111215</v>
          </cell>
          <cell r="E63" t="str">
            <v>EPS</v>
          </cell>
          <cell r="F63" t="str">
            <v>ANN</v>
          </cell>
          <cell r="G63">
            <v>1</v>
          </cell>
          <cell r="H63">
            <v>5</v>
          </cell>
          <cell r="I63">
            <v>-2.7E-2</v>
          </cell>
          <cell r="J63">
            <v>-0.03</v>
          </cell>
          <cell r="K63">
            <v>0</v>
          </cell>
          <cell r="L63">
            <v>20120630</v>
          </cell>
          <cell r="M63">
            <v>-3.6799999999999999E-2</v>
          </cell>
          <cell r="N63">
            <v>20120912</v>
          </cell>
        </row>
        <row r="64">
          <cell r="A64" t="str">
            <v>SRE</v>
          </cell>
          <cell r="B64" t="str">
            <v>@O5S</v>
          </cell>
          <cell r="C64" t="str">
            <v>SALHIA REAL ESTA</v>
          </cell>
          <cell r="D64">
            <v>20111215</v>
          </cell>
          <cell r="E64" t="str">
            <v>EPS</v>
          </cell>
          <cell r="F64" t="str">
            <v>ANN</v>
          </cell>
          <cell r="G64">
            <v>1</v>
          </cell>
          <cell r="H64">
            <v>2</v>
          </cell>
          <cell r="I64">
            <v>1.2999999999999999E-2</v>
          </cell>
          <cell r="J64">
            <v>1.2999999999999999E-2</v>
          </cell>
          <cell r="K64">
            <v>0</v>
          </cell>
          <cell r="L64">
            <v>20111231</v>
          </cell>
          <cell r="M64">
            <v>1.6E-2</v>
          </cell>
          <cell r="N64">
            <v>20120307</v>
          </cell>
        </row>
        <row r="65">
          <cell r="A65" t="str">
            <v>POM</v>
          </cell>
          <cell r="B65" t="str">
            <v>@PO8</v>
          </cell>
          <cell r="C65" t="str">
            <v>PLASTIC OMNIUM S</v>
          </cell>
          <cell r="D65">
            <v>20111215</v>
          </cell>
          <cell r="E65" t="str">
            <v>EPS</v>
          </cell>
          <cell r="F65" t="str">
            <v>ANN</v>
          </cell>
          <cell r="G65">
            <v>1</v>
          </cell>
          <cell r="H65">
            <v>6</v>
          </cell>
          <cell r="I65">
            <v>1.05</v>
          </cell>
          <cell r="J65">
            <v>1.08</v>
          </cell>
          <cell r="K65">
            <v>0</v>
          </cell>
          <cell r="L65">
            <v>20111231</v>
          </cell>
          <cell r="M65">
            <v>1.1000000000000001</v>
          </cell>
          <cell r="N65">
            <v>20120308</v>
          </cell>
        </row>
        <row r="66">
          <cell r="A66" t="str">
            <v>PGN</v>
          </cell>
          <cell r="B66" t="str">
            <v>@QPA</v>
          </cell>
          <cell r="C66" t="str">
            <v>PARAGON</v>
          </cell>
          <cell r="D66">
            <v>20111215</v>
          </cell>
          <cell r="E66" t="str">
            <v>EPS</v>
          </cell>
          <cell r="F66" t="str">
            <v>ANN</v>
          </cell>
          <cell r="G66">
            <v>1</v>
          </cell>
          <cell r="H66">
            <v>1</v>
          </cell>
          <cell r="I66">
            <v>0.98</v>
          </cell>
          <cell r="J66">
            <v>0.98</v>
          </cell>
          <cell r="K66">
            <v>0</v>
          </cell>
          <cell r="L66">
            <v>20111231</v>
          </cell>
          <cell r="N66">
            <v>20120312</v>
          </cell>
        </row>
        <row r="67">
          <cell r="A67" t="str">
            <v>PEG</v>
          </cell>
          <cell r="B67" t="str">
            <v>@S6N</v>
          </cell>
          <cell r="C67" t="str">
            <v>PETARDS GROUP</v>
          </cell>
          <cell r="D67">
            <v>20111215</v>
          </cell>
          <cell r="E67" t="str">
            <v>EPS</v>
          </cell>
          <cell r="F67" t="str">
            <v>ANN</v>
          </cell>
          <cell r="G67">
            <v>1</v>
          </cell>
          <cell r="H67">
            <v>1</v>
          </cell>
          <cell r="I67">
            <v>1.47</v>
          </cell>
          <cell r="J67">
            <v>1.47</v>
          </cell>
          <cell r="K67">
            <v>0</v>
          </cell>
          <cell r="L67">
            <v>20111231</v>
          </cell>
          <cell r="M67">
            <v>4.5072999999999999</v>
          </cell>
          <cell r="N67">
            <v>20120601</v>
          </cell>
        </row>
        <row r="68">
          <cell r="A68" t="str">
            <v>SO</v>
          </cell>
          <cell r="B68" t="str">
            <v>@SGF</v>
          </cell>
          <cell r="C68" t="str">
            <v>SOGEFI</v>
          </cell>
          <cell r="D68">
            <v>20111215</v>
          </cell>
          <cell r="E68" t="str">
            <v>EPS</v>
          </cell>
          <cell r="F68" t="str">
            <v>ANN</v>
          </cell>
          <cell r="G68">
            <v>1</v>
          </cell>
          <cell r="H68">
            <v>6</v>
          </cell>
          <cell r="I68">
            <v>0.35</v>
          </cell>
          <cell r="J68">
            <v>0.36</v>
          </cell>
          <cell r="K68">
            <v>0</v>
          </cell>
          <cell r="L68">
            <v>20111231</v>
          </cell>
          <cell r="M68">
            <v>0.216</v>
          </cell>
          <cell r="N68">
            <v>20120223</v>
          </cell>
        </row>
        <row r="69">
          <cell r="A69" t="str">
            <v>WEC</v>
          </cell>
          <cell r="B69" t="str">
            <v>@SP0</v>
          </cell>
          <cell r="C69" t="str">
            <v>WHITE ENERGY COM</v>
          </cell>
          <cell r="D69">
            <v>20111215</v>
          </cell>
          <cell r="E69" t="str">
            <v>EPS</v>
          </cell>
          <cell r="F69" t="str">
            <v>ANN</v>
          </cell>
          <cell r="G69">
            <v>1</v>
          </cell>
          <cell r="H69">
            <v>2</v>
          </cell>
          <cell r="I69">
            <v>-5.6000000000000001E-2</v>
          </cell>
          <cell r="J69">
            <v>-5.6000000000000001E-2</v>
          </cell>
          <cell r="K69">
            <v>0</v>
          </cell>
          <cell r="L69">
            <v>20120630</v>
          </cell>
          <cell r="M69">
            <v>-9.4500000000000001E-2</v>
          </cell>
          <cell r="N69">
            <v>20120907</v>
          </cell>
        </row>
        <row r="70">
          <cell r="A70" t="str">
            <v>NST</v>
          </cell>
          <cell r="B70" t="str">
            <v>@T6I</v>
          </cell>
          <cell r="C70" t="str">
            <v>NORTHERN STAR RE</v>
          </cell>
          <cell r="D70">
            <v>20111215</v>
          </cell>
          <cell r="E70" t="str">
            <v>EPS</v>
          </cell>
          <cell r="F70" t="str">
            <v>ANN</v>
          </cell>
          <cell r="G70">
            <v>1</v>
          </cell>
          <cell r="H70">
            <v>2</v>
          </cell>
          <cell r="I70">
            <v>0.13800000000000001</v>
          </cell>
          <cell r="J70">
            <v>0.13800000000000001</v>
          </cell>
          <cell r="K70">
            <v>0</v>
          </cell>
          <cell r="L70">
            <v>20120630</v>
          </cell>
          <cell r="M70">
            <v>5.0999999999999997E-2</v>
          </cell>
          <cell r="N70">
            <v>20120731</v>
          </cell>
        </row>
        <row r="71">
          <cell r="A71" t="str">
            <v>AEE</v>
          </cell>
          <cell r="B71" t="str">
            <v>@UAW</v>
          </cell>
          <cell r="C71" t="str">
            <v>AURA ENERGY LTD</v>
          </cell>
          <cell r="D71">
            <v>20111215</v>
          </cell>
          <cell r="E71" t="str">
            <v>EPS</v>
          </cell>
          <cell r="F71" t="str">
            <v>ANN</v>
          </cell>
          <cell r="G71">
            <v>1</v>
          </cell>
          <cell r="H71">
            <v>2</v>
          </cell>
          <cell r="I71">
            <v>-0.86099999999999999</v>
          </cell>
          <cell r="J71">
            <v>-0.86099999999999999</v>
          </cell>
          <cell r="K71">
            <v>0</v>
          </cell>
          <cell r="L71">
            <v>20120630</v>
          </cell>
          <cell r="M71">
            <v>-1.6E-2</v>
          </cell>
          <cell r="N71">
            <v>20120927</v>
          </cell>
        </row>
        <row r="72">
          <cell r="A72" t="str">
            <v>DTE</v>
          </cell>
          <cell r="B72" t="str">
            <v>@UIU</v>
          </cell>
          <cell r="C72" t="str">
            <v>DATONG PLC</v>
          </cell>
          <cell r="D72">
            <v>20111215</v>
          </cell>
          <cell r="E72" t="str">
            <v>EPS</v>
          </cell>
          <cell r="F72" t="str">
            <v>ANN</v>
          </cell>
          <cell r="G72">
            <v>1</v>
          </cell>
          <cell r="H72">
            <v>1</v>
          </cell>
          <cell r="I72">
            <v>5.0999999999999996</v>
          </cell>
          <cell r="J72">
            <v>5.0999999999999996</v>
          </cell>
          <cell r="K72">
            <v>0</v>
          </cell>
          <cell r="L72">
            <v>20120930</v>
          </cell>
          <cell r="N72">
            <v>20121204</v>
          </cell>
        </row>
        <row r="73">
          <cell r="A73" t="str">
            <v>AGR</v>
          </cell>
          <cell r="B73" t="str">
            <v>@V2M</v>
          </cell>
          <cell r="C73" t="str">
            <v>ASSURA GROUP</v>
          </cell>
          <cell r="D73">
            <v>20111215</v>
          </cell>
          <cell r="E73" t="str">
            <v>EPS</v>
          </cell>
          <cell r="F73" t="str">
            <v>ANN</v>
          </cell>
          <cell r="G73">
            <v>1</v>
          </cell>
          <cell r="H73">
            <v>1</v>
          </cell>
          <cell r="I73">
            <v>1.78</v>
          </cell>
          <cell r="J73">
            <v>1.78</v>
          </cell>
          <cell r="K73">
            <v>0</v>
          </cell>
          <cell r="L73">
            <v>20120331</v>
          </cell>
          <cell r="M73">
            <v>2.5587</v>
          </cell>
          <cell r="N73">
            <v>20120626</v>
          </cell>
        </row>
        <row r="74">
          <cell r="A74" t="str">
            <v>SRE</v>
          </cell>
          <cell r="B74" t="str">
            <v>@VRU</v>
          </cell>
          <cell r="C74" t="str">
            <v>SIRIUS REAL ESTA</v>
          </cell>
          <cell r="D74">
            <v>20111215</v>
          </cell>
          <cell r="E74" t="str">
            <v>EPS</v>
          </cell>
          <cell r="F74" t="str">
            <v>ANN</v>
          </cell>
          <cell r="G74">
            <v>1</v>
          </cell>
          <cell r="H74">
            <v>2</v>
          </cell>
          <cell r="I74">
            <v>0</v>
          </cell>
          <cell r="J74">
            <v>0</v>
          </cell>
          <cell r="K74">
            <v>0</v>
          </cell>
          <cell r="L74">
            <v>20120331</v>
          </cell>
          <cell r="M74">
            <v>8.9999999999999993E-3</v>
          </cell>
          <cell r="N74">
            <v>20120618</v>
          </cell>
        </row>
        <row r="75">
          <cell r="A75" t="str">
            <v>POM</v>
          </cell>
          <cell r="B75" t="str">
            <v>@VV</v>
          </cell>
          <cell r="C75" t="str">
            <v>POLMED SA</v>
          </cell>
          <cell r="D75">
            <v>20111215</v>
          </cell>
          <cell r="E75" t="str">
            <v>EPS</v>
          </cell>
          <cell r="F75" t="str">
            <v>ANN</v>
          </cell>
          <cell r="G75">
            <v>1</v>
          </cell>
          <cell r="H75">
            <v>1</v>
          </cell>
          <cell r="I75">
            <v>0.14000000000000001</v>
          </cell>
          <cell r="J75">
            <v>0.14000000000000001</v>
          </cell>
          <cell r="K75">
            <v>0</v>
          </cell>
          <cell r="L75">
            <v>20111231</v>
          </cell>
          <cell r="M75">
            <v>7.8E-2</v>
          </cell>
          <cell r="N75">
            <v>20120320</v>
          </cell>
        </row>
        <row r="76">
          <cell r="A76" t="str">
            <v>EXC</v>
          </cell>
          <cell r="B76" t="str">
            <v>@XDO</v>
          </cell>
          <cell r="C76" t="str">
            <v>EXCEET GROUP SE</v>
          </cell>
          <cell r="D76">
            <v>20111215</v>
          </cell>
          <cell r="E76" t="str">
            <v>EPS</v>
          </cell>
          <cell r="F76" t="str">
            <v>ANN</v>
          </cell>
          <cell r="G76">
            <v>1</v>
          </cell>
          <cell r="H76">
            <v>4</v>
          </cell>
          <cell r="I76">
            <v>0.48</v>
          </cell>
          <cell r="J76">
            <v>0.53</v>
          </cell>
          <cell r="K76">
            <v>0</v>
          </cell>
          <cell r="L76">
            <v>20111231</v>
          </cell>
          <cell r="M76">
            <v>1.46</v>
          </cell>
          <cell r="N76">
            <v>20120330</v>
          </cell>
        </row>
        <row r="77">
          <cell r="A77" t="str">
            <v>CMS</v>
          </cell>
          <cell r="B77" t="str">
            <v>@XJM</v>
          </cell>
          <cell r="C77" t="str">
            <v>COMMUNISIS PLC</v>
          </cell>
          <cell r="D77">
            <v>20111215</v>
          </cell>
          <cell r="E77" t="str">
            <v>EPS</v>
          </cell>
          <cell r="F77" t="str">
            <v>ANN</v>
          </cell>
          <cell r="G77">
            <v>1</v>
          </cell>
          <cell r="H77">
            <v>3</v>
          </cell>
          <cell r="I77">
            <v>4.2699999999999996</v>
          </cell>
          <cell r="J77">
            <v>4.57</v>
          </cell>
          <cell r="K77">
            <v>0</v>
          </cell>
          <cell r="L77">
            <v>20111231</v>
          </cell>
          <cell r="M77">
            <v>4.2438000000000002</v>
          </cell>
          <cell r="N77">
            <v>20120301</v>
          </cell>
        </row>
        <row r="78">
          <cell r="A78" t="str">
            <v>EAS</v>
          </cell>
          <cell r="B78" t="str">
            <v>EAS1</v>
          </cell>
          <cell r="C78" t="str">
            <v>EAST ASIA MINERA</v>
          </cell>
          <cell r="D78">
            <v>20111215</v>
          </cell>
          <cell r="E78" t="str">
            <v>EPS</v>
          </cell>
          <cell r="F78" t="str">
            <v>ANN</v>
          </cell>
          <cell r="G78">
            <v>1</v>
          </cell>
          <cell r="H78">
            <v>1</v>
          </cell>
          <cell r="I78">
            <v>-1.2</v>
          </cell>
          <cell r="J78">
            <v>-1.2</v>
          </cell>
          <cell r="K78">
            <v>0</v>
          </cell>
          <cell r="L78">
            <v>20110831</v>
          </cell>
          <cell r="M78">
            <v>-1.4</v>
          </cell>
          <cell r="N78">
            <v>20111223</v>
          </cell>
        </row>
        <row r="79">
          <cell r="A79" t="str">
            <v>ETR</v>
          </cell>
          <cell r="B79" t="str">
            <v>IZP</v>
          </cell>
          <cell r="C79" t="str">
            <v>EACOM TIMBER</v>
          </cell>
          <cell r="D79">
            <v>20111215</v>
          </cell>
          <cell r="E79" t="str">
            <v>EPS</v>
          </cell>
          <cell r="F79" t="str">
            <v>ANN</v>
          </cell>
          <cell r="G79">
            <v>1</v>
          </cell>
          <cell r="H79">
            <v>1</v>
          </cell>
          <cell r="I79">
            <v>-7.0000000000000007E-2</v>
          </cell>
          <cell r="J79">
            <v>-7.0000000000000007E-2</v>
          </cell>
          <cell r="K79">
            <v>0</v>
          </cell>
          <cell r="L79">
            <v>20110331</v>
          </cell>
        </row>
        <row r="80">
          <cell r="A80" t="str">
            <v>CNL</v>
          </cell>
          <cell r="B80" t="str">
            <v>NCL1</v>
          </cell>
          <cell r="C80" t="str">
            <v>CONTINENTAL GOLD</v>
          </cell>
          <cell r="D80">
            <v>20111215</v>
          </cell>
          <cell r="E80" t="str">
            <v>EPS</v>
          </cell>
          <cell r="F80" t="str">
            <v>ANN</v>
          </cell>
          <cell r="G80">
            <v>1</v>
          </cell>
          <cell r="H80">
            <v>1</v>
          </cell>
          <cell r="I80">
            <v>0.19</v>
          </cell>
          <cell r="J80">
            <v>0.19</v>
          </cell>
          <cell r="K80">
            <v>0</v>
          </cell>
          <cell r="L80">
            <v>20111231</v>
          </cell>
          <cell r="M80">
            <v>0.16</v>
          </cell>
          <cell r="N80">
            <v>20120308</v>
          </cell>
        </row>
        <row r="81">
          <cell r="A81" t="str">
            <v>PPL</v>
          </cell>
          <cell r="B81" t="str">
            <v>PIF1</v>
          </cell>
          <cell r="C81" t="str">
            <v>PEMBINA PIPELINE</v>
          </cell>
          <cell r="D81">
            <v>20111215</v>
          </cell>
          <cell r="E81" t="str">
            <v>EPS</v>
          </cell>
          <cell r="F81" t="str">
            <v>ANN</v>
          </cell>
          <cell r="G81">
            <v>1</v>
          </cell>
          <cell r="H81">
            <v>6</v>
          </cell>
          <cell r="I81">
            <v>0.98</v>
          </cell>
          <cell r="J81">
            <v>0.97</v>
          </cell>
          <cell r="K81">
            <v>0</v>
          </cell>
          <cell r="L81">
            <v>20111231</v>
          </cell>
          <cell r="M81">
            <v>0.99</v>
          </cell>
          <cell r="N81">
            <v>20120215</v>
          </cell>
        </row>
        <row r="82">
          <cell r="A82" t="str">
            <v>PSD</v>
          </cell>
          <cell r="B82" t="str">
            <v>PSD3</v>
          </cell>
          <cell r="C82" t="str">
            <v>PULSE SEISMIC IN</v>
          </cell>
          <cell r="D82">
            <v>20111215</v>
          </cell>
          <cell r="E82" t="str">
            <v>EPS</v>
          </cell>
          <cell r="F82" t="str">
            <v>ANN</v>
          </cell>
          <cell r="G82">
            <v>1</v>
          </cell>
          <cell r="H82">
            <v>3</v>
          </cell>
          <cell r="I82">
            <v>0.01</v>
          </cell>
          <cell r="J82">
            <v>0</v>
          </cell>
          <cell r="K82">
            <v>0</v>
          </cell>
          <cell r="L82">
            <v>20111231</v>
          </cell>
          <cell r="M82">
            <v>0.08</v>
          </cell>
          <cell r="N82">
            <v>20120319</v>
          </cell>
        </row>
        <row r="83">
          <cell r="A83" t="str">
            <v>SO</v>
          </cell>
          <cell r="B83" t="str">
            <v>SOCA</v>
          </cell>
          <cell r="C83" t="str">
            <v>SOFTCHOICE CORP</v>
          </cell>
          <cell r="D83">
            <v>20111215</v>
          </cell>
          <cell r="E83" t="str">
            <v>EPS</v>
          </cell>
          <cell r="F83" t="str">
            <v>ANN</v>
          </cell>
          <cell r="G83">
            <v>1</v>
          </cell>
          <cell r="H83">
            <v>4</v>
          </cell>
          <cell r="I83">
            <v>1.25</v>
          </cell>
          <cell r="J83">
            <v>1.25</v>
          </cell>
          <cell r="K83">
            <v>0</v>
          </cell>
          <cell r="L83">
            <v>20111231</v>
          </cell>
          <cell r="M83">
            <v>1.2</v>
          </cell>
          <cell r="N83">
            <v>20120229</v>
          </cell>
        </row>
        <row r="84">
          <cell r="A84" t="str">
            <v>XEL</v>
          </cell>
          <cell r="B84" t="str">
            <v>XTE1</v>
          </cell>
          <cell r="C84" t="str">
            <v>XCITE ENERGY LTD</v>
          </cell>
          <cell r="D84">
            <v>20111215</v>
          </cell>
          <cell r="E84" t="str">
            <v>EPS</v>
          </cell>
          <cell r="F84" t="str">
            <v>ANN</v>
          </cell>
          <cell r="G84">
            <v>1</v>
          </cell>
          <cell r="H84">
            <v>1</v>
          </cell>
          <cell r="I84">
            <v>-1.87</v>
          </cell>
          <cell r="J84">
            <v>-1.87</v>
          </cell>
          <cell r="K84">
            <v>0</v>
          </cell>
          <cell r="L84">
            <v>20111231</v>
          </cell>
          <cell r="N84">
            <v>20120323</v>
          </cell>
        </row>
      </sheetData>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RDS"/>
    </sheetNames>
    <sheetDataSet>
      <sheetData sheetId="0">
        <row r="1">
          <cell r="A1" t="str">
            <v>OFTIC</v>
          </cell>
          <cell r="B1" t="str">
            <v>IBES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USFIRM=0 if from .INT file and USFIRM=1 if from .US file</v>
          </cell>
          <cell r="M1" t="str">
            <v>Forecast Period End Date (SAS Format)</v>
          </cell>
          <cell r="N1" t="str">
            <v>Actual Value, from the Detail Actuals File</v>
          </cell>
          <cell r="O1" t="str">
            <v>Announce date of the Actual, from the Detail Actuals File</v>
          </cell>
        </row>
        <row r="2">
          <cell r="A2" t="str">
            <v>PNW</v>
          </cell>
          <cell r="B2" t="str">
            <v>AZP</v>
          </cell>
          <cell r="C2" t="str">
            <v>PINNACLE WST CAP</v>
          </cell>
          <cell r="D2">
            <v>20111215</v>
          </cell>
          <cell r="E2" t="str">
            <v>EPS</v>
          </cell>
          <cell r="F2" t="str">
            <v>LTG</v>
          </cell>
          <cell r="G2">
            <v>0</v>
          </cell>
          <cell r="H2">
            <v>6</v>
          </cell>
          <cell r="I2">
            <v>5</v>
          </cell>
          <cell r="J2">
            <v>5.58</v>
          </cell>
          <cell r="K2">
            <v>1.82</v>
          </cell>
          <cell r="L2">
            <v>1</v>
          </cell>
        </row>
        <row r="3">
          <cell r="A3" t="str">
            <v>CEG</v>
          </cell>
          <cell r="B3" t="str">
            <v>BGE</v>
          </cell>
          <cell r="C3" t="str">
            <v>CONSTELLATION EN</v>
          </cell>
          <cell r="D3">
            <v>20111215</v>
          </cell>
          <cell r="E3" t="str">
            <v>EPS</v>
          </cell>
          <cell r="F3" t="str">
            <v>LTG</v>
          </cell>
          <cell r="G3">
            <v>0</v>
          </cell>
          <cell r="H3">
            <v>3</v>
          </cell>
          <cell r="I3">
            <v>4</v>
          </cell>
          <cell r="J3">
            <v>3.77</v>
          </cell>
          <cell r="K3">
            <v>1.37</v>
          </cell>
          <cell r="L3">
            <v>1</v>
          </cell>
        </row>
        <row r="4">
          <cell r="A4" t="str">
            <v>BKH</v>
          </cell>
          <cell r="B4" t="str">
            <v>BHP</v>
          </cell>
          <cell r="C4" t="str">
            <v>BLACK HILLS CP</v>
          </cell>
          <cell r="D4">
            <v>20111215</v>
          </cell>
          <cell r="E4" t="str">
            <v>EPS</v>
          </cell>
          <cell r="F4" t="str">
            <v>LTG</v>
          </cell>
          <cell r="G4">
            <v>0</v>
          </cell>
          <cell r="H4">
            <v>1</v>
          </cell>
          <cell r="I4">
            <v>4</v>
          </cell>
          <cell r="J4">
            <v>4</v>
          </cell>
          <cell r="L4">
            <v>1</v>
          </cell>
        </row>
        <row r="5">
          <cell r="A5" t="str">
            <v>NST</v>
          </cell>
          <cell r="B5" t="str">
            <v>BSE</v>
          </cell>
          <cell r="C5" t="str">
            <v>NSTAR</v>
          </cell>
          <cell r="D5">
            <v>20111215</v>
          </cell>
          <cell r="E5" t="str">
            <v>EPS</v>
          </cell>
          <cell r="F5" t="str">
            <v>LTG</v>
          </cell>
          <cell r="G5">
            <v>0</v>
          </cell>
          <cell r="H5">
            <v>3</v>
          </cell>
          <cell r="I5">
            <v>5</v>
          </cell>
          <cell r="J5">
            <v>4.41</v>
          </cell>
          <cell r="K5">
            <v>1.19</v>
          </cell>
          <cell r="L5">
            <v>1</v>
          </cell>
        </row>
        <row r="6">
          <cell r="A6" t="str">
            <v>CMS</v>
          </cell>
          <cell r="B6" t="str">
            <v>CMS</v>
          </cell>
          <cell r="C6" t="str">
            <v>CMS ENERGY CORP</v>
          </cell>
          <cell r="D6">
            <v>20111215</v>
          </cell>
          <cell r="E6" t="str">
            <v>EPS</v>
          </cell>
          <cell r="F6" t="str">
            <v>LTG</v>
          </cell>
          <cell r="G6">
            <v>0</v>
          </cell>
          <cell r="H6">
            <v>6</v>
          </cell>
          <cell r="I6">
            <v>6</v>
          </cell>
          <cell r="J6">
            <v>5.93</v>
          </cell>
          <cell r="K6">
            <v>0.52</v>
          </cell>
          <cell r="L6">
            <v>1</v>
          </cell>
        </row>
        <row r="7">
          <cell r="A7" t="str">
            <v>CNL</v>
          </cell>
          <cell r="B7" t="str">
            <v>CNL</v>
          </cell>
          <cell r="C7" t="str">
            <v>CLECO CORP</v>
          </cell>
          <cell r="D7">
            <v>20111215</v>
          </cell>
          <cell r="E7" t="str">
            <v>EPS</v>
          </cell>
          <cell r="F7" t="str">
            <v>LTG</v>
          </cell>
          <cell r="G7">
            <v>0</v>
          </cell>
          <cell r="H7">
            <v>1</v>
          </cell>
          <cell r="I7">
            <v>3</v>
          </cell>
          <cell r="J7">
            <v>3</v>
          </cell>
          <cell r="L7">
            <v>1</v>
          </cell>
        </row>
        <row r="8">
          <cell r="A8" t="str">
            <v>PGN</v>
          </cell>
          <cell r="B8" t="str">
            <v>CPL</v>
          </cell>
          <cell r="C8" t="str">
            <v>PROGRESS ENERGY</v>
          </cell>
          <cell r="D8">
            <v>20111215</v>
          </cell>
          <cell r="E8" t="str">
            <v>EPS</v>
          </cell>
          <cell r="F8" t="str">
            <v>LTG</v>
          </cell>
          <cell r="G8">
            <v>0</v>
          </cell>
          <cell r="H8">
            <v>4</v>
          </cell>
          <cell r="I8">
            <v>3.25</v>
          </cell>
          <cell r="J8">
            <v>3.26</v>
          </cell>
          <cell r="K8">
            <v>1.45</v>
          </cell>
          <cell r="L8">
            <v>1</v>
          </cell>
        </row>
        <row r="9">
          <cell r="A9" t="str">
            <v>D</v>
          </cell>
          <cell r="B9" t="str">
            <v>D</v>
          </cell>
          <cell r="C9" t="str">
            <v>DOMINION RES INC</v>
          </cell>
          <cell r="D9">
            <v>20111215</v>
          </cell>
          <cell r="E9" t="str">
            <v>EPS</v>
          </cell>
          <cell r="F9" t="str">
            <v>LTG</v>
          </cell>
          <cell r="G9">
            <v>0</v>
          </cell>
          <cell r="H9">
            <v>4</v>
          </cell>
          <cell r="I9">
            <v>2.85</v>
          </cell>
          <cell r="J9">
            <v>3.2</v>
          </cell>
          <cell r="K9">
            <v>2.25</v>
          </cell>
          <cell r="L9">
            <v>1</v>
          </cell>
        </row>
        <row r="10">
          <cell r="A10" t="str">
            <v>DTE</v>
          </cell>
          <cell r="B10" t="str">
            <v>DTE</v>
          </cell>
          <cell r="C10" t="str">
            <v>DTE ENERGY</v>
          </cell>
          <cell r="D10">
            <v>20111215</v>
          </cell>
          <cell r="E10" t="str">
            <v>EPS</v>
          </cell>
          <cell r="F10" t="str">
            <v>LTG</v>
          </cell>
          <cell r="G10">
            <v>0</v>
          </cell>
          <cell r="H10">
            <v>4</v>
          </cell>
          <cell r="I10">
            <v>3.23</v>
          </cell>
          <cell r="J10">
            <v>3.44</v>
          </cell>
          <cell r="K10">
            <v>1.1299999999999999</v>
          </cell>
          <cell r="L10">
            <v>1</v>
          </cell>
        </row>
        <row r="11">
          <cell r="A11" t="str">
            <v>DUK</v>
          </cell>
          <cell r="B11" t="str">
            <v>DUK</v>
          </cell>
          <cell r="C11" t="str">
            <v>DUKE ENERGY CORP</v>
          </cell>
          <cell r="D11">
            <v>20111215</v>
          </cell>
          <cell r="E11" t="str">
            <v>EPS</v>
          </cell>
          <cell r="F11" t="str">
            <v>LTG</v>
          </cell>
          <cell r="G11">
            <v>0</v>
          </cell>
          <cell r="H11">
            <v>4</v>
          </cell>
          <cell r="I11">
            <v>4.8</v>
          </cell>
          <cell r="J11">
            <v>4.05</v>
          </cell>
          <cell r="K11">
            <v>1.64</v>
          </cell>
          <cell r="L11">
            <v>1</v>
          </cell>
        </row>
        <row r="12">
          <cell r="A12" t="str">
            <v>ED</v>
          </cell>
          <cell r="B12" t="str">
            <v>ED</v>
          </cell>
          <cell r="C12" t="str">
            <v>CONSOLIDATED EDI</v>
          </cell>
          <cell r="D12">
            <v>20111215</v>
          </cell>
          <cell r="E12" t="str">
            <v>EPS</v>
          </cell>
          <cell r="F12" t="str">
            <v>LTG</v>
          </cell>
          <cell r="G12">
            <v>0</v>
          </cell>
          <cell r="H12">
            <v>4</v>
          </cell>
          <cell r="I12">
            <v>3.73</v>
          </cell>
          <cell r="J12">
            <v>3.69</v>
          </cell>
          <cell r="K12">
            <v>0.5</v>
          </cell>
          <cell r="L12">
            <v>1</v>
          </cell>
        </row>
        <row r="13">
          <cell r="A13" t="str">
            <v>EDE</v>
          </cell>
          <cell r="B13" t="str">
            <v>EDE</v>
          </cell>
          <cell r="C13" t="str">
            <v>EMPIRE DIST ELEC</v>
          </cell>
          <cell r="D13">
            <v>20111215</v>
          </cell>
          <cell r="E13" t="str">
            <v>EPS</v>
          </cell>
          <cell r="F13" t="str">
            <v>LTG</v>
          </cell>
          <cell r="G13">
            <v>0</v>
          </cell>
          <cell r="H13">
            <v>1</v>
          </cell>
          <cell r="I13">
            <v>10.199999999999999</v>
          </cell>
          <cell r="J13">
            <v>10.199999999999999</v>
          </cell>
          <cell r="L13">
            <v>1</v>
          </cell>
        </row>
        <row r="14">
          <cell r="A14" t="str">
            <v>NEE</v>
          </cell>
          <cell r="B14" t="str">
            <v>FPL</v>
          </cell>
          <cell r="C14" t="str">
            <v>NEXTERA ENERGY I</v>
          </cell>
          <cell r="D14">
            <v>20111215</v>
          </cell>
          <cell r="E14" t="str">
            <v>EPS</v>
          </cell>
          <cell r="F14" t="str">
            <v>LTG</v>
          </cell>
          <cell r="G14">
            <v>0</v>
          </cell>
          <cell r="H14">
            <v>7</v>
          </cell>
          <cell r="I14">
            <v>5.2</v>
          </cell>
          <cell r="J14">
            <v>5.72</v>
          </cell>
          <cell r="K14">
            <v>1.37</v>
          </cell>
          <cell r="L14">
            <v>1</v>
          </cell>
        </row>
        <row r="15">
          <cell r="A15" t="str">
            <v>HE</v>
          </cell>
          <cell r="B15" t="str">
            <v>HE</v>
          </cell>
          <cell r="C15" t="str">
            <v>HAWAIIAN ELEC</v>
          </cell>
          <cell r="D15">
            <v>20111215</v>
          </cell>
          <cell r="E15" t="str">
            <v>EPS</v>
          </cell>
          <cell r="F15" t="str">
            <v>LTG</v>
          </cell>
          <cell r="G15">
            <v>0</v>
          </cell>
          <cell r="H15">
            <v>3</v>
          </cell>
          <cell r="I15">
            <v>14.2</v>
          </cell>
          <cell r="J15">
            <v>13.47</v>
          </cell>
          <cell r="K15">
            <v>3.46</v>
          </cell>
          <cell r="L15">
            <v>1</v>
          </cell>
        </row>
        <row r="16">
          <cell r="A16" t="str">
            <v>CNP</v>
          </cell>
          <cell r="B16" t="str">
            <v>HOU</v>
          </cell>
          <cell r="C16" t="str">
            <v>CENTERPOINT ENER</v>
          </cell>
          <cell r="D16">
            <v>20111215</v>
          </cell>
          <cell r="E16" t="str">
            <v>EPS</v>
          </cell>
          <cell r="F16" t="str">
            <v>LTG</v>
          </cell>
          <cell r="G16">
            <v>0</v>
          </cell>
          <cell r="H16">
            <v>6</v>
          </cell>
          <cell r="I16">
            <v>5.5</v>
          </cell>
          <cell r="J16">
            <v>6</v>
          </cell>
          <cell r="K16">
            <v>1.86</v>
          </cell>
          <cell r="L16">
            <v>1</v>
          </cell>
        </row>
        <row r="17">
          <cell r="A17" t="str">
            <v>IDA</v>
          </cell>
          <cell r="B17" t="str">
            <v>IDA</v>
          </cell>
          <cell r="C17" t="str">
            <v>IDACORP INC.</v>
          </cell>
          <cell r="D17">
            <v>20111215</v>
          </cell>
          <cell r="E17" t="str">
            <v>EPS</v>
          </cell>
          <cell r="F17" t="str">
            <v>LTG</v>
          </cell>
          <cell r="G17">
            <v>0</v>
          </cell>
          <cell r="H17">
            <v>2</v>
          </cell>
          <cell r="I17">
            <v>4.5</v>
          </cell>
          <cell r="J17">
            <v>4.5</v>
          </cell>
          <cell r="K17">
            <v>0.71</v>
          </cell>
          <cell r="L17">
            <v>1</v>
          </cell>
        </row>
        <row r="18">
          <cell r="A18" t="str">
            <v>WR</v>
          </cell>
          <cell r="B18" t="str">
            <v>KAN</v>
          </cell>
          <cell r="C18" t="str">
            <v>WESTAR ENERGY</v>
          </cell>
          <cell r="D18">
            <v>20111215</v>
          </cell>
          <cell r="E18" t="str">
            <v>EPS</v>
          </cell>
          <cell r="F18" t="str">
            <v>LTG</v>
          </cell>
          <cell r="G18">
            <v>0</v>
          </cell>
          <cell r="H18">
            <v>4</v>
          </cell>
          <cell r="I18">
            <v>4.4000000000000004</v>
          </cell>
          <cell r="J18">
            <v>5.08</v>
          </cell>
          <cell r="K18">
            <v>2.0499999999999998</v>
          </cell>
          <cell r="L18">
            <v>1</v>
          </cell>
        </row>
        <row r="19">
          <cell r="A19" t="str">
            <v>GXP</v>
          </cell>
          <cell r="B19" t="str">
            <v>KLT</v>
          </cell>
          <cell r="C19" t="str">
            <v>GREAT PLAINS</v>
          </cell>
          <cell r="D19">
            <v>20111215</v>
          </cell>
          <cell r="E19" t="str">
            <v>EPS</v>
          </cell>
          <cell r="F19" t="str">
            <v>LTG</v>
          </cell>
          <cell r="G19">
            <v>0</v>
          </cell>
          <cell r="H19">
            <v>5</v>
          </cell>
          <cell r="I19">
            <v>2.7</v>
          </cell>
          <cell r="J19">
            <v>4.0999999999999996</v>
          </cell>
          <cell r="K19">
            <v>2.82</v>
          </cell>
          <cell r="L19">
            <v>1</v>
          </cell>
        </row>
        <row r="20">
          <cell r="A20" t="str">
            <v>MGEE</v>
          </cell>
          <cell r="B20" t="str">
            <v>MDSN</v>
          </cell>
          <cell r="C20" t="str">
            <v>MGE ENERGY INC</v>
          </cell>
          <cell r="D20">
            <v>20111215</v>
          </cell>
          <cell r="E20" t="str">
            <v>EPS</v>
          </cell>
          <cell r="F20" t="str">
            <v>LTG</v>
          </cell>
          <cell r="G20">
            <v>0</v>
          </cell>
          <cell r="H20">
            <v>1</v>
          </cell>
          <cell r="I20">
            <v>4</v>
          </cell>
          <cell r="J20">
            <v>4</v>
          </cell>
          <cell r="L20">
            <v>1</v>
          </cell>
        </row>
        <row r="21">
          <cell r="A21" t="str">
            <v>ALE</v>
          </cell>
          <cell r="B21" t="str">
            <v>MPL</v>
          </cell>
          <cell r="C21" t="str">
            <v>ALLETE INC</v>
          </cell>
          <cell r="D21">
            <v>20111215</v>
          </cell>
          <cell r="E21" t="str">
            <v>EPS</v>
          </cell>
          <cell r="F21" t="str">
            <v>LTG</v>
          </cell>
          <cell r="G21">
            <v>0</v>
          </cell>
          <cell r="H21">
            <v>1</v>
          </cell>
          <cell r="I21">
            <v>8</v>
          </cell>
          <cell r="J21">
            <v>8</v>
          </cell>
          <cell r="L21">
            <v>1</v>
          </cell>
        </row>
        <row r="22">
          <cell r="A22" t="str">
            <v>ETR</v>
          </cell>
          <cell r="B22" t="str">
            <v>MSU</v>
          </cell>
          <cell r="C22" t="str">
            <v>ENTERGY CP</v>
          </cell>
          <cell r="D22">
            <v>20111215</v>
          </cell>
          <cell r="E22" t="str">
            <v>EPS</v>
          </cell>
          <cell r="F22" t="str">
            <v>LTG</v>
          </cell>
          <cell r="G22">
            <v>0</v>
          </cell>
          <cell r="H22">
            <v>4</v>
          </cell>
          <cell r="I22">
            <v>-1.85</v>
          </cell>
          <cell r="J22">
            <v>-2.25</v>
          </cell>
          <cell r="K22">
            <v>3.89</v>
          </cell>
          <cell r="L22">
            <v>1</v>
          </cell>
        </row>
        <row r="23">
          <cell r="A23" t="str">
            <v>XEL</v>
          </cell>
          <cell r="B23" t="str">
            <v>NSP</v>
          </cell>
          <cell r="C23" t="str">
            <v>XCEL ENERGY INC</v>
          </cell>
          <cell r="D23">
            <v>20111215</v>
          </cell>
          <cell r="E23" t="str">
            <v>EPS</v>
          </cell>
          <cell r="F23" t="str">
            <v>LTG</v>
          </cell>
          <cell r="G23">
            <v>0</v>
          </cell>
          <cell r="H23">
            <v>8</v>
          </cell>
          <cell r="I23">
            <v>5.22</v>
          </cell>
          <cell r="J23">
            <v>5.13</v>
          </cell>
          <cell r="K23">
            <v>1.44</v>
          </cell>
          <cell r="L23">
            <v>1</v>
          </cell>
        </row>
        <row r="24">
          <cell r="A24" t="str">
            <v>NU</v>
          </cell>
          <cell r="B24" t="str">
            <v>NU</v>
          </cell>
          <cell r="C24" t="str">
            <v>NORTHEAST UTILS</v>
          </cell>
          <cell r="D24">
            <v>20111215</v>
          </cell>
          <cell r="E24" t="str">
            <v>EPS</v>
          </cell>
          <cell r="F24" t="str">
            <v>LTG</v>
          </cell>
          <cell r="G24">
            <v>0</v>
          </cell>
          <cell r="H24">
            <v>3</v>
          </cell>
          <cell r="I24">
            <v>7.6</v>
          </cell>
          <cell r="J24">
            <v>7.43</v>
          </cell>
          <cell r="K24">
            <v>1.66</v>
          </cell>
          <cell r="L24">
            <v>1</v>
          </cell>
        </row>
        <row r="25">
          <cell r="A25" t="str">
            <v>NWE</v>
          </cell>
          <cell r="B25" t="str">
            <v>NWPS</v>
          </cell>
          <cell r="C25" t="str">
            <v>NORTHWESTERN CP</v>
          </cell>
          <cell r="D25">
            <v>20111215</v>
          </cell>
          <cell r="E25" t="str">
            <v>EPS</v>
          </cell>
          <cell r="F25" t="str">
            <v>LTG</v>
          </cell>
          <cell r="G25">
            <v>0</v>
          </cell>
          <cell r="H25">
            <v>3</v>
          </cell>
          <cell r="I25">
            <v>6</v>
          </cell>
          <cell r="J25">
            <v>6.33</v>
          </cell>
          <cell r="K25">
            <v>1.53</v>
          </cell>
          <cell r="L25">
            <v>1</v>
          </cell>
        </row>
        <row r="26">
          <cell r="A26" t="str">
            <v>FE</v>
          </cell>
          <cell r="B26" t="str">
            <v>OEC</v>
          </cell>
          <cell r="C26" t="str">
            <v>FIRSTENERGY CORP</v>
          </cell>
          <cell r="D26">
            <v>20111215</v>
          </cell>
          <cell r="E26" t="str">
            <v>EPS</v>
          </cell>
          <cell r="F26" t="str">
            <v>LTG</v>
          </cell>
          <cell r="G26">
            <v>0</v>
          </cell>
          <cell r="H26">
            <v>4</v>
          </cell>
          <cell r="I26">
            <v>2.5</v>
          </cell>
          <cell r="J26">
            <v>2.8</v>
          </cell>
          <cell r="K26">
            <v>3.58</v>
          </cell>
          <cell r="L26">
            <v>1</v>
          </cell>
        </row>
        <row r="27">
          <cell r="A27" t="str">
            <v>OGE</v>
          </cell>
          <cell r="B27" t="str">
            <v>OGE</v>
          </cell>
          <cell r="C27" t="str">
            <v>OGE ENERGY CORP</v>
          </cell>
          <cell r="D27">
            <v>20111215</v>
          </cell>
          <cell r="E27" t="str">
            <v>EPS</v>
          </cell>
          <cell r="F27" t="str">
            <v>LTG</v>
          </cell>
          <cell r="G27">
            <v>0</v>
          </cell>
          <cell r="H27">
            <v>3</v>
          </cell>
          <cell r="I27">
            <v>8.1</v>
          </cell>
          <cell r="J27">
            <v>8.1999999999999993</v>
          </cell>
          <cell r="K27">
            <v>0.26</v>
          </cell>
          <cell r="L27">
            <v>1</v>
          </cell>
        </row>
        <row r="28">
          <cell r="A28" t="str">
            <v>OTTR</v>
          </cell>
          <cell r="B28" t="str">
            <v>OTTR</v>
          </cell>
          <cell r="C28" t="str">
            <v>OTTER TAIL CORP.</v>
          </cell>
          <cell r="D28">
            <v>20111215</v>
          </cell>
          <cell r="E28" t="str">
            <v>EPS</v>
          </cell>
          <cell r="F28" t="str">
            <v>LTG</v>
          </cell>
          <cell r="G28">
            <v>0</v>
          </cell>
          <cell r="H28">
            <v>1</v>
          </cell>
          <cell r="I28">
            <v>5</v>
          </cell>
          <cell r="J28">
            <v>5</v>
          </cell>
          <cell r="L28">
            <v>1</v>
          </cell>
        </row>
        <row r="29">
          <cell r="A29" t="str">
            <v>PCG</v>
          </cell>
          <cell r="B29" t="str">
            <v>PCG</v>
          </cell>
          <cell r="C29" t="str">
            <v>P G &amp; E CORP</v>
          </cell>
          <cell r="D29">
            <v>20111215</v>
          </cell>
          <cell r="E29" t="str">
            <v>EPS</v>
          </cell>
          <cell r="F29" t="str">
            <v>LTG</v>
          </cell>
          <cell r="G29">
            <v>0</v>
          </cell>
          <cell r="H29">
            <v>6</v>
          </cell>
          <cell r="I29">
            <v>2.7</v>
          </cell>
          <cell r="J29">
            <v>1.52</v>
          </cell>
          <cell r="K29">
            <v>3.7</v>
          </cell>
          <cell r="L29">
            <v>1</v>
          </cell>
        </row>
        <row r="30">
          <cell r="A30" t="str">
            <v>EXC</v>
          </cell>
          <cell r="B30" t="str">
            <v>PE</v>
          </cell>
          <cell r="C30" t="str">
            <v>EXELON CORP</v>
          </cell>
          <cell r="D30">
            <v>20111215</v>
          </cell>
          <cell r="E30" t="str">
            <v>EPS</v>
          </cell>
          <cell r="F30" t="str">
            <v>LTG</v>
          </cell>
          <cell r="G30">
            <v>0</v>
          </cell>
          <cell r="H30">
            <v>4</v>
          </cell>
          <cell r="I30">
            <v>-0.45</v>
          </cell>
          <cell r="J30">
            <v>-0.03</v>
          </cell>
          <cell r="K30">
            <v>3.99</v>
          </cell>
          <cell r="L30">
            <v>1</v>
          </cell>
        </row>
        <row r="31">
          <cell r="A31" t="str">
            <v>PEG</v>
          </cell>
          <cell r="B31" t="str">
            <v>PEG</v>
          </cell>
          <cell r="C31" t="str">
            <v>PUB SVC ENTERS</v>
          </cell>
          <cell r="D31">
            <v>20111215</v>
          </cell>
          <cell r="E31" t="str">
            <v>EPS</v>
          </cell>
          <cell r="F31" t="str">
            <v>LTG</v>
          </cell>
          <cell r="G31">
            <v>0</v>
          </cell>
          <cell r="H31">
            <v>4</v>
          </cell>
          <cell r="I31">
            <v>1.65</v>
          </cell>
          <cell r="J31">
            <v>1.38</v>
          </cell>
          <cell r="K31">
            <v>3.21</v>
          </cell>
          <cell r="L31">
            <v>1</v>
          </cell>
        </row>
        <row r="32">
          <cell r="A32" t="str">
            <v>PNM</v>
          </cell>
          <cell r="B32" t="str">
            <v>PNM</v>
          </cell>
          <cell r="C32" t="str">
            <v>PNM RESOURCES</v>
          </cell>
          <cell r="D32">
            <v>20111215</v>
          </cell>
          <cell r="E32" t="str">
            <v>EPS</v>
          </cell>
          <cell r="F32" t="str">
            <v>LTG</v>
          </cell>
          <cell r="G32">
            <v>0</v>
          </cell>
          <cell r="H32">
            <v>4</v>
          </cell>
          <cell r="I32">
            <v>12.8</v>
          </cell>
          <cell r="J32">
            <v>11.88</v>
          </cell>
          <cell r="K32">
            <v>5.07</v>
          </cell>
          <cell r="L32">
            <v>1</v>
          </cell>
        </row>
        <row r="33">
          <cell r="A33" t="str">
            <v>POM</v>
          </cell>
          <cell r="B33" t="str">
            <v>POM</v>
          </cell>
          <cell r="C33" t="str">
            <v>PEPCO HOLDINGS</v>
          </cell>
          <cell r="D33">
            <v>20111215</v>
          </cell>
          <cell r="E33" t="str">
            <v>EPS</v>
          </cell>
          <cell r="F33" t="str">
            <v>LTG</v>
          </cell>
          <cell r="G33">
            <v>0</v>
          </cell>
          <cell r="H33">
            <v>2</v>
          </cell>
          <cell r="I33">
            <v>2.2000000000000002</v>
          </cell>
          <cell r="J33">
            <v>2.2000000000000002</v>
          </cell>
          <cell r="K33">
            <v>3.96</v>
          </cell>
          <cell r="L33">
            <v>1</v>
          </cell>
        </row>
        <row r="34">
          <cell r="A34" t="str">
            <v>POR</v>
          </cell>
          <cell r="B34" t="str">
            <v>PORO</v>
          </cell>
          <cell r="C34" t="str">
            <v>PORTLAND GENERAL</v>
          </cell>
          <cell r="D34">
            <v>20111215</v>
          </cell>
          <cell r="E34" t="str">
            <v>EPS</v>
          </cell>
          <cell r="F34" t="str">
            <v>LTG</v>
          </cell>
          <cell r="G34">
            <v>0</v>
          </cell>
          <cell r="H34">
            <v>5</v>
          </cell>
          <cell r="I34">
            <v>6</v>
          </cell>
          <cell r="J34">
            <v>5.88</v>
          </cell>
          <cell r="K34">
            <v>1.43</v>
          </cell>
          <cell r="L34">
            <v>1</v>
          </cell>
        </row>
        <row r="35">
          <cell r="A35" t="str">
            <v>PPL</v>
          </cell>
          <cell r="B35" t="str">
            <v>PPL</v>
          </cell>
          <cell r="C35" t="str">
            <v>PP&amp;L CORP</v>
          </cell>
          <cell r="D35">
            <v>20111215</v>
          </cell>
          <cell r="E35" t="str">
            <v>EPS</v>
          </cell>
          <cell r="F35" t="str">
            <v>LTG</v>
          </cell>
          <cell r="G35">
            <v>0</v>
          </cell>
          <cell r="H35">
            <v>2</v>
          </cell>
          <cell r="I35">
            <v>8.6999999999999993</v>
          </cell>
          <cell r="J35">
            <v>8.6999999999999993</v>
          </cell>
          <cell r="K35">
            <v>4.95</v>
          </cell>
          <cell r="L35">
            <v>1</v>
          </cell>
        </row>
        <row r="36">
          <cell r="A36" t="str">
            <v>EIX</v>
          </cell>
          <cell r="B36" t="str">
            <v>SCE</v>
          </cell>
          <cell r="C36" t="str">
            <v>EDISON INTL</v>
          </cell>
          <cell r="D36">
            <v>20111215</v>
          </cell>
          <cell r="E36" t="str">
            <v>EPS</v>
          </cell>
          <cell r="F36" t="str">
            <v>LTG</v>
          </cell>
          <cell r="G36">
            <v>0</v>
          </cell>
          <cell r="H36">
            <v>4</v>
          </cell>
          <cell r="I36">
            <v>3.85</v>
          </cell>
          <cell r="J36">
            <v>3.17</v>
          </cell>
          <cell r="K36">
            <v>2.19</v>
          </cell>
          <cell r="L36">
            <v>1</v>
          </cell>
        </row>
        <row r="37">
          <cell r="A37" t="str">
            <v>SCG</v>
          </cell>
          <cell r="B37" t="str">
            <v>SCG</v>
          </cell>
          <cell r="C37" t="str">
            <v>SCANA CP</v>
          </cell>
          <cell r="D37">
            <v>20111215</v>
          </cell>
          <cell r="E37" t="str">
            <v>EPS</v>
          </cell>
          <cell r="F37" t="str">
            <v>LTG</v>
          </cell>
          <cell r="G37">
            <v>0</v>
          </cell>
          <cell r="H37">
            <v>4</v>
          </cell>
          <cell r="I37">
            <v>4.3</v>
          </cell>
          <cell r="J37">
            <v>4.3499999999999996</v>
          </cell>
          <cell r="K37">
            <v>0.52</v>
          </cell>
          <cell r="L37">
            <v>1</v>
          </cell>
        </row>
        <row r="38">
          <cell r="A38" t="str">
            <v>SRE</v>
          </cell>
          <cell r="B38" t="str">
            <v>SDO</v>
          </cell>
          <cell r="C38" t="str">
            <v>SEMPRA ENERGY</v>
          </cell>
          <cell r="D38">
            <v>20111215</v>
          </cell>
          <cell r="E38" t="str">
            <v>EPS</v>
          </cell>
          <cell r="F38" t="str">
            <v>LTG</v>
          </cell>
          <cell r="G38">
            <v>0</v>
          </cell>
          <cell r="H38">
            <v>2</v>
          </cell>
          <cell r="I38">
            <v>7</v>
          </cell>
          <cell r="J38">
            <v>7</v>
          </cell>
          <cell r="K38">
            <v>0</v>
          </cell>
          <cell r="L38">
            <v>1</v>
          </cell>
        </row>
        <row r="39">
          <cell r="A39" t="str">
            <v>VVC</v>
          </cell>
          <cell r="B39" t="str">
            <v>SIG</v>
          </cell>
          <cell r="C39" t="str">
            <v>VECTREN CORP</v>
          </cell>
          <cell r="D39">
            <v>20111215</v>
          </cell>
          <cell r="E39" t="str">
            <v>EPS</v>
          </cell>
          <cell r="F39" t="str">
            <v>LTG</v>
          </cell>
          <cell r="G39">
            <v>0</v>
          </cell>
          <cell r="H39">
            <v>2</v>
          </cell>
          <cell r="I39">
            <v>6</v>
          </cell>
          <cell r="J39">
            <v>6</v>
          </cell>
          <cell r="K39">
            <v>0</v>
          </cell>
          <cell r="L39">
            <v>1</v>
          </cell>
        </row>
        <row r="40">
          <cell r="A40" t="str">
            <v>SO</v>
          </cell>
          <cell r="B40" t="str">
            <v>SO</v>
          </cell>
          <cell r="C40" t="str">
            <v>SOUTHN CO</v>
          </cell>
          <cell r="D40">
            <v>20111215</v>
          </cell>
          <cell r="E40" t="str">
            <v>EPS</v>
          </cell>
          <cell r="F40" t="str">
            <v>LTG</v>
          </cell>
          <cell r="G40">
            <v>0</v>
          </cell>
          <cell r="H40">
            <v>7</v>
          </cell>
          <cell r="I40">
            <v>6</v>
          </cell>
          <cell r="J40">
            <v>5.94</v>
          </cell>
          <cell r="K40">
            <v>0.6</v>
          </cell>
          <cell r="L40">
            <v>1</v>
          </cell>
        </row>
        <row r="41">
          <cell r="A41" t="str">
            <v>TE</v>
          </cell>
          <cell r="B41" t="str">
            <v>TE</v>
          </cell>
          <cell r="C41" t="str">
            <v>TECO ENERGY INC</v>
          </cell>
          <cell r="D41">
            <v>20111215</v>
          </cell>
          <cell r="E41" t="str">
            <v>EPS</v>
          </cell>
          <cell r="F41" t="str">
            <v>LTG</v>
          </cell>
          <cell r="G41">
            <v>0</v>
          </cell>
          <cell r="H41">
            <v>8</v>
          </cell>
          <cell r="I41">
            <v>5</v>
          </cell>
          <cell r="J41">
            <v>5.41</v>
          </cell>
          <cell r="K41">
            <v>1.95</v>
          </cell>
          <cell r="L41">
            <v>1</v>
          </cell>
        </row>
        <row r="42">
          <cell r="A42" t="str">
            <v>AEE</v>
          </cell>
          <cell r="B42" t="str">
            <v>UEP</v>
          </cell>
          <cell r="C42" t="str">
            <v>AMEREN CP</v>
          </cell>
          <cell r="D42">
            <v>20111215</v>
          </cell>
          <cell r="E42" t="str">
            <v>EPS</v>
          </cell>
          <cell r="F42" t="str">
            <v>LTG</v>
          </cell>
          <cell r="G42">
            <v>0</v>
          </cell>
          <cell r="H42">
            <v>3</v>
          </cell>
          <cell r="I42">
            <v>-1.9</v>
          </cell>
          <cell r="J42">
            <v>-3.43</v>
          </cell>
          <cell r="K42">
            <v>4.4000000000000004</v>
          </cell>
          <cell r="L42">
            <v>1</v>
          </cell>
        </row>
        <row r="43">
          <cell r="A43" t="str">
            <v>UIL</v>
          </cell>
          <cell r="B43" t="str">
            <v>UIL</v>
          </cell>
          <cell r="C43" t="str">
            <v>UIL HOLDING CORP</v>
          </cell>
          <cell r="D43">
            <v>20111215</v>
          </cell>
          <cell r="E43" t="str">
            <v>EPS</v>
          </cell>
          <cell r="F43" t="str">
            <v>LTG</v>
          </cell>
          <cell r="G43">
            <v>0</v>
          </cell>
          <cell r="H43">
            <v>2</v>
          </cell>
          <cell r="I43">
            <v>4</v>
          </cell>
          <cell r="J43">
            <v>4</v>
          </cell>
          <cell r="K43">
            <v>0</v>
          </cell>
          <cell r="L43">
            <v>1</v>
          </cell>
        </row>
        <row r="44">
          <cell r="A44" t="str">
            <v>WEC</v>
          </cell>
          <cell r="B44" t="str">
            <v>WPC</v>
          </cell>
          <cell r="C44" t="str">
            <v>WISCONSIN ENERGY</v>
          </cell>
          <cell r="D44">
            <v>20111215</v>
          </cell>
          <cell r="E44" t="str">
            <v>EPS</v>
          </cell>
          <cell r="F44" t="str">
            <v>LTG</v>
          </cell>
          <cell r="G44">
            <v>0</v>
          </cell>
          <cell r="H44">
            <v>4</v>
          </cell>
          <cell r="I44">
            <v>8.1</v>
          </cell>
          <cell r="J44">
            <v>7.8</v>
          </cell>
          <cell r="K44">
            <v>2.2599999999999998</v>
          </cell>
          <cell r="L44">
            <v>1</v>
          </cell>
        </row>
        <row r="45">
          <cell r="A45" t="str">
            <v>LNT</v>
          </cell>
          <cell r="B45" t="str">
            <v>WPL</v>
          </cell>
          <cell r="C45" t="str">
            <v>ALLIANT ENER</v>
          </cell>
          <cell r="D45">
            <v>20111215</v>
          </cell>
          <cell r="E45" t="str">
            <v>EPS</v>
          </cell>
          <cell r="F45" t="str">
            <v>LTG</v>
          </cell>
          <cell r="G45">
            <v>0</v>
          </cell>
          <cell r="H45">
            <v>2</v>
          </cell>
          <cell r="I45">
            <v>4.9000000000000004</v>
          </cell>
          <cell r="J45">
            <v>4.9000000000000004</v>
          </cell>
          <cell r="K45">
            <v>1.56</v>
          </cell>
          <cell r="L45">
            <v>1</v>
          </cell>
        </row>
        <row r="46">
          <cell r="A46" t="str">
            <v>AVA</v>
          </cell>
          <cell r="B46" t="str">
            <v>WWP</v>
          </cell>
          <cell r="C46" t="str">
            <v>AVISTA CORP</v>
          </cell>
          <cell r="D46">
            <v>20111215</v>
          </cell>
          <cell r="E46" t="str">
            <v>EPS</v>
          </cell>
          <cell r="F46" t="str">
            <v>LTG</v>
          </cell>
          <cell r="G46">
            <v>0</v>
          </cell>
          <cell r="H46">
            <v>2</v>
          </cell>
          <cell r="I46">
            <v>4.5</v>
          </cell>
          <cell r="J46">
            <v>4.5</v>
          </cell>
          <cell r="K46">
            <v>0.71</v>
          </cell>
          <cell r="L46">
            <v>1</v>
          </cell>
        </row>
        <row r="47">
          <cell r="A47" t="str">
            <v>PPL</v>
          </cell>
          <cell r="B47" t="str">
            <v>@1XJ</v>
          </cell>
          <cell r="C47" t="str">
            <v>PUMPKIN PATCH LT</v>
          </cell>
          <cell r="D47">
            <v>20111215</v>
          </cell>
          <cell r="E47" t="str">
            <v>EPS</v>
          </cell>
          <cell r="F47" t="str">
            <v>LTG</v>
          </cell>
          <cell r="G47">
            <v>0</v>
          </cell>
          <cell r="H47">
            <v>1</v>
          </cell>
          <cell r="I47">
            <v>17</v>
          </cell>
          <cell r="J47">
            <v>17</v>
          </cell>
          <cell r="L47">
            <v>0</v>
          </cell>
        </row>
        <row r="48">
          <cell r="A48" t="str">
            <v>PPL</v>
          </cell>
          <cell r="B48" t="str">
            <v>@1Z1</v>
          </cell>
          <cell r="C48" t="str">
            <v>PPL</v>
          </cell>
          <cell r="D48">
            <v>20111215</v>
          </cell>
          <cell r="E48" t="str">
            <v>EPS</v>
          </cell>
          <cell r="F48" t="str">
            <v>LTG</v>
          </cell>
          <cell r="G48">
            <v>0</v>
          </cell>
          <cell r="H48">
            <v>1</v>
          </cell>
          <cell r="I48">
            <v>16.3</v>
          </cell>
          <cell r="J48">
            <v>16.3</v>
          </cell>
          <cell r="L48">
            <v>0</v>
          </cell>
        </row>
        <row r="49">
          <cell r="A49" t="str">
            <v>AGR</v>
          </cell>
          <cell r="B49" t="str">
            <v>@AR7</v>
          </cell>
          <cell r="C49" t="str">
            <v>AGRANA VZ</v>
          </cell>
          <cell r="D49">
            <v>20111215</v>
          </cell>
          <cell r="E49" t="str">
            <v>EPS</v>
          </cell>
          <cell r="F49" t="str">
            <v>LTG</v>
          </cell>
          <cell r="G49">
            <v>0</v>
          </cell>
          <cell r="H49">
            <v>1</v>
          </cell>
          <cell r="I49">
            <v>17</v>
          </cell>
          <cell r="J49">
            <v>17</v>
          </cell>
          <cell r="L49">
            <v>0</v>
          </cell>
        </row>
        <row r="50">
          <cell r="A50" t="str">
            <v>CNP</v>
          </cell>
          <cell r="B50" t="str">
            <v>@CN0</v>
          </cell>
          <cell r="C50" t="str">
            <v>CNP ASSURANCES</v>
          </cell>
          <cell r="D50">
            <v>20111215</v>
          </cell>
          <cell r="E50" t="str">
            <v>EPS</v>
          </cell>
          <cell r="F50" t="str">
            <v>LTG</v>
          </cell>
          <cell r="G50">
            <v>0</v>
          </cell>
          <cell r="H50">
            <v>4</v>
          </cell>
          <cell r="I50">
            <v>3.25</v>
          </cell>
          <cell r="J50">
            <v>3.5</v>
          </cell>
          <cell r="K50">
            <v>2.2999999999999998</v>
          </cell>
          <cell r="L50">
            <v>0</v>
          </cell>
        </row>
        <row r="51">
          <cell r="A51" t="str">
            <v>SO</v>
          </cell>
          <cell r="B51" t="str">
            <v>@DAM</v>
          </cell>
          <cell r="C51" t="str">
            <v>SOMFY</v>
          </cell>
          <cell r="D51">
            <v>20111215</v>
          </cell>
          <cell r="E51" t="str">
            <v>EPS</v>
          </cell>
          <cell r="F51" t="str">
            <v>LTG</v>
          </cell>
          <cell r="G51">
            <v>0</v>
          </cell>
          <cell r="H51">
            <v>2</v>
          </cell>
          <cell r="I51">
            <v>6.95</v>
          </cell>
          <cell r="J51">
            <v>6.95</v>
          </cell>
          <cell r="K51">
            <v>2.9</v>
          </cell>
          <cell r="L51">
            <v>0</v>
          </cell>
        </row>
        <row r="52">
          <cell r="A52" t="str">
            <v>DTE</v>
          </cell>
          <cell r="B52" t="str">
            <v>@DT</v>
          </cell>
          <cell r="C52" t="str">
            <v>DEUTSCHE TELEKOM</v>
          </cell>
          <cell r="D52">
            <v>20111215</v>
          </cell>
          <cell r="E52" t="str">
            <v>EPS</v>
          </cell>
          <cell r="F52" t="str">
            <v>LTG</v>
          </cell>
          <cell r="G52">
            <v>0</v>
          </cell>
          <cell r="H52">
            <v>7</v>
          </cell>
          <cell r="I52">
            <v>17.2</v>
          </cell>
          <cell r="J52">
            <v>13.56</v>
          </cell>
          <cell r="K52">
            <v>9.23</v>
          </cell>
          <cell r="L52">
            <v>0</v>
          </cell>
        </row>
        <row r="53">
          <cell r="A53" t="str">
            <v>PGN</v>
          </cell>
          <cell r="B53" t="str">
            <v>@J5W</v>
          </cell>
          <cell r="C53" t="str">
            <v>POLISH OIL &amp; GAS</v>
          </cell>
          <cell r="D53">
            <v>20111215</v>
          </cell>
          <cell r="E53" t="str">
            <v>EPS</v>
          </cell>
          <cell r="F53" t="str">
            <v>LTG</v>
          </cell>
          <cell r="G53">
            <v>0</v>
          </cell>
          <cell r="H53">
            <v>1</v>
          </cell>
          <cell r="I53">
            <v>15.2</v>
          </cell>
          <cell r="J53">
            <v>15.2</v>
          </cell>
          <cell r="L53">
            <v>0</v>
          </cell>
        </row>
        <row r="54">
          <cell r="A54" t="str">
            <v>DTE</v>
          </cell>
          <cell r="B54" t="str">
            <v>@L64</v>
          </cell>
          <cell r="C54" t="str">
            <v>DART ENERGY</v>
          </cell>
          <cell r="D54">
            <v>20111215</v>
          </cell>
          <cell r="E54" t="str">
            <v>EPS</v>
          </cell>
          <cell r="F54" t="str">
            <v>LTG</v>
          </cell>
          <cell r="G54">
            <v>0</v>
          </cell>
          <cell r="H54">
            <v>1</v>
          </cell>
          <cell r="I54">
            <v>-27.12</v>
          </cell>
          <cell r="J54">
            <v>-27.12</v>
          </cell>
          <cell r="L54">
            <v>0</v>
          </cell>
        </row>
        <row r="55">
          <cell r="A55" t="str">
            <v>POM</v>
          </cell>
          <cell r="B55" t="str">
            <v>@PO8</v>
          </cell>
          <cell r="C55" t="str">
            <v>PLASTIC OMNIUM S</v>
          </cell>
          <cell r="D55">
            <v>20111215</v>
          </cell>
          <cell r="E55" t="str">
            <v>EPS</v>
          </cell>
          <cell r="F55" t="str">
            <v>LTG</v>
          </cell>
          <cell r="G55">
            <v>0</v>
          </cell>
          <cell r="H55">
            <v>1</v>
          </cell>
          <cell r="I55">
            <v>7.3</v>
          </cell>
          <cell r="J55">
            <v>7.3</v>
          </cell>
          <cell r="L55">
            <v>0</v>
          </cell>
        </row>
        <row r="56">
          <cell r="A56" t="str">
            <v>EXC</v>
          </cell>
          <cell r="B56" t="str">
            <v>@XDO</v>
          </cell>
          <cell r="C56" t="str">
            <v>EXCEET GROUP SE</v>
          </cell>
          <cell r="D56">
            <v>20111215</v>
          </cell>
          <cell r="E56" t="str">
            <v>EPS</v>
          </cell>
          <cell r="F56" t="str">
            <v>LTG</v>
          </cell>
          <cell r="G56">
            <v>0</v>
          </cell>
          <cell r="H56">
            <v>1</v>
          </cell>
          <cell r="I56">
            <v>46.3</v>
          </cell>
          <cell r="J56">
            <v>46.3</v>
          </cell>
          <cell r="L56">
            <v>0</v>
          </cell>
        </row>
        <row r="57">
          <cell r="A57" t="str">
            <v>PPL</v>
          </cell>
          <cell r="B57" t="str">
            <v>PIF1</v>
          </cell>
          <cell r="C57" t="str">
            <v>PEMBINA PIPELINE</v>
          </cell>
          <cell r="D57">
            <v>20111215</v>
          </cell>
          <cell r="E57" t="str">
            <v>EPS</v>
          </cell>
          <cell r="F57" t="str">
            <v>LTG</v>
          </cell>
          <cell r="G57">
            <v>0</v>
          </cell>
          <cell r="H57">
            <v>1</v>
          </cell>
          <cell r="I57">
            <v>-0.3</v>
          </cell>
          <cell r="J57">
            <v>-0.3</v>
          </cell>
          <cell r="L57">
            <v>0</v>
          </cell>
        </row>
      </sheetData>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RDS"/>
    </sheetNames>
    <sheetDataSet>
      <sheetData sheetId="0">
        <row r="1">
          <cell r="B1" t="str">
            <v>Official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Forecast Period End Date (SAS Format)</v>
          </cell>
          <cell r="M1" t="str">
            <v>Actual Value, from the Detail Actuals File</v>
          </cell>
          <cell r="N1" t="str">
            <v>Announce date of the Actual, from the Detail Actuals File</v>
          </cell>
        </row>
        <row r="2">
          <cell r="B2" t="str">
            <v>CPK</v>
          </cell>
          <cell r="C2" t="str">
            <v>CHESAPEAKE UTIL</v>
          </cell>
          <cell r="D2">
            <v>20111215</v>
          </cell>
          <cell r="E2" t="str">
            <v>EPS</v>
          </cell>
          <cell r="F2" t="str">
            <v>ANN</v>
          </cell>
          <cell r="G2">
            <v>1</v>
          </cell>
          <cell r="H2">
            <v>3</v>
          </cell>
          <cell r="I2">
            <v>1.83</v>
          </cell>
          <cell r="J2">
            <v>1.84</v>
          </cell>
          <cell r="K2">
            <v>0.03</v>
          </cell>
          <cell r="L2">
            <v>20111231</v>
          </cell>
          <cell r="M2">
            <v>1.8733</v>
          </cell>
          <cell r="N2">
            <v>20120307</v>
          </cell>
        </row>
        <row r="3">
          <cell r="B3" t="str">
            <v>ATO</v>
          </cell>
          <cell r="C3" t="str">
            <v>ATMOS ENERGY CP</v>
          </cell>
          <cell r="D3">
            <v>20111215</v>
          </cell>
          <cell r="E3" t="str">
            <v>EPS</v>
          </cell>
          <cell r="F3" t="str">
            <v>ANN</v>
          </cell>
          <cell r="G3">
            <v>1</v>
          </cell>
          <cell r="H3">
            <v>8</v>
          </cell>
          <cell r="I3">
            <v>2.38</v>
          </cell>
          <cell r="J3">
            <v>2.39</v>
          </cell>
          <cell r="K3">
            <v>0.04</v>
          </cell>
          <cell r="L3">
            <v>20120930</v>
          </cell>
          <cell r="M3">
            <v>2.11</v>
          </cell>
          <cell r="N3">
            <v>20121107</v>
          </cell>
        </row>
        <row r="4">
          <cell r="B4" t="str">
            <v>LG</v>
          </cell>
          <cell r="C4" t="str">
            <v>LACLEDE GROUP</v>
          </cell>
          <cell r="D4">
            <v>20111215</v>
          </cell>
          <cell r="E4" t="str">
            <v>EPS</v>
          </cell>
          <cell r="F4" t="str">
            <v>ANN</v>
          </cell>
          <cell r="G4">
            <v>1</v>
          </cell>
          <cell r="H4">
            <v>2</v>
          </cell>
          <cell r="I4">
            <v>2.62</v>
          </cell>
          <cell r="J4">
            <v>2.62</v>
          </cell>
          <cell r="K4">
            <v>0.04</v>
          </cell>
          <cell r="L4">
            <v>20120930</v>
          </cell>
          <cell r="M4">
            <v>2.79</v>
          </cell>
          <cell r="N4">
            <v>20121119</v>
          </cell>
        </row>
        <row r="5">
          <cell r="B5" t="str">
            <v>NI</v>
          </cell>
          <cell r="C5" t="str">
            <v>NISOURCE INC</v>
          </cell>
          <cell r="D5">
            <v>20111215</v>
          </cell>
          <cell r="E5" t="str">
            <v>EPS</v>
          </cell>
          <cell r="F5" t="str">
            <v>ANN</v>
          </cell>
          <cell r="G5">
            <v>1</v>
          </cell>
          <cell r="H5">
            <v>9</v>
          </cell>
          <cell r="I5">
            <v>1.35</v>
          </cell>
          <cell r="J5">
            <v>1.35</v>
          </cell>
          <cell r="K5">
            <v>0.02</v>
          </cell>
          <cell r="L5">
            <v>20111231</v>
          </cell>
          <cell r="M5">
            <v>1.35</v>
          </cell>
          <cell r="N5">
            <v>20120201</v>
          </cell>
        </row>
        <row r="6">
          <cell r="B6" t="str">
            <v>NJR</v>
          </cell>
          <cell r="C6" t="str">
            <v>NEW JERSEY RES</v>
          </cell>
          <cell r="D6">
            <v>20111215</v>
          </cell>
          <cell r="E6" t="str">
            <v>EPS</v>
          </cell>
          <cell r="F6" t="str">
            <v>ANN</v>
          </cell>
          <cell r="G6">
            <v>1</v>
          </cell>
          <cell r="H6">
            <v>8</v>
          </cell>
          <cell r="I6">
            <v>1.37</v>
          </cell>
          <cell r="J6">
            <v>1.39</v>
          </cell>
          <cell r="K6">
            <v>7.0000000000000007E-2</v>
          </cell>
          <cell r="L6">
            <v>20120930</v>
          </cell>
          <cell r="M6">
            <v>1.355</v>
          </cell>
          <cell r="N6">
            <v>20121129</v>
          </cell>
        </row>
        <row r="7">
          <cell r="B7" t="str">
            <v>NWN</v>
          </cell>
          <cell r="C7" t="str">
            <v>NW NATURAL GAS</v>
          </cell>
          <cell r="D7">
            <v>20111215</v>
          </cell>
          <cell r="E7" t="str">
            <v>EPS</v>
          </cell>
          <cell r="F7" t="str">
            <v>ANN</v>
          </cell>
          <cell r="G7">
            <v>1</v>
          </cell>
          <cell r="H7">
            <v>7</v>
          </cell>
          <cell r="I7">
            <v>2.5</v>
          </cell>
          <cell r="J7">
            <v>2.5299999999999998</v>
          </cell>
          <cell r="K7">
            <v>0.06</v>
          </cell>
          <cell r="L7">
            <v>20111231</v>
          </cell>
          <cell r="M7">
            <v>2.56</v>
          </cell>
          <cell r="N7">
            <v>20120228</v>
          </cell>
        </row>
        <row r="8">
          <cell r="B8" t="str">
            <v>PNY</v>
          </cell>
          <cell r="C8" t="str">
            <v>PIEDMONT NAT GAS</v>
          </cell>
          <cell r="D8">
            <v>20111215</v>
          </cell>
          <cell r="E8" t="str">
            <v>EPS</v>
          </cell>
          <cell r="F8" t="str">
            <v>ANN</v>
          </cell>
          <cell r="G8">
            <v>1</v>
          </cell>
          <cell r="H8">
            <v>8</v>
          </cell>
          <cell r="I8">
            <v>1.56</v>
          </cell>
          <cell r="J8">
            <v>1.57</v>
          </cell>
          <cell r="K8">
            <v>0.02</v>
          </cell>
          <cell r="L8">
            <v>20111031</v>
          </cell>
          <cell r="M8">
            <v>1.57</v>
          </cell>
          <cell r="N8">
            <v>20111223</v>
          </cell>
        </row>
        <row r="9">
          <cell r="B9" t="str">
            <v>SJI</v>
          </cell>
          <cell r="C9" t="str">
            <v>SO JERSEY INDS</v>
          </cell>
          <cell r="D9">
            <v>20111215</v>
          </cell>
          <cell r="E9" t="str">
            <v>EPS</v>
          </cell>
          <cell r="F9" t="str">
            <v>ANN</v>
          </cell>
          <cell r="G9">
            <v>1</v>
          </cell>
          <cell r="H9">
            <v>5</v>
          </cell>
          <cell r="I9">
            <v>1.47</v>
          </cell>
          <cell r="J9">
            <v>1.44</v>
          </cell>
          <cell r="K9">
            <v>0.09</v>
          </cell>
          <cell r="L9">
            <v>20111231</v>
          </cell>
          <cell r="M9">
            <v>1.4450000000000001</v>
          </cell>
          <cell r="N9">
            <v>20120228</v>
          </cell>
        </row>
        <row r="10">
          <cell r="B10" t="str">
            <v>SWX</v>
          </cell>
          <cell r="C10" t="str">
            <v>SOUTHWEST GAS</v>
          </cell>
          <cell r="D10">
            <v>20111215</v>
          </cell>
          <cell r="E10" t="str">
            <v>EPS</v>
          </cell>
          <cell r="F10" t="str">
            <v>ANN</v>
          </cell>
          <cell r="G10">
            <v>1</v>
          </cell>
          <cell r="H10">
            <v>7</v>
          </cell>
          <cell r="I10">
            <v>2.2000000000000002</v>
          </cell>
          <cell r="J10">
            <v>2.23</v>
          </cell>
          <cell r="K10">
            <v>0.08</v>
          </cell>
          <cell r="L10">
            <v>20111231</v>
          </cell>
          <cell r="M10">
            <v>2.4300000000000002</v>
          </cell>
          <cell r="N10">
            <v>20120228</v>
          </cell>
        </row>
        <row r="11">
          <cell r="B11" t="str">
            <v>WGL</v>
          </cell>
          <cell r="C11" t="str">
            <v>WGL HOLDING INC</v>
          </cell>
          <cell r="D11">
            <v>20111215</v>
          </cell>
          <cell r="E11" t="str">
            <v>EPS</v>
          </cell>
          <cell r="F11" t="str">
            <v>ANN</v>
          </cell>
          <cell r="G11">
            <v>1</v>
          </cell>
          <cell r="H11">
            <v>9</v>
          </cell>
          <cell r="I11">
            <v>2.5</v>
          </cell>
          <cell r="J11">
            <v>2.5</v>
          </cell>
          <cell r="K11">
            <v>0.06</v>
          </cell>
          <cell r="L11">
            <v>20120930</v>
          </cell>
          <cell r="M11">
            <v>2.68</v>
          </cell>
          <cell r="N11">
            <v>20121115</v>
          </cell>
        </row>
      </sheetData>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g4klb7dcygop1y"/>
    </sheetNames>
    <sheetDataSet>
      <sheetData sheetId="0">
        <row r="1">
          <cell r="B1" t="str">
            <v>Official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Forecast Period End Date (SAS Format)</v>
          </cell>
          <cell r="M1" t="str">
            <v>Actual Value, from the Detail Actuals File</v>
          </cell>
          <cell r="N1" t="str">
            <v>Announce date of the Actual, from the Detail Actuals File</v>
          </cell>
        </row>
        <row r="2">
          <cell r="B2" t="str">
            <v>CPK</v>
          </cell>
          <cell r="C2" t="str">
            <v>CHESAPEAKE UTIL</v>
          </cell>
          <cell r="D2">
            <v>40892</v>
          </cell>
          <cell r="E2" t="str">
            <v>EPS</v>
          </cell>
          <cell r="F2" t="str">
            <v>LTG</v>
          </cell>
          <cell r="G2" t="str">
            <v>0</v>
          </cell>
          <cell r="H2">
            <v>1</v>
          </cell>
          <cell r="I2">
            <v>12</v>
          </cell>
          <cell r="J2">
            <v>12</v>
          </cell>
        </row>
        <row r="3">
          <cell r="B3" t="str">
            <v>ATO</v>
          </cell>
          <cell r="C3" t="str">
            <v>ATMOS ENERGY CP</v>
          </cell>
          <cell r="D3">
            <v>40892</v>
          </cell>
          <cell r="E3" t="str">
            <v>EPS</v>
          </cell>
          <cell r="F3" t="str">
            <v>LTG</v>
          </cell>
          <cell r="G3" t="str">
            <v>0</v>
          </cell>
          <cell r="H3">
            <v>2</v>
          </cell>
          <cell r="I3">
            <v>2</v>
          </cell>
          <cell r="J3">
            <v>2</v>
          </cell>
          <cell r="K3">
            <v>0</v>
          </cell>
        </row>
        <row r="4">
          <cell r="B4" t="str">
            <v>NI</v>
          </cell>
          <cell r="C4" t="str">
            <v>NISOURCE INC</v>
          </cell>
          <cell r="D4">
            <v>40892</v>
          </cell>
          <cell r="E4" t="str">
            <v>EPS</v>
          </cell>
          <cell r="F4" t="str">
            <v>LTG</v>
          </cell>
          <cell r="G4" t="str">
            <v>0</v>
          </cell>
          <cell r="H4">
            <v>2</v>
          </cell>
          <cell r="I4">
            <v>10.55</v>
          </cell>
          <cell r="J4">
            <v>10.55</v>
          </cell>
          <cell r="K4">
            <v>3.32</v>
          </cell>
        </row>
        <row r="5">
          <cell r="B5" t="str">
            <v>NJR</v>
          </cell>
          <cell r="C5" t="str">
            <v>NEW JERSEY RES</v>
          </cell>
          <cell r="D5">
            <v>40892</v>
          </cell>
          <cell r="E5" t="str">
            <v>EPS</v>
          </cell>
          <cell r="F5" t="str">
            <v>LTG</v>
          </cell>
          <cell r="G5" t="str">
            <v>0</v>
          </cell>
          <cell r="H5">
            <v>3</v>
          </cell>
          <cell r="I5">
            <v>4</v>
          </cell>
          <cell r="J5">
            <v>3.03</v>
          </cell>
          <cell r="K5">
            <v>1.76</v>
          </cell>
        </row>
        <row r="6">
          <cell r="B6" t="str">
            <v>NWN</v>
          </cell>
          <cell r="C6" t="str">
            <v>NW NATURAL GAS</v>
          </cell>
          <cell r="D6">
            <v>40892</v>
          </cell>
          <cell r="E6" t="str">
            <v>EPS</v>
          </cell>
          <cell r="F6" t="str">
            <v>LTG</v>
          </cell>
          <cell r="G6" t="str">
            <v>0</v>
          </cell>
          <cell r="H6">
            <v>4</v>
          </cell>
          <cell r="I6">
            <v>4</v>
          </cell>
          <cell r="J6">
            <v>3.63</v>
          </cell>
          <cell r="K6">
            <v>1.1100000000000001</v>
          </cell>
        </row>
        <row r="7">
          <cell r="B7" t="str">
            <v>PNY</v>
          </cell>
          <cell r="C7" t="str">
            <v>PIEDMONT NAT GAS</v>
          </cell>
          <cell r="D7">
            <v>40892</v>
          </cell>
          <cell r="E7" t="str">
            <v>EPS</v>
          </cell>
          <cell r="F7" t="str">
            <v>LTG</v>
          </cell>
          <cell r="G7" t="str">
            <v>0</v>
          </cell>
          <cell r="H7">
            <v>2</v>
          </cell>
          <cell r="I7">
            <v>5.15</v>
          </cell>
          <cell r="J7">
            <v>5.15</v>
          </cell>
          <cell r="K7">
            <v>1.63</v>
          </cell>
        </row>
        <row r="8">
          <cell r="B8" t="str">
            <v>SJI</v>
          </cell>
          <cell r="C8" t="str">
            <v>SO JERSEY INDS</v>
          </cell>
          <cell r="D8">
            <v>40892</v>
          </cell>
          <cell r="E8" t="str">
            <v>EPS</v>
          </cell>
          <cell r="F8" t="str">
            <v>LTG</v>
          </cell>
          <cell r="G8" t="str">
            <v>0</v>
          </cell>
          <cell r="H8">
            <v>3</v>
          </cell>
          <cell r="I8">
            <v>9</v>
          </cell>
          <cell r="J8">
            <v>8.67</v>
          </cell>
          <cell r="K8">
            <v>0.57999999999999996</v>
          </cell>
        </row>
        <row r="9">
          <cell r="B9" t="str">
            <v>SWX</v>
          </cell>
          <cell r="C9" t="str">
            <v>SOUTHWEST GAS</v>
          </cell>
          <cell r="D9">
            <v>40892</v>
          </cell>
          <cell r="E9" t="str">
            <v>EPS</v>
          </cell>
          <cell r="F9" t="str">
            <v>LTG</v>
          </cell>
          <cell r="G9" t="str">
            <v>0</v>
          </cell>
          <cell r="H9">
            <v>2</v>
          </cell>
          <cell r="I9">
            <v>2.2000000000000002</v>
          </cell>
          <cell r="J9">
            <v>2.2000000000000002</v>
          </cell>
          <cell r="K9">
            <v>5.37</v>
          </cell>
        </row>
        <row r="10">
          <cell r="B10" t="str">
            <v>WGL</v>
          </cell>
          <cell r="C10" t="str">
            <v>WGL HOLDING INC</v>
          </cell>
          <cell r="D10">
            <v>40892</v>
          </cell>
          <cell r="E10" t="str">
            <v>EPS</v>
          </cell>
          <cell r="F10" t="str">
            <v>LTG</v>
          </cell>
          <cell r="G10" t="str">
            <v>0</v>
          </cell>
          <cell r="H10">
            <v>3</v>
          </cell>
          <cell r="I10">
            <v>5.0999999999999996</v>
          </cell>
          <cell r="J10">
            <v>4.5999999999999996</v>
          </cell>
          <cell r="K10">
            <v>1.23</v>
          </cell>
        </row>
        <row r="11">
          <cell r="B11" t="str">
            <v>LG</v>
          </cell>
          <cell r="C11" t="str">
            <v>LACLEDE GROUP</v>
          </cell>
          <cell r="D11">
            <v>40927</v>
          </cell>
          <cell r="E11" t="str">
            <v>EPS</v>
          </cell>
          <cell r="F11" t="str">
            <v>LTG</v>
          </cell>
          <cell r="G11" t="str">
            <v>0</v>
          </cell>
          <cell r="H11">
            <v>1</v>
          </cell>
          <cell r="I11">
            <v>5.3</v>
          </cell>
          <cell r="J11">
            <v>5.3</v>
          </cell>
        </row>
      </sheetData>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RDS"/>
    </sheetNames>
    <sheetDataSet>
      <sheetData sheetId="0">
        <row r="1">
          <cell r="A1" t="str">
            <v>OFTIC</v>
          </cell>
          <cell r="B1" t="str">
            <v>IBES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USFIRM=0 if from .INT file and USFIRM=1 if from .US file</v>
          </cell>
          <cell r="L1" t="str">
            <v>Forecast Period End Date (SAS Format)</v>
          </cell>
          <cell r="M1" t="str">
            <v>Actual Value, from the Detail Actuals File</v>
          </cell>
          <cell r="N1" t="str">
            <v>Announce date of the Actual, from the Detail Actuals File</v>
          </cell>
        </row>
        <row r="2">
          <cell r="A2" t="str">
            <v>PNW</v>
          </cell>
          <cell r="B2" t="str">
            <v>AZP</v>
          </cell>
          <cell r="C2" t="str">
            <v>PINNACLE WST CAP</v>
          </cell>
          <cell r="D2">
            <v>20101216</v>
          </cell>
          <cell r="E2" t="str">
            <v>EPS</v>
          </cell>
          <cell r="F2" t="str">
            <v>ANN</v>
          </cell>
          <cell r="G2">
            <v>1</v>
          </cell>
          <cell r="H2">
            <v>12</v>
          </cell>
          <cell r="I2">
            <v>3.04</v>
          </cell>
          <cell r="J2">
            <v>3.03</v>
          </cell>
          <cell r="K2">
            <v>1</v>
          </cell>
          <cell r="L2">
            <v>20101231</v>
          </cell>
          <cell r="M2">
            <v>3.08</v>
          </cell>
          <cell r="N2">
            <v>20110218</v>
          </cell>
        </row>
        <row r="3">
          <cell r="A3" t="str">
            <v>CEG</v>
          </cell>
          <cell r="B3" t="str">
            <v>BGE</v>
          </cell>
          <cell r="C3" t="str">
            <v>CONSTELLATION EN</v>
          </cell>
          <cell r="D3">
            <v>20101216</v>
          </cell>
          <cell r="E3" t="str">
            <v>EPS</v>
          </cell>
          <cell r="F3" t="str">
            <v>ANN</v>
          </cell>
          <cell r="G3">
            <v>1</v>
          </cell>
          <cell r="H3">
            <v>12</v>
          </cell>
          <cell r="I3">
            <v>3.18</v>
          </cell>
          <cell r="J3">
            <v>3.19</v>
          </cell>
          <cell r="K3">
            <v>1</v>
          </cell>
          <cell r="L3">
            <v>20101231</v>
          </cell>
          <cell r="M3">
            <v>3.06</v>
          </cell>
          <cell r="N3">
            <v>20110204</v>
          </cell>
        </row>
        <row r="4">
          <cell r="A4" t="str">
            <v>BKH</v>
          </cell>
          <cell r="B4" t="str">
            <v>BHP</v>
          </cell>
          <cell r="C4" t="str">
            <v>BLACK HILLS CP</v>
          </cell>
          <cell r="D4">
            <v>20101216</v>
          </cell>
          <cell r="E4" t="str">
            <v>EPS</v>
          </cell>
          <cell r="F4" t="str">
            <v>ANN</v>
          </cell>
          <cell r="G4">
            <v>1</v>
          </cell>
          <cell r="H4">
            <v>6</v>
          </cell>
          <cell r="I4">
            <v>1.91</v>
          </cell>
          <cell r="J4">
            <v>1.9</v>
          </cell>
          <cell r="K4">
            <v>1</v>
          </cell>
          <cell r="L4">
            <v>20101231</v>
          </cell>
          <cell r="M4">
            <v>1.79</v>
          </cell>
          <cell r="N4">
            <v>20110203</v>
          </cell>
        </row>
        <row r="5">
          <cell r="A5" t="str">
            <v>NST</v>
          </cell>
          <cell r="B5" t="str">
            <v>BSE</v>
          </cell>
          <cell r="C5" t="str">
            <v>NSTAR</v>
          </cell>
          <cell r="D5">
            <v>20101216</v>
          </cell>
          <cell r="E5" t="str">
            <v>EPS</v>
          </cell>
          <cell r="F5" t="str">
            <v>ANN</v>
          </cell>
          <cell r="G5">
            <v>1</v>
          </cell>
          <cell r="H5">
            <v>10</v>
          </cell>
          <cell r="I5">
            <v>2.5499999999999998</v>
          </cell>
          <cell r="J5">
            <v>2.5499999999999998</v>
          </cell>
          <cell r="K5">
            <v>1</v>
          </cell>
          <cell r="L5">
            <v>20101231</v>
          </cell>
          <cell r="M5">
            <v>2.56</v>
          </cell>
          <cell r="N5">
            <v>20110127</v>
          </cell>
        </row>
        <row r="6">
          <cell r="A6" t="str">
            <v>CMS</v>
          </cell>
          <cell r="B6" t="str">
            <v>CMS</v>
          </cell>
          <cell r="C6" t="str">
            <v>CMS ENERGY CORP</v>
          </cell>
          <cell r="D6">
            <v>20101216</v>
          </cell>
          <cell r="E6" t="str">
            <v>EPS</v>
          </cell>
          <cell r="F6" t="str">
            <v>ANN</v>
          </cell>
          <cell r="G6">
            <v>1</v>
          </cell>
          <cell r="H6">
            <v>15</v>
          </cell>
          <cell r="I6">
            <v>1.35</v>
          </cell>
          <cell r="J6">
            <v>1.36</v>
          </cell>
          <cell r="K6">
            <v>1</v>
          </cell>
          <cell r="L6">
            <v>20101231</v>
          </cell>
          <cell r="M6">
            <v>1.36</v>
          </cell>
          <cell r="N6">
            <v>20110224</v>
          </cell>
        </row>
        <row r="7">
          <cell r="A7" t="str">
            <v>CNL</v>
          </cell>
          <cell r="B7" t="str">
            <v>CNL</v>
          </cell>
          <cell r="C7" t="str">
            <v>CLECO CORP</v>
          </cell>
          <cell r="D7">
            <v>20101216</v>
          </cell>
          <cell r="E7" t="str">
            <v>EPS</v>
          </cell>
          <cell r="F7" t="str">
            <v>ANN</v>
          </cell>
          <cell r="G7">
            <v>1</v>
          </cell>
          <cell r="H7">
            <v>4</v>
          </cell>
          <cell r="I7">
            <v>2.21</v>
          </cell>
          <cell r="J7">
            <v>2.2200000000000002</v>
          </cell>
          <cell r="K7">
            <v>1</v>
          </cell>
          <cell r="L7">
            <v>20101231</v>
          </cell>
          <cell r="M7">
            <v>2.2599999999999998</v>
          </cell>
          <cell r="N7">
            <v>20110224</v>
          </cell>
        </row>
        <row r="8">
          <cell r="A8" t="str">
            <v>PGN</v>
          </cell>
          <cell r="B8" t="str">
            <v>CPL</v>
          </cell>
          <cell r="C8" t="str">
            <v>PROGRESS ENERGY</v>
          </cell>
          <cell r="D8">
            <v>20101216</v>
          </cell>
          <cell r="E8" t="str">
            <v>EPS</v>
          </cell>
          <cell r="F8" t="str">
            <v>ANN</v>
          </cell>
          <cell r="G8">
            <v>1</v>
          </cell>
          <cell r="H8">
            <v>15</v>
          </cell>
          <cell r="I8">
            <v>3.05</v>
          </cell>
          <cell r="J8">
            <v>3.03</v>
          </cell>
          <cell r="K8">
            <v>1</v>
          </cell>
          <cell r="L8">
            <v>20101231</v>
          </cell>
          <cell r="M8">
            <v>3.06</v>
          </cell>
          <cell r="N8">
            <v>20110218</v>
          </cell>
        </row>
        <row r="9">
          <cell r="A9" t="str">
            <v>CV</v>
          </cell>
          <cell r="B9" t="str">
            <v>CV</v>
          </cell>
          <cell r="C9" t="str">
            <v>CENT VT PUB SVC</v>
          </cell>
          <cell r="D9">
            <v>20101216</v>
          </cell>
          <cell r="E9" t="str">
            <v>EPS</v>
          </cell>
          <cell r="F9" t="str">
            <v>ANN</v>
          </cell>
          <cell r="G9">
            <v>1</v>
          </cell>
          <cell r="H9">
            <v>1</v>
          </cell>
          <cell r="I9">
            <v>1.55</v>
          </cell>
          <cell r="J9">
            <v>1.55</v>
          </cell>
          <cell r="K9">
            <v>1</v>
          </cell>
          <cell r="L9">
            <v>20101231</v>
          </cell>
          <cell r="M9">
            <v>1.66</v>
          </cell>
          <cell r="N9">
            <v>20110315</v>
          </cell>
        </row>
        <row r="10">
          <cell r="A10" t="str">
            <v>D</v>
          </cell>
          <cell r="B10" t="str">
            <v>D</v>
          </cell>
          <cell r="C10" t="str">
            <v>DOMINION RES INC</v>
          </cell>
          <cell r="D10">
            <v>20101216</v>
          </cell>
          <cell r="E10" t="str">
            <v>EPS</v>
          </cell>
          <cell r="F10" t="str">
            <v>ANN</v>
          </cell>
          <cell r="G10">
            <v>1</v>
          </cell>
          <cell r="H10">
            <v>19</v>
          </cell>
          <cell r="I10">
            <v>3.35</v>
          </cell>
          <cell r="J10">
            <v>3.34</v>
          </cell>
          <cell r="K10">
            <v>1</v>
          </cell>
          <cell r="L10">
            <v>20101231</v>
          </cell>
          <cell r="M10">
            <v>3.34</v>
          </cell>
          <cell r="N10">
            <v>20110128</v>
          </cell>
        </row>
        <row r="11">
          <cell r="A11" t="str">
            <v>DPL</v>
          </cell>
          <cell r="B11" t="str">
            <v>DPL</v>
          </cell>
          <cell r="C11" t="str">
            <v>DPL INC</v>
          </cell>
          <cell r="D11">
            <v>20101216</v>
          </cell>
          <cell r="E11" t="str">
            <v>EPS</v>
          </cell>
          <cell r="F11" t="str">
            <v>ANN</v>
          </cell>
          <cell r="G11">
            <v>1</v>
          </cell>
          <cell r="H11">
            <v>7</v>
          </cell>
          <cell r="I11">
            <v>2.4500000000000002</v>
          </cell>
          <cell r="J11">
            <v>2.4300000000000002</v>
          </cell>
          <cell r="K11">
            <v>1</v>
          </cell>
          <cell r="L11">
            <v>20101231</v>
          </cell>
          <cell r="M11">
            <v>2.5</v>
          </cell>
          <cell r="N11">
            <v>20110217</v>
          </cell>
        </row>
        <row r="12">
          <cell r="A12" t="str">
            <v>DTE</v>
          </cell>
          <cell r="B12" t="str">
            <v>DTE</v>
          </cell>
          <cell r="C12" t="str">
            <v>DTE ENERGY</v>
          </cell>
          <cell r="D12">
            <v>20101216</v>
          </cell>
          <cell r="E12" t="str">
            <v>EPS</v>
          </cell>
          <cell r="F12" t="str">
            <v>ANN</v>
          </cell>
          <cell r="G12">
            <v>1</v>
          </cell>
          <cell r="H12">
            <v>12</v>
          </cell>
          <cell r="I12">
            <v>3.6</v>
          </cell>
          <cell r="J12">
            <v>3.59</v>
          </cell>
          <cell r="K12">
            <v>1</v>
          </cell>
          <cell r="L12">
            <v>20101231</v>
          </cell>
          <cell r="M12">
            <v>3.6</v>
          </cell>
          <cell r="N12">
            <v>20110209</v>
          </cell>
        </row>
        <row r="13">
          <cell r="A13" t="str">
            <v>DUK</v>
          </cell>
          <cell r="B13" t="str">
            <v>DUK</v>
          </cell>
          <cell r="C13" t="str">
            <v>DUKE ENERGY CORP</v>
          </cell>
          <cell r="D13">
            <v>20101216</v>
          </cell>
          <cell r="E13" t="str">
            <v>EPS</v>
          </cell>
          <cell r="F13" t="str">
            <v>ANN</v>
          </cell>
          <cell r="G13">
            <v>1</v>
          </cell>
          <cell r="H13">
            <v>21</v>
          </cell>
          <cell r="I13">
            <v>4.29</v>
          </cell>
          <cell r="J13">
            <v>4.25</v>
          </cell>
          <cell r="K13">
            <v>1</v>
          </cell>
          <cell r="L13">
            <v>20101231</v>
          </cell>
          <cell r="M13">
            <v>4.29</v>
          </cell>
          <cell r="N13">
            <v>20110217</v>
          </cell>
        </row>
        <row r="14">
          <cell r="A14" t="str">
            <v>ED</v>
          </cell>
          <cell r="B14" t="str">
            <v>ED</v>
          </cell>
          <cell r="C14" t="str">
            <v>CONSOLIDATED EDI</v>
          </cell>
          <cell r="D14">
            <v>20101216</v>
          </cell>
          <cell r="E14" t="str">
            <v>EPS</v>
          </cell>
          <cell r="F14" t="str">
            <v>ANN</v>
          </cell>
          <cell r="G14">
            <v>1</v>
          </cell>
          <cell r="H14">
            <v>13</v>
          </cell>
          <cell r="I14">
            <v>3.45</v>
          </cell>
          <cell r="J14">
            <v>3.41</v>
          </cell>
          <cell r="K14">
            <v>1</v>
          </cell>
          <cell r="L14">
            <v>20101231</v>
          </cell>
          <cell r="M14">
            <v>3.45</v>
          </cell>
          <cell r="N14">
            <v>20110120</v>
          </cell>
        </row>
        <row r="15">
          <cell r="A15" t="str">
            <v>EDE</v>
          </cell>
          <cell r="B15" t="str">
            <v>EDE</v>
          </cell>
          <cell r="C15" t="str">
            <v>EMPIRE DIST ELEC</v>
          </cell>
          <cell r="D15">
            <v>20101216</v>
          </cell>
          <cell r="E15" t="str">
            <v>EPS</v>
          </cell>
          <cell r="F15" t="str">
            <v>ANN</v>
          </cell>
          <cell r="G15">
            <v>1</v>
          </cell>
          <cell r="H15">
            <v>4</v>
          </cell>
          <cell r="I15">
            <v>1.25</v>
          </cell>
          <cell r="J15">
            <v>1.26</v>
          </cell>
          <cell r="K15">
            <v>1</v>
          </cell>
          <cell r="L15">
            <v>20101231</v>
          </cell>
          <cell r="M15">
            <v>1.17</v>
          </cell>
          <cell r="N15">
            <v>20110203</v>
          </cell>
        </row>
        <row r="16">
          <cell r="A16" t="str">
            <v>NEE</v>
          </cell>
          <cell r="B16" t="str">
            <v>FPL</v>
          </cell>
          <cell r="C16" t="str">
            <v>NEXTERA ENERGY I</v>
          </cell>
          <cell r="D16">
            <v>20101216</v>
          </cell>
          <cell r="E16" t="str">
            <v>EPS</v>
          </cell>
          <cell r="F16" t="str">
            <v>ANN</v>
          </cell>
          <cell r="G16">
            <v>1</v>
          </cell>
          <cell r="H16">
            <v>23</v>
          </cell>
          <cell r="I16">
            <v>1.0900000000000001</v>
          </cell>
          <cell r="J16">
            <v>1.0900000000000001</v>
          </cell>
          <cell r="K16">
            <v>1</v>
          </cell>
          <cell r="L16">
            <v>20101231</v>
          </cell>
          <cell r="M16">
            <v>1.075</v>
          </cell>
          <cell r="N16">
            <v>20110125</v>
          </cell>
        </row>
        <row r="17">
          <cell r="A17" t="str">
            <v>HE</v>
          </cell>
          <cell r="B17" t="str">
            <v>HE</v>
          </cell>
          <cell r="C17" t="str">
            <v>HAWAIIAN ELEC</v>
          </cell>
          <cell r="D17">
            <v>20101216</v>
          </cell>
          <cell r="E17" t="str">
            <v>EPS</v>
          </cell>
          <cell r="F17" t="str">
            <v>ANN</v>
          </cell>
          <cell r="G17">
            <v>1</v>
          </cell>
          <cell r="H17">
            <v>6</v>
          </cell>
          <cell r="I17">
            <v>1.31</v>
          </cell>
          <cell r="J17">
            <v>1.33</v>
          </cell>
          <cell r="K17">
            <v>1</v>
          </cell>
          <cell r="L17">
            <v>20101231</v>
          </cell>
          <cell r="M17">
            <v>1.21</v>
          </cell>
          <cell r="N17">
            <v>20110210</v>
          </cell>
        </row>
        <row r="18">
          <cell r="A18" t="str">
            <v>CNP</v>
          </cell>
          <cell r="B18" t="str">
            <v>HOU</v>
          </cell>
          <cell r="C18" t="str">
            <v>CENTERPOINT ENER</v>
          </cell>
          <cell r="D18">
            <v>20101216</v>
          </cell>
          <cell r="E18" t="str">
            <v>EPS</v>
          </cell>
          <cell r="F18" t="str">
            <v>ANN</v>
          </cell>
          <cell r="G18">
            <v>1</v>
          </cell>
          <cell r="H18">
            <v>14</v>
          </cell>
          <cell r="I18">
            <v>1.06</v>
          </cell>
          <cell r="J18">
            <v>1.07</v>
          </cell>
          <cell r="K18">
            <v>1</v>
          </cell>
          <cell r="L18">
            <v>20101231</v>
          </cell>
          <cell r="M18">
            <v>0.97</v>
          </cell>
          <cell r="N18">
            <v>20110301</v>
          </cell>
        </row>
        <row r="19">
          <cell r="A19" t="str">
            <v>IDA</v>
          </cell>
          <cell r="B19" t="str">
            <v>IDA</v>
          </cell>
          <cell r="C19" t="str">
            <v>IDACORP INC.</v>
          </cell>
          <cell r="D19">
            <v>20101216</v>
          </cell>
          <cell r="E19" t="str">
            <v>EPS</v>
          </cell>
          <cell r="F19" t="str">
            <v>ANN</v>
          </cell>
          <cell r="G19">
            <v>1</v>
          </cell>
          <cell r="H19">
            <v>6</v>
          </cell>
          <cell r="I19">
            <v>2.86</v>
          </cell>
          <cell r="J19">
            <v>2.86</v>
          </cell>
          <cell r="K19">
            <v>1</v>
          </cell>
          <cell r="L19">
            <v>20101231</v>
          </cell>
          <cell r="M19">
            <v>2.95</v>
          </cell>
          <cell r="N19">
            <v>20110223</v>
          </cell>
        </row>
        <row r="20">
          <cell r="A20" t="str">
            <v>WR</v>
          </cell>
          <cell r="B20" t="str">
            <v>KAN</v>
          </cell>
          <cell r="C20" t="str">
            <v>WESTAR ENERGY</v>
          </cell>
          <cell r="D20">
            <v>20101216</v>
          </cell>
          <cell r="E20" t="str">
            <v>EPS</v>
          </cell>
          <cell r="F20" t="str">
            <v>ANN</v>
          </cell>
          <cell r="G20">
            <v>1</v>
          </cell>
          <cell r="H20">
            <v>10</v>
          </cell>
          <cell r="I20">
            <v>1.88</v>
          </cell>
          <cell r="J20">
            <v>1.87</v>
          </cell>
          <cell r="K20">
            <v>1</v>
          </cell>
          <cell r="L20">
            <v>20101231</v>
          </cell>
          <cell r="M20">
            <v>1.81</v>
          </cell>
          <cell r="N20">
            <v>20110224</v>
          </cell>
        </row>
        <row r="21">
          <cell r="A21" t="str">
            <v>GXP</v>
          </cell>
          <cell r="B21" t="str">
            <v>KLT</v>
          </cell>
          <cell r="C21" t="str">
            <v>GREAT PLAINS</v>
          </cell>
          <cell r="D21">
            <v>20101216</v>
          </cell>
          <cell r="E21" t="str">
            <v>EPS</v>
          </cell>
          <cell r="F21" t="str">
            <v>ANN</v>
          </cell>
          <cell r="G21">
            <v>1</v>
          </cell>
          <cell r="H21">
            <v>9</v>
          </cell>
          <cell r="I21">
            <v>1.59</v>
          </cell>
          <cell r="J21">
            <v>1.57</v>
          </cell>
          <cell r="K21">
            <v>1</v>
          </cell>
          <cell r="L21">
            <v>20101231</v>
          </cell>
          <cell r="M21">
            <v>1.53</v>
          </cell>
          <cell r="N21">
            <v>20110224</v>
          </cell>
        </row>
        <row r="22">
          <cell r="A22" t="str">
            <v>MGEE</v>
          </cell>
          <cell r="B22" t="str">
            <v>MDSN</v>
          </cell>
          <cell r="C22" t="str">
            <v>MGE ENERGY INC</v>
          </cell>
          <cell r="D22">
            <v>20101216</v>
          </cell>
          <cell r="E22" t="str">
            <v>EPS</v>
          </cell>
          <cell r="F22" t="str">
            <v>ANN</v>
          </cell>
          <cell r="G22">
            <v>1</v>
          </cell>
          <cell r="H22">
            <v>1</v>
          </cell>
          <cell r="I22">
            <v>1.73</v>
          </cell>
          <cell r="J22">
            <v>1.73</v>
          </cell>
          <cell r="K22">
            <v>1</v>
          </cell>
          <cell r="L22">
            <v>20101231</v>
          </cell>
          <cell r="M22">
            <v>1.6667000000000001</v>
          </cell>
          <cell r="N22">
            <v>20110224</v>
          </cell>
        </row>
        <row r="23">
          <cell r="A23" t="str">
            <v>ALE</v>
          </cell>
          <cell r="B23" t="str">
            <v>MPL</v>
          </cell>
          <cell r="C23" t="str">
            <v>ALLETE INC</v>
          </cell>
          <cell r="D23">
            <v>20101216</v>
          </cell>
          <cell r="E23" t="str">
            <v>EPS</v>
          </cell>
          <cell r="F23" t="str">
            <v>ANN</v>
          </cell>
          <cell r="G23">
            <v>1</v>
          </cell>
          <cell r="H23">
            <v>1</v>
          </cell>
          <cell r="I23">
            <v>2.27</v>
          </cell>
          <cell r="J23">
            <v>2.27</v>
          </cell>
          <cell r="K23">
            <v>1</v>
          </cell>
          <cell r="L23">
            <v>20101231</v>
          </cell>
          <cell r="M23">
            <v>2.19</v>
          </cell>
          <cell r="N23">
            <v>20110216</v>
          </cell>
        </row>
        <row r="24">
          <cell r="A24" t="str">
            <v>ETR</v>
          </cell>
          <cell r="B24" t="str">
            <v>MSU</v>
          </cell>
          <cell r="C24" t="str">
            <v>ENTERGY CP</v>
          </cell>
          <cell r="D24">
            <v>20101216</v>
          </cell>
          <cell r="E24" t="str">
            <v>EPS</v>
          </cell>
          <cell r="F24" t="str">
            <v>ANN</v>
          </cell>
          <cell r="G24">
            <v>1</v>
          </cell>
          <cell r="H24">
            <v>17</v>
          </cell>
          <cell r="I24">
            <v>7.05</v>
          </cell>
          <cell r="J24">
            <v>6.99</v>
          </cell>
          <cell r="K24">
            <v>1</v>
          </cell>
          <cell r="L24">
            <v>20101231</v>
          </cell>
          <cell r="M24">
            <v>7.1</v>
          </cell>
          <cell r="N24">
            <v>20110208</v>
          </cell>
        </row>
        <row r="25">
          <cell r="A25" t="str">
            <v>XEL</v>
          </cell>
          <cell r="B25" t="str">
            <v>NSP</v>
          </cell>
          <cell r="C25" t="str">
            <v>XCEL ENERGY INC</v>
          </cell>
          <cell r="D25">
            <v>20101216</v>
          </cell>
          <cell r="E25" t="str">
            <v>EPS</v>
          </cell>
          <cell r="F25" t="str">
            <v>ANN</v>
          </cell>
          <cell r="G25">
            <v>1</v>
          </cell>
          <cell r="H25">
            <v>13</v>
          </cell>
          <cell r="I25">
            <v>1.65</v>
          </cell>
          <cell r="J25">
            <v>1.64</v>
          </cell>
          <cell r="K25">
            <v>1</v>
          </cell>
          <cell r="L25">
            <v>20101231</v>
          </cell>
          <cell r="M25">
            <v>1.62</v>
          </cell>
          <cell r="N25">
            <v>20110127</v>
          </cell>
        </row>
        <row r="26">
          <cell r="A26" t="str">
            <v>NU</v>
          </cell>
          <cell r="B26" t="str">
            <v>NU</v>
          </cell>
          <cell r="C26" t="str">
            <v>NORTHEAST UTILS</v>
          </cell>
          <cell r="D26">
            <v>20101216</v>
          </cell>
          <cell r="E26" t="str">
            <v>EPS</v>
          </cell>
          <cell r="F26" t="str">
            <v>ANN</v>
          </cell>
          <cell r="G26">
            <v>1</v>
          </cell>
          <cell r="H26">
            <v>9</v>
          </cell>
          <cell r="I26">
            <v>2.1</v>
          </cell>
          <cell r="J26">
            <v>2.08</v>
          </cell>
          <cell r="K26">
            <v>1</v>
          </cell>
          <cell r="L26">
            <v>20101231</v>
          </cell>
          <cell r="M26">
            <v>2.19</v>
          </cell>
          <cell r="N26">
            <v>20110224</v>
          </cell>
        </row>
        <row r="27">
          <cell r="A27" t="str">
            <v>NWE</v>
          </cell>
          <cell r="B27" t="str">
            <v>NWPS</v>
          </cell>
          <cell r="C27" t="str">
            <v>NORTHWESTERN CP</v>
          </cell>
          <cell r="D27">
            <v>20101216</v>
          </cell>
          <cell r="E27" t="str">
            <v>EPS</v>
          </cell>
          <cell r="F27" t="str">
            <v>ANN</v>
          </cell>
          <cell r="G27">
            <v>1</v>
          </cell>
          <cell r="H27">
            <v>2</v>
          </cell>
          <cell r="I27">
            <v>2.06</v>
          </cell>
          <cell r="J27">
            <v>2.06</v>
          </cell>
          <cell r="K27">
            <v>1</v>
          </cell>
          <cell r="L27">
            <v>20101231</v>
          </cell>
          <cell r="M27">
            <v>2.14</v>
          </cell>
          <cell r="N27">
            <v>20110211</v>
          </cell>
        </row>
        <row r="28">
          <cell r="A28" t="str">
            <v>FE</v>
          </cell>
          <cell r="B28" t="str">
            <v>OEC</v>
          </cell>
          <cell r="C28" t="str">
            <v>FIRSTENERGY CORP</v>
          </cell>
          <cell r="D28">
            <v>20101216</v>
          </cell>
          <cell r="E28" t="str">
            <v>EPS</v>
          </cell>
          <cell r="F28" t="str">
            <v>ANN</v>
          </cell>
          <cell r="G28">
            <v>1</v>
          </cell>
          <cell r="H28">
            <v>15</v>
          </cell>
          <cell r="I28">
            <v>3.65</v>
          </cell>
          <cell r="J28">
            <v>3.65</v>
          </cell>
          <cell r="K28">
            <v>1</v>
          </cell>
          <cell r="L28">
            <v>20101231</v>
          </cell>
          <cell r="M28">
            <v>3.62</v>
          </cell>
          <cell r="N28">
            <v>20110216</v>
          </cell>
        </row>
        <row r="29">
          <cell r="A29" t="str">
            <v>OGE</v>
          </cell>
          <cell r="B29" t="str">
            <v>OGE</v>
          </cell>
          <cell r="C29" t="str">
            <v>OGE ENERGY CORP</v>
          </cell>
          <cell r="D29">
            <v>20101216</v>
          </cell>
          <cell r="E29" t="str">
            <v>EPS</v>
          </cell>
          <cell r="F29" t="str">
            <v>ANN</v>
          </cell>
          <cell r="G29">
            <v>1</v>
          </cell>
          <cell r="H29">
            <v>7</v>
          </cell>
          <cell r="I29">
            <v>1.5</v>
          </cell>
          <cell r="J29">
            <v>1.51</v>
          </cell>
          <cell r="K29">
            <v>1</v>
          </cell>
          <cell r="L29">
            <v>20101231</v>
          </cell>
          <cell r="M29">
            <v>1.55</v>
          </cell>
          <cell r="N29">
            <v>20110217</v>
          </cell>
        </row>
        <row r="30">
          <cell r="A30" t="str">
            <v>OTTR</v>
          </cell>
          <cell r="B30" t="str">
            <v>OTTR</v>
          </cell>
          <cell r="C30" t="str">
            <v>OTTER TAIL CORP.</v>
          </cell>
          <cell r="D30">
            <v>20101216</v>
          </cell>
          <cell r="E30" t="str">
            <v>EPS</v>
          </cell>
          <cell r="F30" t="str">
            <v>ANN</v>
          </cell>
          <cell r="G30">
            <v>1</v>
          </cell>
          <cell r="H30">
            <v>2</v>
          </cell>
          <cell r="I30">
            <v>0.68</v>
          </cell>
          <cell r="J30">
            <v>0.68</v>
          </cell>
          <cell r="K30">
            <v>1</v>
          </cell>
          <cell r="L30">
            <v>20101231</v>
          </cell>
          <cell r="M30">
            <v>0.38</v>
          </cell>
          <cell r="N30">
            <v>20110207</v>
          </cell>
        </row>
        <row r="31">
          <cell r="A31" t="str">
            <v>PCG</v>
          </cell>
          <cell r="B31" t="str">
            <v>PCG</v>
          </cell>
          <cell r="C31" t="str">
            <v>P G &amp; E CORP</v>
          </cell>
          <cell r="D31">
            <v>20101216</v>
          </cell>
          <cell r="E31" t="str">
            <v>EPS</v>
          </cell>
          <cell r="F31" t="str">
            <v>ANN</v>
          </cell>
          <cell r="G31">
            <v>1</v>
          </cell>
          <cell r="H31">
            <v>16</v>
          </cell>
          <cell r="I31">
            <v>3.43</v>
          </cell>
          <cell r="J31">
            <v>3.42</v>
          </cell>
          <cell r="K31">
            <v>1</v>
          </cell>
          <cell r="L31">
            <v>20101231</v>
          </cell>
          <cell r="M31">
            <v>3.42</v>
          </cell>
          <cell r="N31">
            <v>20110217</v>
          </cell>
        </row>
        <row r="32">
          <cell r="A32" t="str">
            <v>EXC</v>
          </cell>
          <cell r="B32" t="str">
            <v>PE</v>
          </cell>
          <cell r="C32" t="str">
            <v>EXELON CORP</v>
          </cell>
          <cell r="D32">
            <v>20101216</v>
          </cell>
          <cell r="E32" t="str">
            <v>EPS</v>
          </cell>
          <cell r="F32" t="str">
            <v>ANN</v>
          </cell>
          <cell r="G32">
            <v>1</v>
          </cell>
          <cell r="H32">
            <v>18</v>
          </cell>
          <cell r="I32">
            <v>4.03</v>
          </cell>
          <cell r="J32">
            <v>4.01</v>
          </cell>
          <cell r="K32">
            <v>1</v>
          </cell>
          <cell r="L32">
            <v>20101231</v>
          </cell>
          <cell r="M32">
            <v>4.0599999999999996</v>
          </cell>
          <cell r="N32">
            <v>20110126</v>
          </cell>
        </row>
        <row r="33">
          <cell r="A33" t="str">
            <v>PEG</v>
          </cell>
          <cell r="B33" t="str">
            <v>PEG</v>
          </cell>
          <cell r="C33" t="str">
            <v>PUB SVC ENTERS</v>
          </cell>
          <cell r="D33">
            <v>20101216</v>
          </cell>
          <cell r="E33" t="str">
            <v>EPS</v>
          </cell>
          <cell r="F33" t="str">
            <v>ANN</v>
          </cell>
          <cell r="G33">
            <v>1</v>
          </cell>
          <cell r="H33">
            <v>19</v>
          </cell>
          <cell r="I33">
            <v>3.15</v>
          </cell>
          <cell r="J33">
            <v>3.16</v>
          </cell>
          <cell r="K33">
            <v>1</v>
          </cell>
          <cell r="L33">
            <v>20101231</v>
          </cell>
          <cell r="M33">
            <v>3.12</v>
          </cell>
          <cell r="N33">
            <v>20110222</v>
          </cell>
        </row>
        <row r="34">
          <cell r="A34" t="str">
            <v>PNM</v>
          </cell>
          <cell r="B34" t="str">
            <v>PNM</v>
          </cell>
          <cell r="C34" t="str">
            <v>PNM RESOURCES</v>
          </cell>
          <cell r="D34">
            <v>20101216</v>
          </cell>
          <cell r="E34" t="str">
            <v>EPS</v>
          </cell>
          <cell r="F34" t="str">
            <v>ANN</v>
          </cell>
          <cell r="G34">
            <v>1</v>
          </cell>
          <cell r="H34">
            <v>10</v>
          </cell>
          <cell r="I34">
            <v>0.85</v>
          </cell>
          <cell r="J34">
            <v>0.86</v>
          </cell>
          <cell r="K34">
            <v>1</v>
          </cell>
          <cell r="L34">
            <v>20101231</v>
          </cell>
          <cell r="M34">
            <v>0.87</v>
          </cell>
          <cell r="N34">
            <v>20110303</v>
          </cell>
        </row>
        <row r="35">
          <cell r="A35" t="str">
            <v>POM</v>
          </cell>
          <cell r="B35" t="str">
            <v>POM</v>
          </cell>
          <cell r="C35" t="str">
            <v>PEPCO HOLDINGS</v>
          </cell>
          <cell r="D35">
            <v>20101216</v>
          </cell>
          <cell r="E35" t="str">
            <v>EPS</v>
          </cell>
          <cell r="F35" t="str">
            <v>ANN</v>
          </cell>
          <cell r="G35">
            <v>1</v>
          </cell>
          <cell r="H35">
            <v>10</v>
          </cell>
          <cell r="I35">
            <v>1.06</v>
          </cell>
          <cell r="J35">
            <v>1.04</v>
          </cell>
          <cell r="K35">
            <v>1</v>
          </cell>
          <cell r="L35">
            <v>20101231</v>
          </cell>
          <cell r="M35">
            <v>1.24</v>
          </cell>
          <cell r="N35">
            <v>20110225</v>
          </cell>
        </row>
        <row r="36">
          <cell r="A36" t="str">
            <v>POR</v>
          </cell>
          <cell r="B36" t="str">
            <v>PORO</v>
          </cell>
          <cell r="C36" t="str">
            <v>PORTLAND GENERAL</v>
          </cell>
          <cell r="D36">
            <v>20101216</v>
          </cell>
          <cell r="E36" t="str">
            <v>EPS</v>
          </cell>
          <cell r="F36" t="str">
            <v>ANN</v>
          </cell>
          <cell r="G36">
            <v>1</v>
          </cell>
          <cell r="H36">
            <v>10</v>
          </cell>
          <cell r="I36">
            <v>1.74</v>
          </cell>
          <cell r="J36">
            <v>1.72</v>
          </cell>
          <cell r="K36">
            <v>1</v>
          </cell>
          <cell r="L36">
            <v>20101231</v>
          </cell>
          <cell r="M36">
            <v>1.66</v>
          </cell>
          <cell r="N36">
            <v>20110225</v>
          </cell>
        </row>
        <row r="37">
          <cell r="A37" t="str">
            <v>PPL</v>
          </cell>
          <cell r="B37" t="str">
            <v>PPL</v>
          </cell>
          <cell r="C37" t="str">
            <v>PP&amp;L CORP</v>
          </cell>
          <cell r="D37">
            <v>20101216</v>
          </cell>
          <cell r="E37" t="str">
            <v>EPS</v>
          </cell>
          <cell r="F37" t="str">
            <v>ANN</v>
          </cell>
          <cell r="G37">
            <v>1</v>
          </cell>
          <cell r="H37">
            <v>12</v>
          </cell>
          <cell r="I37">
            <v>2.86</v>
          </cell>
          <cell r="J37">
            <v>2.86</v>
          </cell>
          <cell r="K37">
            <v>1</v>
          </cell>
          <cell r="L37">
            <v>20101231</v>
          </cell>
          <cell r="M37">
            <v>3.13</v>
          </cell>
          <cell r="N37">
            <v>20110204</v>
          </cell>
        </row>
        <row r="38">
          <cell r="A38" t="str">
            <v>EIX</v>
          </cell>
          <cell r="B38" t="str">
            <v>SCE</v>
          </cell>
          <cell r="C38" t="str">
            <v>EDISON INTL</v>
          </cell>
          <cell r="D38">
            <v>20101216</v>
          </cell>
          <cell r="E38" t="str">
            <v>EPS</v>
          </cell>
          <cell r="F38" t="str">
            <v>ANN</v>
          </cell>
          <cell r="G38">
            <v>1</v>
          </cell>
          <cell r="H38">
            <v>18</v>
          </cell>
          <cell r="I38">
            <v>3.5</v>
          </cell>
          <cell r="J38">
            <v>3.5</v>
          </cell>
          <cell r="K38">
            <v>1</v>
          </cell>
          <cell r="L38">
            <v>20101231</v>
          </cell>
          <cell r="M38">
            <v>3.48</v>
          </cell>
          <cell r="N38">
            <v>20110228</v>
          </cell>
        </row>
        <row r="39">
          <cell r="A39" t="str">
            <v>SCG</v>
          </cell>
          <cell r="B39" t="str">
            <v>SCG</v>
          </cell>
          <cell r="C39" t="str">
            <v>SCANA CP</v>
          </cell>
          <cell r="D39">
            <v>20101216</v>
          </cell>
          <cell r="E39" t="str">
            <v>EPS</v>
          </cell>
          <cell r="F39" t="str">
            <v>ANN</v>
          </cell>
          <cell r="G39">
            <v>1</v>
          </cell>
          <cell r="H39">
            <v>7</v>
          </cell>
          <cell r="I39">
            <v>3</v>
          </cell>
          <cell r="J39">
            <v>2.98</v>
          </cell>
          <cell r="K39">
            <v>1</v>
          </cell>
          <cell r="L39">
            <v>20101231</v>
          </cell>
          <cell r="M39">
            <v>3.01</v>
          </cell>
          <cell r="N39">
            <v>20110211</v>
          </cell>
        </row>
        <row r="40">
          <cell r="A40" t="str">
            <v>SRE</v>
          </cell>
          <cell r="B40" t="str">
            <v>SDO</v>
          </cell>
          <cell r="C40" t="str">
            <v>SEMPRA ENERGY</v>
          </cell>
          <cell r="D40">
            <v>20101216</v>
          </cell>
          <cell r="E40" t="str">
            <v>EPS</v>
          </cell>
          <cell r="F40" t="str">
            <v>ANN</v>
          </cell>
          <cell r="G40">
            <v>1</v>
          </cell>
          <cell r="H40">
            <v>6</v>
          </cell>
          <cell r="I40">
            <v>3.67</v>
          </cell>
          <cell r="J40">
            <v>3.63</v>
          </cell>
          <cell r="K40">
            <v>1</v>
          </cell>
          <cell r="L40">
            <v>20101231</v>
          </cell>
          <cell r="M40">
            <v>3.61</v>
          </cell>
          <cell r="N40">
            <v>20110224</v>
          </cell>
        </row>
        <row r="41">
          <cell r="A41" t="str">
            <v>VVC</v>
          </cell>
          <cell r="B41" t="str">
            <v>SIG</v>
          </cell>
          <cell r="C41" t="str">
            <v>VECTREN CORP</v>
          </cell>
          <cell r="D41">
            <v>20101216</v>
          </cell>
          <cell r="E41" t="str">
            <v>EPS</v>
          </cell>
          <cell r="F41" t="str">
            <v>ANN</v>
          </cell>
          <cell r="G41">
            <v>1</v>
          </cell>
          <cell r="H41">
            <v>6</v>
          </cell>
          <cell r="I41">
            <v>1.67</v>
          </cell>
          <cell r="J41">
            <v>1.68</v>
          </cell>
          <cell r="K41">
            <v>1</v>
          </cell>
          <cell r="L41">
            <v>20101231</v>
          </cell>
          <cell r="M41">
            <v>1.64</v>
          </cell>
          <cell r="N41">
            <v>20110216</v>
          </cell>
        </row>
        <row r="42">
          <cell r="A42" t="str">
            <v>SO</v>
          </cell>
          <cell r="B42" t="str">
            <v>SO</v>
          </cell>
          <cell r="C42" t="str">
            <v>SOUTHN CO</v>
          </cell>
          <cell r="D42">
            <v>20101216</v>
          </cell>
          <cell r="E42" t="str">
            <v>EPS</v>
          </cell>
          <cell r="F42" t="str">
            <v>ANN</v>
          </cell>
          <cell r="G42">
            <v>1</v>
          </cell>
          <cell r="H42">
            <v>20</v>
          </cell>
          <cell r="I42">
            <v>2.37</v>
          </cell>
          <cell r="J42">
            <v>2.38</v>
          </cell>
          <cell r="K42">
            <v>1</v>
          </cell>
          <cell r="L42">
            <v>20101231</v>
          </cell>
          <cell r="M42">
            <v>2.37</v>
          </cell>
          <cell r="N42">
            <v>20110126</v>
          </cell>
        </row>
        <row r="43">
          <cell r="A43" t="str">
            <v>TE</v>
          </cell>
          <cell r="B43" t="str">
            <v>TE</v>
          </cell>
          <cell r="C43" t="str">
            <v>TECO ENERGY INC</v>
          </cell>
          <cell r="D43">
            <v>20101216</v>
          </cell>
          <cell r="E43" t="str">
            <v>EPS</v>
          </cell>
          <cell r="F43" t="str">
            <v>ANN</v>
          </cell>
          <cell r="G43">
            <v>1</v>
          </cell>
          <cell r="H43">
            <v>16</v>
          </cell>
          <cell r="I43">
            <v>1.3</v>
          </cell>
          <cell r="J43">
            <v>1.31</v>
          </cell>
          <cell r="K43">
            <v>1</v>
          </cell>
          <cell r="L43">
            <v>20101231</v>
          </cell>
          <cell r="M43">
            <v>1.28</v>
          </cell>
          <cell r="N43">
            <v>20110204</v>
          </cell>
        </row>
        <row r="44">
          <cell r="A44" t="str">
            <v>AEE</v>
          </cell>
          <cell r="B44" t="str">
            <v>UEP</v>
          </cell>
          <cell r="C44" t="str">
            <v>AMEREN CP</v>
          </cell>
          <cell r="D44">
            <v>20101216</v>
          </cell>
          <cell r="E44" t="str">
            <v>EPS</v>
          </cell>
          <cell r="F44" t="str">
            <v>ANN</v>
          </cell>
          <cell r="G44">
            <v>1</v>
          </cell>
          <cell r="H44">
            <v>10</v>
          </cell>
          <cell r="I44">
            <v>2.73</v>
          </cell>
          <cell r="J44">
            <v>2.76</v>
          </cell>
          <cell r="K44">
            <v>1</v>
          </cell>
          <cell r="L44">
            <v>20101231</v>
          </cell>
          <cell r="M44">
            <v>2.75</v>
          </cell>
          <cell r="N44">
            <v>20110222</v>
          </cell>
        </row>
        <row r="45">
          <cell r="A45" t="str">
            <v>UIL</v>
          </cell>
          <cell r="B45" t="str">
            <v>UIL</v>
          </cell>
          <cell r="C45" t="str">
            <v>UIL HOLDING CORP</v>
          </cell>
          <cell r="D45">
            <v>20101216</v>
          </cell>
          <cell r="E45" t="str">
            <v>EPS</v>
          </cell>
          <cell r="F45" t="str">
            <v>ANN</v>
          </cell>
          <cell r="G45">
            <v>1</v>
          </cell>
          <cell r="H45">
            <v>6</v>
          </cell>
          <cell r="I45">
            <v>1.93</v>
          </cell>
          <cell r="J45">
            <v>1.9</v>
          </cell>
          <cell r="K45">
            <v>1</v>
          </cell>
          <cell r="L45">
            <v>20101231</v>
          </cell>
          <cell r="M45">
            <v>2.04</v>
          </cell>
          <cell r="N45">
            <v>20110222</v>
          </cell>
        </row>
        <row r="46">
          <cell r="A46" t="str">
            <v>WEC</v>
          </cell>
          <cell r="B46" t="str">
            <v>WPC</v>
          </cell>
          <cell r="C46" t="str">
            <v>WISCONSIN ENERGY</v>
          </cell>
          <cell r="D46">
            <v>20101216</v>
          </cell>
          <cell r="E46" t="str">
            <v>EPS</v>
          </cell>
          <cell r="F46" t="str">
            <v>ANN</v>
          </cell>
          <cell r="G46">
            <v>1</v>
          </cell>
          <cell r="H46">
            <v>14</v>
          </cell>
          <cell r="I46">
            <v>1.9</v>
          </cell>
          <cell r="J46">
            <v>1.9</v>
          </cell>
          <cell r="K46">
            <v>1</v>
          </cell>
          <cell r="L46">
            <v>20101231</v>
          </cell>
          <cell r="M46">
            <v>1.92</v>
          </cell>
          <cell r="N46">
            <v>20110201</v>
          </cell>
        </row>
        <row r="47">
          <cell r="A47" t="str">
            <v>LNT</v>
          </cell>
          <cell r="B47" t="str">
            <v>WPL</v>
          </cell>
          <cell r="C47" t="str">
            <v>ALLIANT ENER</v>
          </cell>
          <cell r="D47">
            <v>20101216</v>
          </cell>
          <cell r="E47" t="str">
            <v>EPS</v>
          </cell>
          <cell r="F47" t="str">
            <v>ANN</v>
          </cell>
          <cell r="G47">
            <v>1</v>
          </cell>
          <cell r="H47">
            <v>8</v>
          </cell>
          <cell r="I47">
            <v>1.38</v>
          </cell>
          <cell r="J47">
            <v>1.37</v>
          </cell>
          <cell r="K47">
            <v>1</v>
          </cell>
          <cell r="L47">
            <v>20101231</v>
          </cell>
          <cell r="M47">
            <v>1.375</v>
          </cell>
          <cell r="N47">
            <v>20110210</v>
          </cell>
        </row>
        <row r="48">
          <cell r="A48" t="str">
            <v>AVA</v>
          </cell>
          <cell r="B48" t="str">
            <v>WWP</v>
          </cell>
          <cell r="C48" t="str">
            <v>AVISTA CORP</v>
          </cell>
          <cell r="D48">
            <v>20101216</v>
          </cell>
          <cell r="E48" t="str">
            <v>EPS</v>
          </cell>
          <cell r="F48" t="str">
            <v>ANN</v>
          </cell>
          <cell r="G48">
            <v>1</v>
          </cell>
          <cell r="H48">
            <v>5</v>
          </cell>
          <cell r="I48">
            <v>1.62</v>
          </cell>
          <cell r="J48">
            <v>1.63</v>
          </cell>
          <cell r="K48">
            <v>1</v>
          </cell>
          <cell r="L48">
            <v>20101231</v>
          </cell>
          <cell r="M48">
            <v>1.65</v>
          </cell>
          <cell r="N48">
            <v>20110217</v>
          </cell>
        </row>
        <row r="49">
          <cell r="A49" t="str">
            <v>PPL</v>
          </cell>
          <cell r="B49" t="str">
            <v>@1XJ</v>
          </cell>
          <cell r="C49" t="str">
            <v>PUMPKIN PATCH LT</v>
          </cell>
          <cell r="D49">
            <v>20101216</v>
          </cell>
          <cell r="E49" t="str">
            <v>EPS</v>
          </cell>
          <cell r="F49" t="str">
            <v>ANN</v>
          </cell>
          <cell r="G49">
            <v>1</v>
          </cell>
          <cell r="H49">
            <v>3</v>
          </cell>
          <cell r="I49">
            <v>0.16500000000000001</v>
          </cell>
          <cell r="J49">
            <v>0.16300000000000001</v>
          </cell>
          <cell r="K49">
            <v>0</v>
          </cell>
          <cell r="L49">
            <v>20110731</v>
          </cell>
          <cell r="M49">
            <v>7.3999999999999996E-2</v>
          </cell>
          <cell r="N49">
            <v>20110926</v>
          </cell>
        </row>
        <row r="50">
          <cell r="A50" t="str">
            <v>PPL</v>
          </cell>
          <cell r="B50" t="str">
            <v>@1Z1</v>
          </cell>
          <cell r="C50" t="str">
            <v>PPL</v>
          </cell>
          <cell r="D50">
            <v>20101216</v>
          </cell>
          <cell r="E50" t="str">
            <v>EPS</v>
          </cell>
          <cell r="F50" t="str">
            <v>ANN</v>
          </cell>
          <cell r="G50">
            <v>1</v>
          </cell>
          <cell r="H50">
            <v>3</v>
          </cell>
          <cell r="I50">
            <v>11.73</v>
          </cell>
          <cell r="J50">
            <v>11.79</v>
          </cell>
          <cell r="K50">
            <v>0</v>
          </cell>
          <cell r="L50">
            <v>20110630</v>
          </cell>
          <cell r="M50">
            <v>11.5547</v>
          </cell>
          <cell r="N50">
            <v>20110809</v>
          </cell>
        </row>
        <row r="51">
          <cell r="A51" t="str">
            <v>CNP</v>
          </cell>
          <cell r="B51" t="str">
            <v>@3QP</v>
          </cell>
          <cell r="C51" t="str">
            <v>CONAFI PRESTITO</v>
          </cell>
          <cell r="D51">
            <v>20101216</v>
          </cell>
          <cell r="E51" t="str">
            <v>EPS</v>
          </cell>
          <cell r="F51" t="str">
            <v>ANN</v>
          </cell>
          <cell r="G51">
            <v>1</v>
          </cell>
          <cell r="H51">
            <v>1</v>
          </cell>
          <cell r="I51">
            <v>0</v>
          </cell>
          <cell r="J51">
            <v>0</v>
          </cell>
          <cell r="K51">
            <v>0</v>
          </cell>
          <cell r="L51">
            <v>20101231</v>
          </cell>
          <cell r="M51">
            <v>-3.6999999999999998E-2</v>
          </cell>
          <cell r="N51">
            <v>20110324</v>
          </cell>
        </row>
        <row r="52">
          <cell r="A52" t="str">
            <v>IDA</v>
          </cell>
          <cell r="B52" t="str">
            <v>@5W2</v>
          </cell>
          <cell r="C52" t="str">
            <v>IDATECH PLC</v>
          </cell>
          <cell r="D52">
            <v>20101216</v>
          </cell>
          <cell r="E52" t="str">
            <v>EPS</v>
          </cell>
          <cell r="F52" t="str">
            <v>ANN</v>
          </cell>
          <cell r="G52">
            <v>1</v>
          </cell>
          <cell r="H52">
            <v>1</v>
          </cell>
          <cell r="I52">
            <v>-0.5</v>
          </cell>
          <cell r="J52">
            <v>-0.5</v>
          </cell>
          <cell r="K52">
            <v>0</v>
          </cell>
          <cell r="L52">
            <v>20101231</v>
          </cell>
          <cell r="M52">
            <v>-0.52</v>
          </cell>
          <cell r="N52">
            <v>20110323</v>
          </cell>
        </row>
        <row r="53">
          <cell r="A53" t="str">
            <v>DPL</v>
          </cell>
          <cell r="B53" t="str">
            <v>@6OD</v>
          </cell>
          <cell r="C53" t="str">
            <v>DOMINION PETROLE</v>
          </cell>
          <cell r="D53">
            <v>20101216</v>
          </cell>
          <cell r="E53" t="str">
            <v>EPS</v>
          </cell>
          <cell r="F53" t="str">
            <v>ANN</v>
          </cell>
          <cell r="G53">
            <v>1</v>
          </cell>
          <cell r="H53">
            <v>5</v>
          </cell>
          <cell r="I53">
            <v>-0.01</v>
          </cell>
          <cell r="J53">
            <v>-0.01</v>
          </cell>
          <cell r="K53">
            <v>0</v>
          </cell>
          <cell r="L53">
            <v>20101231</v>
          </cell>
          <cell r="M53">
            <v>-3.0000000000000001E-3</v>
          </cell>
          <cell r="N53">
            <v>20110624</v>
          </cell>
        </row>
        <row r="54">
          <cell r="A54" t="str">
            <v>XEL</v>
          </cell>
          <cell r="B54" t="str">
            <v>@6Q7</v>
          </cell>
          <cell r="C54" t="str">
            <v>XCITE ENERGY LTD</v>
          </cell>
          <cell r="D54">
            <v>20101216</v>
          </cell>
          <cell r="E54" t="str">
            <v>EPS</v>
          </cell>
          <cell r="F54" t="str">
            <v>ANN</v>
          </cell>
          <cell r="G54">
            <v>1</v>
          </cell>
          <cell r="H54">
            <v>2</v>
          </cell>
          <cell r="I54">
            <v>0.3</v>
          </cell>
          <cell r="J54">
            <v>0.3</v>
          </cell>
          <cell r="K54">
            <v>0</v>
          </cell>
          <cell r="L54">
            <v>20101231</v>
          </cell>
          <cell r="M54">
            <v>-0.77900000000000003</v>
          </cell>
          <cell r="N54">
            <v>20110325</v>
          </cell>
        </row>
        <row r="55">
          <cell r="A55" t="str">
            <v>CNP</v>
          </cell>
          <cell r="B55" t="str">
            <v>@8PG</v>
          </cell>
          <cell r="C55" t="str">
            <v>CENTRO PROPERTIE</v>
          </cell>
          <cell r="D55">
            <v>20101216</v>
          </cell>
          <cell r="E55" t="str">
            <v>EPS</v>
          </cell>
          <cell r="F55" t="str">
            <v>ANN</v>
          </cell>
          <cell r="G55">
            <v>1</v>
          </cell>
          <cell r="H55">
            <v>1</v>
          </cell>
          <cell r="I55">
            <v>0.156</v>
          </cell>
          <cell r="J55">
            <v>0.156</v>
          </cell>
          <cell r="K55">
            <v>0</v>
          </cell>
          <cell r="L55">
            <v>20110630</v>
          </cell>
        </row>
        <row r="56">
          <cell r="A56" t="str">
            <v>AGR</v>
          </cell>
          <cell r="B56" t="str">
            <v>@A7S</v>
          </cell>
          <cell r="C56" t="str">
            <v>AGROB IMMOBILIEN</v>
          </cell>
          <cell r="D56">
            <v>20101216</v>
          </cell>
          <cell r="E56" t="str">
            <v>EPS</v>
          </cell>
          <cell r="F56" t="str">
            <v>ANN</v>
          </cell>
          <cell r="G56">
            <v>1</v>
          </cell>
          <cell r="H56">
            <v>1</v>
          </cell>
          <cell r="I56">
            <v>0.36</v>
          </cell>
          <cell r="J56">
            <v>0.36</v>
          </cell>
          <cell r="K56">
            <v>0</v>
          </cell>
          <cell r="L56">
            <v>20101231</v>
          </cell>
          <cell r="M56">
            <v>0.35</v>
          </cell>
          <cell r="N56">
            <v>20110420</v>
          </cell>
        </row>
        <row r="57">
          <cell r="A57" t="str">
            <v>AGR</v>
          </cell>
          <cell r="B57" t="str">
            <v>@AR7</v>
          </cell>
          <cell r="C57" t="str">
            <v>AGRANA VZ</v>
          </cell>
          <cell r="D57">
            <v>20101216</v>
          </cell>
          <cell r="E57" t="str">
            <v>EPS</v>
          </cell>
          <cell r="F57" t="str">
            <v>ANN</v>
          </cell>
          <cell r="G57">
            <v>1</v>
          </cell>
          <cell r="H57">
            <v>4</v>
          </cell>
          <cell r="I57">
            <v>1.1599999999999999</v>
          </cell>
          <cell r="J57">
            <v>1.1599999999999999</v>
          </cell>
          <cell r="K57">
            <v>0</v>
          </cell>
          <cell r="L57">
            <v>20110228</v>
          </cell>
          <cell r="M57">
            <v>1.4795</v>
          </cell>
          <cell r="N57">
            <v>20110513</v>
          </cell>
        </row>
        <row r="58">
          <cell r="A58" t="str">
            <v>CNP</v>
          </cell>
          <cell r="B58" t="str">
            <v>@CN0</v>
          </cell>
          <cell r="C58" t="str">
            <v>CNP ASSURANCES</v>
          </cell>
          <cell r="D58">
            <v>20101216</v>
          </cell>
          <cell r="E58" t="str">
            <v>EPS</v>
          </cell>
          <cell r="F58" t="str">
            <v>ANN</v>
          </cell>
          <cell r="G58">
            <v>1</v>
          </cell>
          <cell r="H58">
            <v>15</v>
          </cell>
          <cell r="I58">
            <v>1.84</v>
          </cell>
          <cell r="J58">
            <v>2.21</v>
          </cell>
          <cell r="K58">
            <v>0</v>
          </cell>
          <cell r="L58">
            <v>20101231</v>
          </cell>
          <cell r="M58">
            <v>1.62</v>
          </cell>
          <cell r="N58">
            <v>20110223</v>
          </cell>
        </row>
        <row r="59">
          <cell r="A59" t="str">
            <v>SO</v>
          </cell>
          <cell r="B59" t="str">
            <v>@DAM</v>
          </cell>
          <cell r="C59" t="str">
            <v>SOMFY</v>
          </cell>
          <cell r="D59">
            <v>20101216</v>
          </cell>
          <cell r="E59" t="str">
            <v>EPS</v>
          </cell>
          <cell r="F59" t="str">
            <v>ANN</v>
          </cell>
          <cell r="G59">
            <v>1</v>
          </cell>
          <cell r="H59">
            <v>4</v>
          </cell>
          <cell r="I59">
            <v>2.76</v>
          </cell>
          <cell r="J59">
            <v>2.75</v>
          </cell>
          <cell r="K59">
            <v>0</v>
          </cell>
          <cell r="L59">
            <v>20101231</v>
          </cell>
          <cell r="M59">
            <v>2.492</v>
          </cell>
          <cell r="N59">
            <v>20110225</v>
          </cell>
        </row>
        <row r="60">
          <cell r="A60" t="str">
            <v>DTE</v>
          </cell>
          <cell r="B60" t="str">
            <v>@DT</v>
          </cell>
          <cell r="C60" t="str">
            <v>DEUTSCHE TELEKOM</v>
          </cell>
          <cell r="D60">
            <v>20101216</v>
          </cell>
          <cell r="E60" t="str">
            <v>EPS</v>
          </cell>
          <cell r="F60" t="str">
            <v>ANN</v>
          </cell>
          <cell r="G60">
            <v>1</v>
          </cell>
          <cell r="H60">
            <v>41</v>
          </cell>
          <cell r="I60">
            <v>0.78</v>
          </cell>
          <cell r="J60">
            <v>0.78</v>
          </cell>
          <cell r="K60">
            <v>0</v>
          </cell>
          <cell r="L60">
            <v>20101231</v>
          </cell>
          <cell r="M60">
            <v>0.78</v>
          </cell>
          <cell r="N60">
            <v>20110225</v>
          </cell>
        </row>
        <row r="61">
          <cell r="A61" t="str">
            <v>CMS</v>
          </cell>
          <cell r="B61" t="str">
            <v>@HMD</v>
          </cell>
          <cell r="C61" t="str">
            <v>CAHYA MATA SARA.</v>
          </cell>
          <cell r="D61">
            <v>20101216</v>
          </cell>
          <cell r="E61" t="str">
            <v>EPS</v>
          </cell>
          <cell r="F61" t="str">
            <v>ANN</v>
          </cell>
          <cell r="G61">
            <v>1</v>
          </cell>
          <cell r="H61">
            <v>1</v>
          </cell>
          <cell r="I61">
            <v>6.2E-2</v>
          </cell>
          <cell r="J61">
            <v>6.2E-2</v>
          </cell>
          <cell r="K61">
            <v>0</v>
          </cell>
          <cell r="L61">
            <v>20101231</v>
          </cell>
          <cell r="M61">
            <v>6.6699999999999995E-2</v>
          </cell>
          <cell r="N61">
            <v>20110225</v>
          </cell>
        </row>
        <row r="62">
          <cell r="A62" t="str">
            <v>PGN</v>
          </cell>
          <cell r="B62" t="str">
            <v>@J5W</v>
          </cell>
          <cell r="C62" t="str">
            <v>POLISH OIL &amp; GAS</v>
          </cell>
          <cell r="D62">
            <v>20101216</v>
          </cell>
          <cell r="E62" t="str">
            <v>EPS</v>
          </cell>
          <cell r="F62" t="str">
            <v>ANN</v>
          </cell>
          <cell r="G62">
            <v>1</v>
          </cell>
          <cell r="H62">
            <v>8</v>
          </cell>
          <cell r="I62">
            <v>0.28000000000000003</v>
          </cell>
          <cell r="J62">
            <v>0.27</v>
          </cell>
          <cell r="K62">
            <v>0</v>
          </cell>
          <cell r="L62">
            <v>20101231</v>
          </cell>
          <cell r="M62">
            <v>0.42</v>
          </cell>
          <cell r="N62">
            <v>20110321</v>
          </cell>
        </row>
        <row r="63">
          <cell r="A63" t="str">
            <v>POM</v>
          </cell>
          <cell r="B63" t="str">
            <v>@PO8</v>
          </cell>
          <cell r="C63" t="str">
            <v>PLASTIC OMNIUM S</v>
          </cell>
          <cell r="D63">
            <v>20101216</v>
          </cell>
          <cell r="E63" t="str">
            <v>EPS</v>
          </cell>
          <cell r="F63" t="str">
            <v>ANN</v>
          </cell>
          <cell r="G63">
            <v>1</v>
          </cell>
          <cell r="H63">
            <v>6</v>
          </cell>
          <cell r="I63">
            <v>0.77</v>
          </cell>
          <cell r="J63">
            <v>0.79</v>
          </cell>
          <cell r="K63">
            <v>0</v>
          </cell>
          <cell r="L63">
            <v>20101231</v>
          </cell>
          <cell r="M63">
            <v>0.93110000000000004</v>
          </cell>
          <cell r="N63">
            <v>20110317</v>
          </cell>
        </row>
        <row r="64">
          <cell r="A64" t="str">
            <v>PGN</v>
          </cell>
          <cell r="B64" t="str">
            <v>@QPA</v>
          </cell>
          <cell r="C64" t="str">
            <v>PARAGON</v>
          </cell>
          <cell r="D64">
            <v>20101216</v>
          </cell>
          <cell r="E64" t="str">
            <v>EPS</v>
          </cell>
          <cell r="F64" t="str">
            <v>ANN</v>
          </cell>
          <cell r="G64">
            <v>1</v>
          </cell>
          <cell r="H64">
            <v>1</v>
          </cell>
          <cell r="I64">
            <v>-0.08</v>
          </cell>
          <cell r="J64">
            <v>-0.08</v>
          </cell>
          <cell r="K64">
            <v>0</v>
          </cell>
          <cell r="L64">
            <v>20081231</v>
          </cell>
          <cell r="M64">
            <v>-2.27</v>
          </cell>
          <cell r="N64">
            <v>20090317</v>
          </cell>
        </row>
        <row r="65">
          <cell r="A65" t="str">
            <v>SO</v>
          </cell>
          <cell r="B65" t="str">
            <v>@SGF</v>
          </cell>
          <cell r="C65" t="str">
            <v>SOGEFI</v>
          </cell>
          <cell r="D65">
            <v>20101216</v>
          </cell>
          <cell r="E65" t="str">
            <v>EPS</v>
          </cell>
          <cell r="F65" t="str">
            <v>ANN</v>
          </cell>
          <cell r="G65">
            <v>1</v>
          </cell>
          <cell r="H65">
            <v>8</v>
          </cell>
          <cell r="I65">
            <v>0.21</v>
          </cell>
          <cell r="J65">
            <v>0.21</v>
          </cell>
          <cell r="K65">
            <v>0</v>
          </cell>
          <cell r="L65">
            <v>20101231</v>
          </cell>
          <cell r="M65">
            <v>0.16500000000000001</v>
          </cell>
          <cell r="N65">
            <v>20110224</v>
          </cell>
        </row>
        <row r="66">
          <cell r="A66" t="str">
            <v>WEC</v>
          </cell>
          <cell r="B66" t="str">
            <v>@SP0</v>
          </cell>
          <cell r="C66" t="str">
            <v>WHITE ENERGY COM</v>
          </cell>
          <cell r="D66">
            <v>20101216</v>
          </cell>
          <cell r="E66" t="str">
            <v>EPS</v>
          </cell>
          <cell r="F66" t="str">
            <v>ANN</v>
          </cell>
          <cell r="G66">
            <v>1</v>
          </cell>
          <cell r="H66">
            <v>2</v>
          </cell>
          <cell r="I66">
            <v>-4.5999999999999999E-2</v>
          </cell>
          <cell r="J66">
            <v>-4.5999999999999999E-2</v>
          </cell>
          <cell r="K66">
            <v>0</v>
          </cell>
          <cell r="L66">
            <v>20110630</v>
          </cell>
          <cell r="M66">
            <v>-4.9599999999999998E-2</v>
          </cell>
          <cell r="N66">
            <v>20110902</v>
          </cell>
        </row>
        <row r="67">
          <cell r="A67" t="str">
            <v>AGR</v>
          </cell>
          <cell r="B67" t="str">
            <v>@V2M</v>
          </cell>
          <cell r="C67" t="str">
            <v>ASSURA GROUP</v>
          </cell>
          <cell r="D67">
            <v>20101216</v>
          </cell>
          <cell r="E67" t="str">
            <v>EPS</v>
          </cell>
          <cell r="F67" t="str">
            <v>ANN</v>
          </cell>
          <cell r="G67">
            <v>1</v>
          </cell>
          <cell r="H67">
            <v>2</v>
          </cell>
          <cell r="I67">
            <v>3.65</v>
          </cell>
          <cell r="J67">
            <v>3.65</v>
          </cell>
          <cell r="K67">
            <v>0</v>
          </cell>
          <cell r="L67">
            <v>20110331</v>
          </cell>
          <cell r="M67">
            <v>2.1436999999999999</v>
          </cell>
          <cell r="N67">
            <v>20110621</v>
          </cell>
        </row>
        <row r="68">
          <cell r="A68" t="str">
            <v>SRE</v>
          </cell>
          <cell r="B68" t="str">
            <v>@VRU</v>
          </cell>
          <cell r="C68" t="str">
            <v>SIRIUS REAL ESTA</v>
          </cell>
          <cell r="D68">
            <v>20101216</v>
          </cell>
          <cell r="E68" t="str">
            <v>EPS</v>
          </cell>
          <cell r="F68" t="str">
            <v>ANN</v>
          </cell>
          <cell r="G68">
            <v>1</v>
          </cell>
          <cell r="H68">
            <v>2</v>
          </cell>
          <cell r="I68">
            <v>0.01</v>
          </cell>
          <cell r="J68">
            <v>0.01</v>
          </cell>
          <cell r="K68">
            <v>0</v>
          </cell>
          <cell r="L68">
            <v>20110331</v>
          </cell>
          <cell r="M68">
            <v>8.0000000000000002E-3</v>
          </cell>
          <cell r="N68">
            <v>20110606</v>
          </cell>
        </row>
        <row r="69">
          <cell r="A69" t="str">
            <v>CMS</v>
          </cell>
          <cell r="B69" t="str">
            <v>@XJM</v>
          </cell>
          <cell r="C69" t="str">
            <v>COMMUNISIS PLC</v>
          </cell>
          <cell r="D69">
            <v>20101216</v>
          </cell>
          <cell r="E69" t="str">
            <v>EPS</v>
          </cell>
          <cell r="F69" t="str">
            <v>ANN</v>
          </cell>
          <cell r="G69">
            <v>1</v>
          </cell>
          <cell r="H69">
            <v>3</v>
          </cell>
          <cell r="I69">
            <v>3.22</v>
          </cell>
          <cell r="J69">
            <v>3.19</v>
          </cell>
          <cell r="K69">
            <v>0</v>
          </cell>
          <cell r="L69">
            <v>20101231</v>
          </cell>
          <cell r="M69">
            <v>3.0611000000000002</v>
          </cell>
          <cell r="N69">
            <v>20110303</v>
          </cell>
        </row>
        <row r="70">
          <cell r="A70" t="str">
            <v>ALE</v>
          </cell>
          <cell r="B70" t="str">
            <v>AE11</v>
          </cell>
          <cell r="C70" t="str">
            <v>ALANGE ENERGY CO</v>
          </cell>
          <cell r="D70">
            <v>20101216</v>
          </cell>
          <cell r="E70" t="str">
            <v>EPS</v>
          </cell>
          <cell r="F70" t="str">
            <v>ANN</v>
          </cell>
          <cell r="G70">
            <v>1</v>
          </cell>
          <cell r="H70">
            <v>7</v>
          </cell>
          <cell r="I70">
            <v>-0.21</v>
          </cell>
          <cell r="J70">
            <v>-0.22</v>
          </cell>
          <cell r="K70">
            <v>0</v>
          </cell>
          <cell r="L70">
            <v>20101231</v>
          </cell>
          <cell r="M70">
            <v>-0.56000000000000005</v>
          </cell>
          <cell r="N70">
            <v>20110502</v>
          </cell>
        </row>
        <row r="71">
          <cell r="A71" t="str">
            <v>EAS</v>
          </cell>
          <cell r="B71" t="str">
            <v>EAS1</v>
          </cell>
          <cell r="C71" t="str">
            <v>EAST ASIA MINERA</v>
          </cell>
          <cell r="D71">
            <v>20101216</v>
          </cell>
          <cell r="E71" t="str">
            <v>EPS</v>
          </cell>
          <cell r="F71" t="str">
            <v>ANN</v>
          </cell>
          <cell r="G71">
            <v>1</v>
          </cell>
          <cell r="H71">
            <v>1</v>
          </cell>
          <cell r="I71">
            <v>-1.1000000000000001</v>
          </cell>
          <cell r="J71">
            <v>-1.1000000000000001</v>
          </cell>
          <cell r="K71">
            <v>0</v>
          </cell>
          <cell r="L71">
            <v>20100831</v>
          </cell>
          <cell r="M71">
            <v>-2.2000000000000002</v>
          </cell>
          <cell r="N71">
            <v>20101217</v>
          </cell>
        </row>
        <row r="72">
          <cell r="A72" t="str">
            <v>HE</v>
          </cell>
          <cell r="B72" t="str">
            <v>HES1</v>
          </cell>
          <cell r="C72" t="str">
            <v>HANWEI ENERGY</v>
          </cell>
          <cell r="D72">
            <v>20101216</v>
          </cell>
          <cell r="E72" t="str">
            <v>EPS</v>
          </cell>
          <cell r="F72" t="str">
            <v>ANN</v>
          </cell>
          <cell r="G72">
            <v>1</v>
          </cell>
          <cell r="H72">
            <v>1</v>
          </cell>
          <cell r="I72">
            <v>-0.18</v>
          </cell>
          <cell r="J72">
            <v>-0.18</v>
          </cell>
          <cell r="K72">
            <v>0</v>
          </cell>
          <cell r="L72">
            <v>20110331</v>
          </cell>
          <cell r="N72">
            <v>20110620</v>
          </cell>
        </row>
        <row r="73">
          <cell r="A73" t="str">
            <v>ETR</v>
          </cell>
          <cell r="B73" t="str">
            <v>IZP</v>
          </cell>
          <cell r="C73" t="str">
            <v>EACOM TIMBER</v>
          </cell>
          <cell r="D73">
            <v>20101216</v>
          </cell>
          <cell r="E73" t="str">
            <v>EPS</v>
          </cell>
          <cell r="F73" t="str">
            <v>ANN</v>
          </cell>
          <cell r="G73">
            <v>1</v>
          </cell>
          <cell r="H73">
            <v>1</v>
          </cell>
          <cell r="I73">
            <v>0.01</v>
          </cell>
          <cell r="J73">
            <v>0.01</v>
          </cell>
          <cell r="K73">
            <v>0</v>
          </cell>
          <cell r="L73">
            <v>20110331</v>
          </cell>
        </row>
        <row r="74">
          <cell r="A74" t="str">
            <v>CNL</v>
          </cell>
          <cell r="B74" t="str">
            <v>NCL1</v>
          </cell>
          <cell r="C74" t="str">
            <v>CONTINENTAL GOLD</v>
          </cell>
          <cell r="D74">
            <v>20101216</v>
          </cell>
          <cell r="E74" t="str">
            <v>EPS</v>
          </cell>
          <cell r="F74" t="str">
            <v>ANN</v>
          </cell>
          <cell r="G74">
            <v>1</v>
          </cell>
          <cell r="H74">
            <v>1</v>
          </cell>
          <cell r="I74">
            <v>-0.16</v>
          </cell>
          <cell r="J74">
            <v>-0.16</v>
          </cell>
          <cell r="K74">
            <v>0</v>
          </cell>
          <cell r="L74">
            <v>20101231</v>
          </cell>
          <cell r="M74">
            <v>-0.12</v>
          </cell>
          <cell r="N74">
            <v>20110318</v>
          </cell>
        </row>
        <row r="75">
          <cell r="A75" t="str">
            <v>CMS</v>
          </cell>
          <cell r="B75" t="str">
            <v>NCM1</v>
          </cell>
          <cell r="C75" t="str">
            <v>CRESTON MOLY COR</v>
          </cell>
          <cell r="D75">
            <v>20101216</v>
          </cell>
          <cell r="E75" t="str">
            <v>EPS</v>
          </cell>
          <cell r="F75" t="str">
            <v>ANN</v>
          </cell>
          <cell r="G75">
            <v>1</v>
          </cell>
          <cell r="H75">
            <v>2</v>
          </cell>
          <cell r="I75">
            <v>-0.03</v>
          </cell>
          <cell r="J75">
            <v>-0.03</v>
          </cell>
          <cell r="K75">
            <v>0</v>
          </cell>
          <cell r="L75">
            <v>20100731</v>
          </cell>
          <cell r="M75">
            <v>-0.01</v>
          </cell>
          <cell r="N75">
            <v>20101124</v>
          </cell>
        </row>
        <row r="76">
          <cell r="A76" t="str">
            <v>PPL</v>
          </cell>
          <cell r="B76" t="str">
            <v>PIF1</v>
          </cell>
          <cell r="C76" t="str">
            <v>PEMBINA PIPELINE</v>
          </cell>
          <cell r="D76">
            <v>20101216</v>
          </cell>
          <cell r="E76" t="str">
            <v>EPS</v>
          </cell>
          <cell r="F76" t="str">
            <v>ANN</v>
          </cell>
          <cell r="G76">
            <v>1</v>
          </cell>
          <cell r="H76">
            <v>6</v>
          </cell>
          <cell r="I76">
            <v>1.1000000000000001</v>
          </cell>
          <cell r="J76">
            <v>1.08</v>
          </cell>
          <cell r="K76">
            <v>0</v>
          </cell>
          <cell r="L76">
            <v>20101231</v>
          </cell>
          <cell r="M76">
            <v>1.1399999999999999</v>
          </cell>
          <cell r="N76">
            <v>20110309</v>
          </cell>
        </row>
        <row r="77">
          <cell r="A77" t="str">
            <v>POM</v>
          </cell>
          <cell r="B77" t="str">
            <v>POM1</v>
          </cell>
          <cell r="C77" t="str">
            <v>POLYMET MINING C</v>
          </cell>
          <cell r="D77">
            <v>20101216</v>
          </cell>
          <cell r="E77" t="str">
            <v>EPS</v>
          </cell>
          <cell r="F77" t="str">
            <v>ANN</v>
          </cell>
          <cell r="G77">
            <v>1</v>
          </cell>
          <cell r="H77">
            <v>1</v>
          </cell>
          <cell r="I77">
            <v>-0.4</v>
          </cell>
          <cell r="J77">
            <v>-0.4</v>
          </cell>
          <cell r="K77">
            <v>0</v>
          </cell>
          <cell r="L77">
            <v>20100131</v>
          </cell>
          <cell r="N77">
            <v>20100430</v>
          </cell>
        </row>
        <row r="78">
          <cell r="A78" t="str">
            <v>PSD</v>
          </cell>
          <cell r="B78" t="str">
            <v>PSD3</v>
          </cell>
          <cell r="C78" t="str">
            <v>PULSE SEISMIC IN</v>
          </cell>
          <cell r="D78">
            <v>20101216</v>
          </cell>
          <cell r="E78" t="str">
            <v>EPS</v>
          </cell>
          <cell r="F78" t="str">
            <v>ANN</v>
          </cell>
          <cell r="G78">
            <v>1</v>
          </cell>
          <cell r="H78">
            <v>3</v>
          </cell>
          <cell r="I78">
            <v>-0.05</v>
          </cell>
          <cell r="J78">
            <v>-0.04</v>
          </cell>
          <cell r="K78">
            <v>0</v>
          </cell>
          <cell r="L78">
            <v>20101231</v>
          </cell>
          <cell r="M78">
            <v>-0.01</v>
          </cell>
          <cell r="N78">
            <v>20110311</v>
          </cell>
        </row>
        <row r="79">
          <cell r="A79" t="str">
            <v>SO</v>
          </cell>
          <cell r="B79" t="str">
            <v>SOCA</v>
          </cell>
          <cell r="C79" t="str">
            <v>SOFTCHOICE CORP</v>
          </cell>
          <cell r="D79">
            <v>20101216</v>
          </cell>
          <cell r="E79" t="str">
            <v>EPS</v>
          </cell>
          <cell r="F79" t="str">
            <v>ANN</v>
          </cell>
          <cell r="G79">
            <v>1</v>
          </cell>
          <cell r="H79">
            <v>3</v>
          </cell>
          <cell r="I79">
            <v>0.92</v>
          </cell>
          <cell r="J79">
            <v>0.92</v>
          </cell>
          <cell r="K79">
            <v>0</v>
          </cell>
          <cell r="L79">
            <v>20101231</v>
          </cell>
          <cell r="M79">
            <v>0.91</v>
          </cell>
          <cell r="N79">
            <v>20110215</v>
          </cell>
        </row>
        <row r="80">
          <cell r="A80" t="str">
            <v>XEL</v>
          </cell>
          <cell r="B80" t="str">
            <v>XTE1</v>
          </cell>
          <cell r="C80" t="str">
            <v>XCITE ENERGY LTD</v>
          </cell>
          <cell r="D80">
            <v>20101216</v>
          </cell>
          <cell r="E80" t="str">
            <v>EPS</v>
          </cell>
          <cell r="F80" t="str">
            <v>ANN</v>
          </cell>
          <cell r="G80">
            <v>1</v>
          </cell>
          <cell r="H80">
            <v>1</v>
          </cell>
          <cell r="I80">
            <v>-0.63</v>
          </cell>
          <cell r="J80">
            <v>-0.63</v>
          </cell>
          <cell r="K80">
            <v>0</v>
          </cell>
          <cell r="L80">
            <v>20101231</v>
          </cell>
          <cell r="M80">
            <v>-0.02</v>
          </cell>
          <cell r="N80">
            <v>20110325</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RDS"/>
    </sheetNames>
    <sheetDataSet>
      <sheetData sheetId="0">
        <row r="1">
          <cell r="A1" t="str">
            <v>OFTIC</v>
          </cell>
          <cell r="B1" t="str">
            <v>IBES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USFIRM=0 if from .INT file and USFIRM=1 if from .US file</v>
          </cell>
          <cell r="M1" t="str">
            <v>Forecast Period End Date (SAS Format)</v>
          </cell>
          <cell r="N1" t="str">
            <v>Actual Value, from the Detail Actuals File</v>
          </cell>
          <cell r="O1" t="str">
            <v>Announce date of the Actual, from the Detail Actuals File</v>
          </cell>
        </row>
        <row r="2">
          <cell r="A2" t="str">
            <v>PNW</v>
          </cell>
          <cell r="B2" t="str">
            <v>AZP</v>
          </cell>
          <cell r="C2" t="str">
            <v>PINNACLE WST CAP</v>
          </cell>
          <cell r="D2">
            <v>20101216</v>
          </cell>
          <cell r="E2" t="str">
            <v>EPS</v>
          </cell>
          <cell r="F2" t="str">
            <v>LTG</v>
          </cell>
          <cell r="G2">
            <v>0</v>
          </cell>
          <cell r="H2">
            <v>4</v>
          </cell>
          <cell r="I2">
            <v>6.5</v>
          </cell>
          <cell r="J2">
            <v>6.5</v>
          </cell>
          <cell r="K2">
            <v>2.38</v>
          </cell>
          <cell r="L2">
            <v>1</v>
          </cell>
        </row>
        <row r="3">
          <cell r="A3" t="str">
            <v>CEG</v>
          </cell>
          <cell r="B3" t="str">
            <v>BGE</v>
          </cell>
          <cell r="C3" t="str">
            <v>CONSTELLATION EN</v>
          </cell>
          <cell r="D3">
            <v>20101216</v>
          </cell>
          <cell r="E3" t="str">
            <v>EPS</v>
          </cell>
          <cell r="F3" t="str">
            <v>LTG</v>
          </cell>
          <cell r="G3">
            <v>0</v>
          </cell>
          <cell r="H3">
            <v>2</v>
          </cell>
          <cell r="I3">
            <v>9.9</v>
          </cell>
          <cell r="J3">
            <v>9.9</v>
          </cell>
          <cell r="K3">
            <v>6.93</v>
          </cell>
          <cell r="L3">
            <v>1</v>
          </cell>
        </row>
        <row r="4">
          <cell r="A4" t="str">
            <v>BKH</v>
          </cell>
          <cell r="B4" t="str">
            <v>BHP</v>
          </cell>
          <cell r="C4" t="str">
            <v>BLACK HILLS CP</v>
          </cell>
          <cell r="D4">
            <v>20101216</v>
          </cell>
          <cell r="E4" t="str">
            <v>EPS</v>
          </cell>
          <cell r="F4" t="str">
            <v>LTG</v>
          </cell>
          <cell r="G4">
            <v>0</v>
          </cell>
          <cell r="H4">
            <v>1</v>
          </cell>
          <cell r="I4">
            <v>6</v>
          </cell>
          <cell r="J4">
            <v>6</v>
          </cell>
          <cell r="L4">
            <v>1</v>
          </cell>
        </row>
        <row r="5">
          <cell r="A5" t="str">
            <v>NST</v>
          </cell>
          <cell r="B5" t="str">
            <v>BSE</v>
          </cell>
          <cell r="C5" t="str">
            <v>NSTAR</v>
          </cell>
          <cell r="D5">
            <v>20101216</v>
          </cell>
          <cell r="E5" t="str">
            <v>EPS</v>
          </cell>
          <cell r="F5" t="str">
            <v>LTG</v>
          </cell>
          <cell r="G5">
            <v>0</v>
          </cell>
          <cell r="H5">
            <v>2</v>
          </cell>
          <cell r="I5">
            <v>5.2</v>
          </cell>
          <cell r="J5">
            <v>5.2</v>
          </cell>
          <cell r="K5">
            <v>0</v>
          </cell>
          <cell r="L5">
            <v>1</v>
          </cell>
        </row>
        <row r="6">
          <cell r="A6" t="str">
            <v>CMS</v>
          </cell>
          <cell r="B6" t="str">
            <v>CMS</v>
          </cell>
          <cell r="C6" t="str">
            <v>CMS ENERGY CORP</v>
          </cell>
          <cell r="D6">
            <v>20101216</v>
          </cell>
          <cell r="E6" t="str">
            <v>EPS</v>
          </cell>
          <cell r="F6" t="str">
            <v>LTG</v>
          </cell>
          <cell r="G6">
            <v>0</v>
          </cell>
          <cell r="H6">
            <v>4</v>
          </cell>
          <cell r="I6">
            <v>6</v>
          </cell>
          <cell r="J6">
            <v>6</v>
          </cell>
          <cell r="K6">
            <v>0.82</v>
          </cell>
          <cell r="L6">
            <v>1</v>
          </cell>
        </row>
        <row r="7">
          <cell r="A7" t="str">
            <v>CNL</v>
          </cell>
          <cell r="B7" t="str">
            <v>CNL</v>
          </cell>
          <cell r="C7" t="str">
            <v>CLECO CORP</v>
          </cell>
          <cell r="D7">
            <v>20101216</v>
          </cell>
          <cell r="E7" t="str">
            <v>EPS</v>
          </cell>
          <cell r="F7" t="str">
            <v>LTG</v>
          </cell>
          <cell r="G7">
            <v>0</v>
          </cell>
          <cell r="H7">
            <v>1</v>
          </cell>
          <cell r="I7">
            <v>3</v>
          </cell>
          <cell r="J7">
            <v>3</v>
          </cell>
          <cell r="L7">
            <v>1</v>
          </cell>
        </row>
        <row r="8">
          <cell r="A8" t="str">
            <v>PGN</v>
          </cell>
          <cell r="B8" t="str">
            <v>CPL</v>
          </cell>
          <cell r="C8" t="str">
            <v>PROGRESS ENERGY</v>
          </cell>
          <cell r="D8">
            <v>20101216</v>
          </cell>
          <cell r="E8" t="str">
            <v>EPS</v>
          </cell>
          <cell r="F8" t="str">
            <v>LTG</v>
          </cell>
          <cell r="G8">
            <v>0</v>
          </cell>
          <cell r="H8">
            <v>6</v>
          </cell>
          <cell r="I8">
            <v>4</v>
          </cell>
          <cell r="J8">
            <v>3.65</v>
          </cell>
          <cell r="K8">
            <v>1.05</v>
          </cell>
          <cell r="L8">
            <v>1</v>
          </cell>
        </row>
        <row r="9">
          <cell r="A9" t="str">
            <v>D</v>
          </cell>
          <cell r="B9" t="str">
            <v>D</v>
          </cell>
          <cell r="C9" t="str">
            <v>DOMINION RES INC</v>
          </cell>
          <cell r="D9">
            <v>20101216</v>
          </cell>
          <cell r="E9" t="str">
            <v>EPS</v>
          </cell>
          <cell r="F9" t="str">
            <v>LTG</v>
          </cell>
          <cell r="G9">
            <v>0</v>
          </cell>
          <cell r="H9">
            <v>4</v>
          </cell>
          <cell r="I9">
            <v>3</v>
          </cell>
          <cell r="J9">
            <v>3.5</v>
          </cell>
          <cell r="K9">
            <v>1.91</v>
          </cell>
          <cell r="L9">
            <v>1</v>
          </cell>
        </row>
        <row r="10">
          <cell r="A10" t="str">
            <v>DPL</v>
          </cell>
          <cell r="B10" t="str">
            <v>DPL</v>
          </cell>
          <cell r="C10" t="str">
            <v>DPL INC</v>
          </cell>
          <cell r="D10">
            <v>20101216</v>
          </cell>
          <cell r="E10" t="str">
            <v>EPS</v>
          </cell>
          <cell r="F10" t="str">
            <v>LTG</v>
          </cell>
          <cell r="G10">
            <v>0</v>
          </cell>
          <cell r="H10">
            <v>2</v>
          </cell>
          <cell r="I10">
            <v>5.9</v>
          </cell>
          <cell r="J10">
            <v>5.9</v>
          </cell>
          <cell r="K10">
            <v>8.34</v>
          </cell>
          <cell r="L10">
            <v>1</v>
          </cell>
        </row>
        <row r="11">
          <cell r="A11" t="str">
            <v>DTE</v>
          </cell>
          <cell r="B11" t="str">
            <v>DTE</v>
          </cell>
          <cell r="C11" t="str">
            <v>DTE ENERGY</v>
          </cell>
          <cell r="D11">
            <v>20101216</v>
          </cell>
          <cell r="E11" t="str">
            <v>EPS</v>
          </cell>
          <cell r="F11" t="str">
            <v>LTG</v>
          </cell>
          <cell r="G11">
            <v>0</v>
          </cell>
          <cell r="H11">
            <v>1</v>
          </cell>
          <cell r="I11">
            <v>5</v>
          </cell>
          <cell r="J11">
            <v>5</v>
          </cell>
          <cell r="L11">
            <v>1</v>
          </cell>
        </row>
        <row r="12">
          <cell r="A12" t="str">
            <v>DUK</v>
          </cell>
          <cell r="B12" t="str">
            <v>DUK</v>
          </cell>
          <cell r="C12" t="str">
            <v>DUKE ENERGY CORP</v>
          </cell>
          <cell r="D12">
            <v>20101216</v>
          </cell>
          <cell r="E12" t="str">
            <v>EPS</v>
          </cell>
          <cell r="F12" t="str">
            <v>LTG</v>
          </cell>
          <cell r="G12">
            <v>0</v>
          </cell>
          <cell r="H12">
            <v>5</v>
          </cell>
          <cell r="I12">
            <v>4</v>
          </cell>
          <cell r="J12">
            <v>4.4000000000000004</v>
          </cell>
          <cell r="K12">
            <v>0.55000000000000004</v>
          </cell>
          <cell r="L12">
            <v>1</v>
          </cell>
        </row>
        <row r="13">
          <cell r="A13" t="str">
            <v>ED</v>
          </cell>
          <cell r="B13" t="str">
            <v>ED</v>
          </cell>
          <cell r="C13" t="str">
            <v>CONSOLIDATED EDI</v>
          </cell>
          <cell r="D13">
            <v>20101216</v>
          </cell>
          <cell r="E13" t="str">
            <v>EPS</v>
          </cell>
          <cell r="F13" t="str">
            <v>LTG</v>
          </cell>
          <cell r="G13">
            <v>0</v>
          </cell>
          <cell r="H13">
            <v>3</v>
          </cell>
          <cell r="I13">
            <v>4</v>
          </cell>
          <cell r="J13">
            <v>4.2699999999999996</v>
          </cell>
          <cell r="K13">
            <v>0.46</v>
          </cell>
          <cell r="L13">
            <v>1</v>
          </cell>
        </row>
        <row r="14">
          <cell r="A14" t="str">
            <v>NEE</v>
          </cell>
          <cell r="B14" t="str">
            <v>FPL</v>
          </cell>
          <cell r="C14" t="str">
            <v>NEXTERA ENERGY I</v>
          </cell>
          <cell r="D14">
            <v>20101216</v>
          </cell>
          <cell r="E14" t="str">
            <v>EPS</v>
          </cell>
          <cell r="F14" t="str">
            <v>LTG</v>
          </cell>
          <cell r="G14">
            <v>0</v>
          </cell>
          <cell r="H14">
            <v>7</v>
          </cell>
          <cell r="I14">
            <v>6</v>
          </cell>
          <cell r="J14">
            <v>6.61</v>
          </cell>
          <cell r="K14">
            <v>1.77</v>
          </cell>
          <cell r="L14">
            <v>1</v>
          </cell>
        </row>
        <row r="15">
          <cell r="A15" t="str">
            <v>HE</v>
          </cell>
          <cell r="B15" t="str">
            <v>HE</v>
          </cell>
          <cell r="C15" t="str">
            <v>HAWAIIAN ELEC</v>
          </cell>
          <cell r="D15">
            <v>20101216</v>
          </cell>
          <cell r="E15" t="str">
            <v>EPS</v>
          </cell>
          <cell r="F15" t="str">
            <v>LTG</v>
          </cell>
          <cell r="G15">
            <v>0</v>
          </cell>
          <cell r="H15">
            <v>3</v>
          </cell>
          <cell r="I15">
            <v>5</v>
          </cell>
          <cell r="J15">
            <v>8.0299999999999994</v>
          </cell>
          <cell r="K15">
            <v>7.06</v>
          </cell>
          <cell r="L15">
            <v>1</v>
          </cell>
        </row>
        <row r="16">
          <cell r="A16" t="str">
            <v>CNP</v>
          </cell>
          <cell r="B16" t="str">
            <v>HOU</v>
          </cell>
          <cell r="C16" t="str">
            <v>CENTERPOINT ENER</v>
          </cell>
          <cell r="D16">
            <v>20101216</v>
          </cell>
          <cell r="E16" t="str">
            <v>EPS</v>
          </cell>
          <cell r="F16" t="str">
            <v>LTG</v>
          </cell>
          <cell r="G16">
            <v>0</v>
          </cell>
          <cell r="H16">
            <v>5</v>
          </cell>
          <cell r="I16">
            <v>6.7</v>
          </cell>
          <cell r="J16">
            <v>6.84</v>
          </cell>
          <cell r="K16">
            <v>2.56</v>
          </cell>
          <cell r="L16">
            <v>1</v>
          </cell>
        </row>
        <row r="17">
          <cell r="A17" t="str">
            <v>IDA</v>
          </cell>
          <cell r="B17" t="str">
            <v>IDA</v>
          </cell>
          <cell r="C17" t="str">
            <v>IDACORP INC.</v>
          </cell>
          <cell r="D17">
            <v>20101216</v>
          </cell>
          <cell r="E17" t="str">
            <v>EPS</v>
          </cell>
          <cell r="F17" t="str">
            <v>LTG</v>
          </cell>
          <cell r="G17">
            <v>0</v>
          </cell>
          <cell r="H17">
            <v>3</v>
          </cell>
          <cell r="I17">
            <v>5</v>
          </cell>
          <cell r="J17">
            <v>4.67</v>
          </cell>
          <cell r="K17">
            <v>0.57999999999999996</v>
          </cell>
          <cell r="L17">
            <v>1</v>
          </cell>
        </row>
        <row r="18">
          <cell r="A18" t="str">
            <v>WR</v>
          </cell>
          <cell r="B18" t="str">
            <v>KAN</v>
          </cell>
          <cell r="C18" t="str">
            <v>WESTAR ENERGY</v>
          </cell>
          <cell r="D18">
            <v>20101216</v>
          </cell>
          <cell r="E18" t="str">
            <v>EPS</v>
          </cell>
          <cell r="F18" t="str">
            <v>LTG</v>
          </cell>
          <cell r="G18">
            <v>0</v>
          </cell>
          <cell r="H18">
            <v>3</v>
          </cell>
          <cell r="I18">
            <v>5</v>
          </cell>
          <cell r="J18">
            <v>7.8</v>
          </cell>
          <cell r="K18">
            <v>6.29</v>
          </cell>
          <cell r="L18">
            <v>1</v>
          </cell>
        </row>
        <row r="19">
          <cell r="A19" t="str">
            <v>GXP</v>
          </cell>
          <cell r="B19" t="str">
            <v>KLT</v>
          </cell>
          <cell r="C19" t="str">
            <v>GREAT PLAINS</v>
          </cell>
          <cell r="D19">
            <v>20101216</v>
          </cell>
          <cell r="E19" t="str">
            <v>EPS</v>
          </cell>
          <cell r="F19" t="str">
            <v>LTG</v>
          </cell>
          <cell r="G19">
            <v>0</v>
          </cell>
          <cell r="H19">
            <v>2</v>
          </cell>
          <cell r="I19">
            <v>13</v>
          </cell>
          <cell r="J19">
            <v>13</v>
          </cell>
          <cell r="K19">
            <v>5.66</v>
          </cell>
          <cell r="L19">
            <v>1</v>
          </cell>
        </row>
        <row r="20">
          <cell r="A20" t="str">
            <v>MGEE</v>
          </cell>
          <cell r="B20" t="str">
            <v>MDSN</v>
          </cell>
          <cell r="C20" t="str">
            <v>MGE ENERGY INC</v>
          </cell>
          <cell r="D20">
            <v>20101216</v>
          </cell>
          <cell r="E20" t="str">
            <v>EPS</v>
          </cell>
          <cell r="F20" t="str">
            <v>LTG</v>
          </cell>
          <cell r="G20">
            <v>0</v>
          </cell>
          <cell r="H20">
            <v>1</v>
          </cell>
          <cell r="I20">
            <v>5</v>
          </cell>
          <cell r="J20">
            <v>5</v>
          </cell>
          <cell r="L20">
            <v>1</v>
          </cell>
        </row>
        <row r="21">
          <cell r="A21" t="str">
            <v>ALE</v>
          </cell>
          <cell r="B21" t="str">
            <v>MPL</v>
          </cell>
          <cell r="C21" t="str">
            <v>ALLETE INC</v>
          </cell>
          <cell r="D21">
            <v>20101216</v>
          </cell>
          <cell r="E21" t="str">
            <v>EPS</v>
          </cell>
          <cell r="F21" t="str">
            <v>LTG</v>
          </cell>
          <cell r="G21">
            <v>0</v>
          </cell>
          <cell r="H21">
            <v>3</v>
          </cell>
          <cell r="I21">
            <v>5</v>
          </cell>
          <cell r="J21">
            <v>5.33</v>
          </cell>
          <cell r="K21">
            <v>2.52</v>
          </cell>
          <cell r="L21">
            <v>1</v>
          </cell>
        </row>
        <row r="22">
          <cell r="A22" t="str">
            <v>ETR</v>
          </cell>
          <cell r="B22" t="str">
            <v>MSU</v>
          </cell>
          <cell r="C22" t="str">
            <v>ENTERGY CP</v>
          </cell>
          <cell r="D22">
            <v>20101216</v>
          </cell>
          <cell r="E22" t="str">
            <v>EPS</v>
          </cell>
          <cell r="F22" t="str">
            <v>LTG</v>
          </cell>
          <cell r="G22">
            <v>0</v>
          </cell>
          <cell r="H22">
            <v>2</v>
          </cell>
          <cell r="I22">
            <v>1.5</v>
          </cell>
          <cell r="J22">
            <v>1.5</v>
          </cell>
          <cell r="K22">
            <v>0.71</v>
          </cell>
          <cell r="L22">
            <v>1</v>
          </cell>
        </row>
        <row r="23">
          <cell r="A23" t="str">
            <v>XEL</v>
          </cell>
          <cell r="B23" t="str">
            <v>NSP</v>
          </cell>
          <cell r="C23" t="str">
            <v>XCEL ENERGY INC</v>
          </cell>
          <cell r="D23">
            <v>20101216</v>
          </cell>
          <cell r="E23" t="str">
            <v>EPS</v>
          </cell>
          <cell r="F23" t="str">
            <v>LTG</v>
          </cell>
          <cell r="G23">
            <v>0</v>
          </cell>
          <cell r="H23">
            <v>7</v>
          </cell>
          <cell r="I23">
            <v>7</v>
          </cell>
          <cell r="J23">
            <v>6.66</v>
          </cell>
          <cell r="K23">
            <v>0.92</v>
          </cell>
          <cell r="L23">
            <v>1</v>
          </cell>
        </row>
        <row r="24">
          <cell r="A24" t="str">
            <v>NU</v>
          </cell>
          <cell r="B24" t="str">
            <v>NU</v>
          </cell>
          <cell r="C24" t="str">
            <v>NORTHEAST UTILS</v>
          </cell>
          <cell r="D24">
            <v>20101216</v>
          </cell>
          <cell r="E24" t="str">
            <v>EPS</v>
          </cell>
          <cell r="F24" t="str">
            <v>LTG</v>
          </cell>
          <cell r="G24">
            <v>0</v>
          </cell>
          <cell r="H24">
            <v>3</v>
          </cell>
          <cell r="I24">
            <v>7</v>
          </cell>
          <cell r="J24">
            <v>6.79</v>
          </cell>
          <cell r="K24">
            <v>0.36</v>
          </cell>
          <cell r="L24">
            <v>1</v>
          </cell>
        </row>
        <row r="25">
          <cell r="A25" t="str">
            <v>NWE</v>
          </cell>
          <cell r="B25" t="str">
            <v>NWPS</v>
          </cell>
          <cell r="C25" t="str">
            <v>NORTHWESTERN CP</v>
          </cell>
          <cell r="D25">
            <v>20101216</v>
          </cell>
          <cell r="E25" t="str">
            <v>EPS</v>
          </cell>
          <cell r="F25" t="str">
            <v>LTG</v>
          </cell>
          <cell r="G25">
            <v>0</v>
          </cell>
          <cell r="H25">
            <v>3</v>
          </cell>
          <cell r="I25">
            <v>7</v>
          </cell>
          <cell r="J25">
            <v>6.33</v>
          </cell>
          <cell r="K25">
            <v>1.1499999999999999</v>
          </cell>
          <cell r="L25">
            <v>1</v>
          </cell>
        </row>
        <row r="26">
          <cell r="A26" t="str">
            <v>FE</v>
          </cell>
          <cell r="B26" t="str">
            <v>OEC</v>
          </cell>
          <cell r="C26" t="str">
            <v>FIRSTENERGY CORP</v>
          </cell>
          <cell r="D26">
            <v>20101216</v>
          </cell>
          <cell r="E26" t="str">
            <v>EPS</v>
          </cell>
          <cell r="F26" t="str">
            <v>LTG</v>
          </cell>
          <cell r="G26">
            <v>0</v>
          </cell>
          <cell r="H26">
            <v>2</v>
          </cell>
          <cell r="I26">
            <v>6.5</v>
          </cell>
          <cell r="J26">
            <v>6.5</v>
          </cell>
          <cell r="K26">
            <v>7.78</v>
          </cell>
          <cell r="L26">
            <v>1</v>
          </cell>
        </row>
        <row r="27">
          <cell r="A27" t="str">
            <v>OGE</v>
          </cell>
          <cell r="B27" t="str">
            <v>OGE</v>
          </cell>
          <cell r="C27" t="str">
            <v>OGE ENERGY CORP</v>
          </cell>
          <cell r="D27">
            <v>20101216</v>
          </cell>
          <cell r="E27" t="str">
            <v>EPS</v>
          </cell>
          <cell r="F27" t="str">
            <v>LTG</v>
          </cell>
          <cell r="G27">
            <v>0</v>
          </cell>
          <cell r="H27">
            <v>2</v>
          </cell>
          <cell r="I27">
            <v>7</v>
          </cell>
          <cell r="J27">
            <v>7</v>
          </cell>
          <cell r="K27">
            <v>1.41</v>
          </cell>
          <cell r="L27">
            <v>1</v>
          </cell>
        </row>
        <row r="28">
          <cell r="A28" t="str">
            <v>OTTR</v>
          </cell>
          <cell r="B28" t="str">
            <v>OTTR</v>
          </cell>
          <cell r="C28" t="str">
            <v>OTTER TAIL CORP.</v>
          </cell>
          <cell r="D28">
            <v>20101216</v>
          </cell>
          <cell r="E28" t="str">
            <v>EPS</v>
          </cell>
          <cell r="F28" t="str">
            <v>LTG</v>
          </cell>
          <cell r="G28">
            <v>0</v>
          </cell>
          <cell r="H28">
            <v>2</v>
          </cell>
          <cell r="I28">
            <v>16.5</v>
          </cell>
          <cell r="J28">
            <v>16.5</v>
          </cell>
          <cell r="K28">
            <v>16.260000000000002</v>
          </cell>
          <cell r="L28">
            <v>1</v>
          </cell>
        </row>
        <row r="29">
          <cell r="A29" t="str">
            <v>PCG</v>
          </cell>
          <cell r="B29" t="str">
            <v>PCG</v>
          </cell>
          <cell r="C29" t="str">
            <v>P G &amp; E CORP</v>
          </cell>
          <cell r="D29">
            <v>20101216</v>
          </cell>
          <cell r="E29" t="str">
            <v>EPS</v>
          </cell>
          <cell r="F29" t="str">
            <v>LTG</v>
          </cell>
          <cell r="G29">
            <v>0</v>
          </cell>
          <cell r="H29">
            <v>6</v>
          </cell>
          <cell r="I29">
            <v>6.46</v>
          </cell>
          <cell r="J29">
            <v>6.49</v>
          </cell>
          <cell r="K29">
            <v>1</v>
          </cell>
          <cell r="L29">
            <v>1</v>
          </cell>
        </row>
        <row r="30">
          <cell r="A30" t="str">
            <v>EXC</v>
          </cell>
          <cell r="B30" t="str">
            <v>PE</v>
          </cell>
          <cell r="C30" t="str">
            <v>EXELON CORP</v>
          </cell>
          <cell r="D30">
            <v>20101216</v>
          </cell>
          <cell r="E30" t="str">
            <v>EPS</v>
          </cell>
          <cell r="F30" t="str">
            <v>LTG</v>
          </cell>
          <cell r="G30">
            <v>0</v>
          </cell>
          <cell r="H30">
            <v>5</v>
          </cell>
          <cell r="I30">
            <v>-4.2</v>
          </cell>
          <cell r="J30">
            <v>-2.44</v>
          </cell>
          <cell r="K30">
            <v>6.28</v>
          </cell>
          <cell r="L30">
            <v>1</v>
          </cell>
        </row>
        <row r="31">
          <cell r="A31" t="str">
            <v>PEG</v>
          </cell>
          <cell r="B31" t="str">
            <v>PEG</v>
          </cell>
          <cell r="C31" t="str">
            <v>PUB SVC ENTERS</v>
          </cell>
          <cell r="D31">
            <v>20101216</v>
          </cell>
          <cell r="E31" t="str">
            <v>EPS</v>
          </cell>
          <cell r="F31" t="str">
            <v>LTG</v>
          </cell>
          <cell r="G31">
            <v>0</v>
          </cell>
          <cell r="H31">
            <v>5</v>
          </cell>
          <cell r="I31">
            <v>2</v>
          </cell>
          <cell r="J31">
            <v>2.02</v>
          </cell>
          <cell r="K31">
            <v>4.3</v>
          </cell>
          <cell r="L31">
            <v>1</v>
          </cell>
        </row>
        <row r="32">
          <cell r="A32" t="str">
            <v>PNM</v>
          </cell>
          <cell r="B32" t="str">
            <v>PNM</v>
          </cell>
          <cell r="C32" t="str">
            <v>PNM RESOURCES</v>
          </cell>
          <cell r="D32">
            <v>20101216</v>
          </cell>
          <cell r="E32" t="str">
            <v>EPS</v>
          </cell>
          <cell r="F32" t="str">
            <v>LTG</v>
          </cell>
          <cell r="G32">
            <v>0</v>
          </cell>
          <cell r="H32">
            <v>3</v>
          </cell>
          <cell r="I32">
            <v>14.1</v>
          </cell>
          <cell r="J32">
            <v>14.7</v>
          </cell>
          <cell r="K32">
            <v>10.01</v>
          </cell>
          <cell r="L32">
            <v>1</v>
          </cell>
        </row>
        <row r="33">
          <cell r="A33" t="str">
            <v>POM</v>
          </cell>
          <cell r="B33" t="str">
            <v>POM</v>
          </cell>
          <cell r="C33" t="str">
            <v>PEPCO HOLDINGS</v>
          </cell>
          <cell r="D33">
            <v>20101216</v>
          </cell>
          <cell r="E33" t="str">
            <v>EPS</v>
          </cell>
          <cell r="F33" t="str">
            <v>LTG</v>
          </cell>
          <cell r="G33">
            <v>0</v>
          </cell>
          <cell r="H33">
            <v>3</v>
          </cell>
          <cell r="I33">
            <v>6</v>
          </cell>
          <cell r="J33">
            <v>7</v>
          </cell>
          <cell r="K33">
            <v>2.65</v>
          </cell>
          <cell r="L33">
            <v>1</v>
          </cell>
        </row>
        <row r="34">
          <cell r="A34" t="str">
            <v>POR</v>
          </cell>
          <cell r="B34" t="str">
            <v>PORO</v>
          </cell>
          <cell r="C34" t="str">
            <v>PORTLAND GENERAL</v>
          </cell>
          <cell r="D34">
            <v>20101216</v>
          </cell>
          <cell r="E34" t="str">
            <v>EPS</v>
          </cell>
          <cell r="F34" t="str">
            <v>LTG</v>
          </cell>
          <cell r="G34">
            <v>0</v>
          </cell>
          <cell r="H34">
            <v>5</v>
          </cell>
          <cell r="I34">
            <v>6</v>
          </cell>
          <cell r="J34">
            <v>5.4</v>
          </cell>
          <cell r="K34">
            <v>1.34</v>
          </cell>
          <cell r="L34">
            <v>1</v>
          </cell>
        </row>
        <row r="35">
          <cell r="A35" t="str">
            <v>PPL</v>
          </cell>
          <cell r="B35" t="str">
            <v>PPL</v>
          </cell>
          <cell r="C35" t="str">
            <v>PP&amp;L CORP</v>
          </cell>
          <cell r="D35">
            <v>20101216</v>
          </cell>
          <cell r="E35" t="str">
            <v>EPS</v>
          </cell>
          <cell r="F35" t="str">
            <v>LTG</v>
          </cell>
          <cell r="G35">
            <v>0</v>
          </cell>
          <cell r="H35">
            <v>2</v>
          </cell>
          <cell r="I35">
            <v>3.6</v>
          </cell>
          <cell r="J35">
            <v>3.6</v>
          </cell>
          <cell r="K35">
            <v>12.16</v>
          </cell>
          <cell r="L35">
            <v>1</v>
          </cell>
        </row>
        <row r="36">
          <cell r="A36" t="str">
            <v>EIX</v>
          </cell>
          <cell r="B36" t="str">
            <v>SCE</v>
          </cell>
          <cell r="C36" t="str">
            <v>EDISON INTL</v>
          </cell>
          <cell r="D36">
            <v>20101216</v>
          </cell>
          <cell r="E36" t="str">
            <v>EPS</v>
          </cell>
          <cell r="F36" t="str">
            <v>LTG</v>
          </cell>
          <cell r="G36">
            <v>0</v>
          </cell>
          <cell r="H36">
            <v>6</v>
          </cell>
          <cell r="I36">
            <v>5</v>
          </cell>
          <cell r="J36">
            <v>3.52</v>
          </cell>
          <cell r="K36">
            <v>4.43</v>
          </cell>
          <cell r="L36">
            <v>1</v>
          </cell>
        </row>
        <row r="37">
          <cell r="A37" t="str">
            <v>SCG</v>
          </cell>
          <cell r="B37" t="str">
            <v>SCG</v>
          </cell>
          <cell r="C37" t="str">
            <v>SCANA CP</v>
          </cell>
          <cell r="D37">
            <v>20101216</v>
          </cell>
          <cell r="E37" t="str">
            <v>EPS</v>
          </cell>
          <cell r="F37" t="str">
            <v>LTG</v>
          </cell>
          <cell r="G37">
            <v>0</v>
          </cell>
          <cell r="H37">
            <v>6</v>
          </cell>
          <cell r="I37">
            <v>5</v>
          </cell>
          <cell r="J37">
            <v>4.78</v>
          </cell>
          <cell r="K37">
            <v>0.99</v>
          </cell>
          <cell r="L37">
            <v>1</v>
          </cell>
        </row>
        <row r="38">
          <cell r="A38" t="str">
            <v>SRE</v>
          </cell>
          <cell r="B38" t="str">
            <v>SDO</v>
          </cell>
          <cell r="C38" t="str">
            <v>SEMPRA ENERGY</v>
          </cell>
          <cell r="D38">
            <v>20101216</v>
          </cell>
          <cell r="E38" t="str">
            <v>EPS</v>
          </cell>
          <cell r="F38" t="str">
            <v>LTG</v>
          </cell>
          <cell r="G38">
            <v>0</v>
          </cell>
          <cell r="H38">
            <v>3</v>
          </cell>
          <cell r="I38">
            <v>7</v>
          </cell>
          <cell r="J38">
            <v>6.63</v>
          </cell>
          <cell r="K38">
            <v>3.56</v>
          </cell>
          <cell r="L38">
            <v>1</v>
          </cell>
        </row>
        <row r="39">
          <cell r="A39" t="str">
            <v>VVC</v>
          </cell>
          <cell r="B39" t="str">
            <v>SIG</v>
          </cell>
          <cell r="C39" t="str">
            <v>VECTREN CORP</v>
          </cell>
          <cell r="D39">
            <v>20101216</v>
          </cell>
          <cell r="E39" t="str">
            <v>EPS</v>
          </cell>
          <cell r="F39" t="str">
            <v>LTG</v>
          </cell>
          <cell r="G39">
            <v>0</v>
          </cell>
          <cell r="H39">
            <v>2</v>
          </cell>
          <cell r="I39">
            <v>4.8</v>
          </cell>
          <cell r="J39">
            <v>4.8</v>
          </cell>
          <cell r="K39">
            <v>1.7</v>
          </cell>
          <cell r="L39">
            <v>1</v>
          </cell>
        </row>
        <row r="40">
          <cell r="A40" t="str">
            <v>SO</v>
          </cell>
          <cell r="B40" t="str">
            <v>SO</v>
          </cell>
          <cell r="C40" t="str">
            <v>SOUTHN CO</v>
          </cell>
          <cell r="D40">
            <v>20101216</v>
          </cell>
          <cell r="E40" t="str">
            <v>EPS</v>
          </cell>
          <cell r="F40" t="str">
            <v>LTG</v>
          </cell>
          <cell r="G40">
            <v>0</v>
          </cell>
          <cell r="H40">
            <v>7</v>
          </cell>
          <cell r="I40">
            <v>5.5</v>
          </cell>
          <cell r="J40">
            <v>5.33</v>
          </cell>
          <cell r="K40">
            <v>0.67</v>
          </cell>
          <cell r="L40">
            <v>1</v>
          </cell>
        </row>
        <row r="41">
          <cell r="A41" t="str">
            <v>TE</v>
          </cell>
          <cell r="B41" t="str">
            <v>TE</v>
          </cell>
          <cell r="C41" t="str">
            <v>TECO ENERGY INC</v>
          </cell>
          <cell r="D41">
            <v>20101216</v>
          </cell>
          <cell r="E41" t="str">
            <v>EPS</v>
          </cell>
          <cell r="F41" t="str">
            <v>LTG</v>
          </cell>
          <cell r="G41">
            <v>0</v>
          </cell>
          <cell r="H41">
            <v>7</v>
          </cell>
          <cell r="I41">
            <v>6</v>
          </cell>
          <cell r="J41">
            <v>7.1</v>
          </cell>
          <cell r="K41">
            <v>2.42</v>
          </cell>
          <cell r="L41">
            <v>1</v>
          </cell>
        </row>
        <row r="42">
          <cell r="A42" t="str">
            <v>AEE</v>
          </cell>
          <cell r="B42" t="str">
            <v>UEP</v>
          </cell>
          <cell r="C42" t="str">
            <v>AMEREN CP</v>
          </cell>
          <cell r="D42">
            <v>20101216</v>
          </cell>
          <cell r="E42" t="str">
            <v>EPS</v>
          </cell>
          <cell r="F42" t="str">
            <v>LTG</v>
          </cell>
          <cell r="G42">
            <v>0</v>
          </cell>
          <cell r="H42">
            <v>3</v>
          </cell>
          <cell r="I42">
            <v>0</v>
          </cell>
          <cell r="J42">
            <v>-2.0299999999999998</v>
          </cell>
          <cell r="K42">
            <v>4.32</v>
          </cell>
          <cell r="L42">
            <v>1</v>
          </cell>
        </row>
        <row r="43">
          <cell r="A43" t="str">
            <v>UIL</v>
          </cell>
          <cell r="B43" t="str">
            <v>UIL</v>
          </cell>
          <cell r="C43" t="str">
            <v>UIL HOLDING CORP</v>
          </cell>
          <cell r="D43">
            <v>20101216</v>
          </cell>
          <cell r="E43" t="str">
            <v>EPS</v>
          </cell>
          <cell r="F43" t="str">
            <v>LTG</v>
          </cell>
          <cell r="G43">
            <v>0</v>
          </cell>
          <cell r="H43">
            <v>3</v>
          </cell>
          <cell r="I43">
            <v>3.3</v>
          </cell>
          <cell r="J43">
            <v>3.43</v>
          </cell>
          <cell r="K43">
            <v>0.51</v>
          </cell>
          <cell r="L43">
            <v>1</v>
          </cell>
        </row>
        <row r="44">
          <cell r="A44" t="str">
            <v>WEC</v>
          </cell>
          <cell r="B44" t="str">
            <v>WPC</v>
          </cell>
          <cell r="C44" t="str">
            <v>WISCONSIN ENERGY</v>
          </cell>
          <cell r="D44">
            <v>20101216</v>
          </cell>
          <cell r="E44" t="str">
            <v>EPS</v>
          </cell>
          <cell r="F44" t="str">
            <v>LTG</v>
          </cell>
          <cell r="G44">
            <v>0</v>
          </cell>
          <cell r="H44">
            <v>3</v>
          </cell>
          <cell r="I44">
            <v>10</v>
          </cell>
          <cell r="J44">
            <v>10.07</v>
          </cell>
          <cell r="K44">
            <v>1.1000000000000001</v>
          </cell>
          <cell r="L44">
            <v>1</v>
          </cell>
        </row>
        <row r="45">
          <cell r="A45" t="str">
            <v>LNT</v>
          </cell>
          <cell r="B45" t="str">
            <v>WPL</v>
          </cell>
          <cell r="C45" t="str">
            <v>ALLIANT ENER</v>
          </cell>
          <cell r="D45">
            <v>20101216</v>
          </cell>
          <cell r="E45" t="str">
            <v>EPS</v>
          </cell>
          <cell r="F45" t="str">
            <v>LTG</v>
          </cell>
          <cell r="G45">
            <v>0</v>
          </cell>
          <cell r="H45">
            <v>3</v>
          </cell>
          <cell r="I45">
            <v>6</v>
          </cell>
          <cell r="J45">
            <v>9.57</v>
          </cell>
          <cell r="K45">
            <v>7.06</v>
          </cell>
          <cell r="L45">
            <v>1</v>
          </cell>
        </row>
        <row r="46">
          <cell r="A46" t="str">
            <v>AVA</v>
          </cell>
          <cell r="B46" t="str">
            <v>WWP</v>
          </cell>
          <cell r="C46" t="str">
            <v>AVISTA CORP</v>
          </cell>
          <cell r="D46">
            <v>20101216</v>
          </cell>
          <cell r="E46" t="str">
            <v>EPS</v>
          </cell>
          <cell r="F46" t="str">
            <v>LTG</v>
          </cell>
          <cell r="G46">
            <v>0</v>
          </cell>
          <cell r="H46">
            <v>2</v>
          </cell>
          <cell r="I46">
            <v>4.5</v>
          </cell>
          <cell r="J46">
            <v>4.5</v>
          </cell>
          <cell r="K46">
            <v>0.71</v>
          </cell>
          <cell r="L46">
            <v>1</v>
          </cell>
        </row>
        <row r="47">
          <cell r="A47" t="str">
            <v>PPL</v>
          </cell>
          <cell r="B47" t="str">
            <v>@1XJ</v>
          </cell>
          <cell r="C47" t="str">
            <v>PUMPKIN PATCH LT</v>
          </cell>
          <cell r="D47">
            <v>20101216</v>
          </cell>
          <cell r="E47" t="str">
            <v>EPS</v>
          </cell>
          <cell r="F47" t="str">
            <v>LTG</v>
          </cell>
          <cell r="G47">
            <v>0</v>
          </cell>
          <cell r="H47">
            <v>1</v>
          </cell>
          <cell r="I47">
            <v>17</v>
          </cell>
          <cell r="J47">
            <v>17</v>
          </cell>
          <cell r="L47">
            <v>0</v>
          </cell>
        </row>
        <row r="48">
          <cell r="A48" t="str">
            <v>PPL</v>
          </cell>
          <cell r="B48" t="str">
            <v>@1Z1</v>
          </cell>
          <cell r="C48" t="str">
            <v>PPL</v>
          </cell>
          <cell r="D48">
            <v>20101216</v>
          </cell>
          <cell r="E48" t="str">
            <v>EPS</v>
          </cell>
          <cell r="F48" t="str">
            <v>LTG</v>
          </cell>
          <cell r="G48">
            <v>0</v>
          </cell>
          <cell r="H48">
            <v>1</v>
          </cell>
          <cell r="I48">
            <v>16.3</v>
          </cell>
          <cell r="J48">
            <v>16.3</v>
          </cell>
          <cell r="L48">
            <v>0</v>
          </cell>
        </row>
        <row r="49">
          <cell r="A49" t="str">
            <v>CNP</v>
          </cell>
          <cell r="B49" t="str">
            <v>@CN0</v>
          </cell>
          <cell r="C49" t="str">
            <v>CNP ASSURANCES</v>
          </cell>
          <cell r="D49">
            <v>20101216</v>
          </cell>
          <cell r="E49" t="str">
            <v>EPS</v>
          </cell>
          <cell r="F49" t="str">
            <v>LTG</v>
          </cell>
          <cell r="G49">
            <v>0</v>
          </cell>
          <cell r="H49">
            <v>1</v>
          </cell>
          <cell r="I49">
            <v>3.7</v>
          </cell>
          <cell r="J49">
            <v>3.7</v>
          </cell>
          <cell r="L49">
            <v>0</v>
          </cell>
        </row>
        <row r="50">
          <cell r="A50" t="str">
            <v>SO</v>
          </cell>
          <cell r="B50" t="str">
            <v>@DAM</v>
          </cell>
          <cell r="C50" t="str">
            <v>SOMFY</v>
          </cell>
          <cell r="D50">
            <v>20101216</v>
          </cell>
          <cell r="E50" t="str">
            <v>EPS</v>
          </cell>
          <cell r="F50" t="str">
            <v>LTG</v>
          </cell>
          <cell r="G50">
            <v>0</v>
          </cell>
          <cell r="H50">
            <v>2</v>
          </cell>
          <cell r="I50">
            <v>11.7</v>
          </cell>
          <cell r="J50">
            <v>11.7</v>
          </cell>
          <cell r="K50">
            <v>1.27</v>
          </cell>
          <cell r="L50">
            <v>0</v>
          </cell>
        </row>
        <row r="51">
          <cell r="A51" t="str">
            <v>DTE</v>
          </cell>
          <cell r="B51" t="str">
            <v>@DT</v>
          </cell>
          <cell r="C51" t="str">
            <v>DEUTSCHE TELEKOM</v>
          </cell>
          <cell r="D51">
            <v>20101216</v>
          </cell>
          <cell r="E51" t="str">
            <v>EPS</v>
          </cell>
          <cell r="F51" t="str">
            <v>LTG</v>
          </cell>
          <cell r="G51">
            <v>0</v>
          </cell>
          <cell r="H51">
            <v>12</v>
          </cell>
          <cell r="I51">
            <v>3.25</v>
          </cell>
          <cell r="J51">
            <v>11.68</v>
          </cell>
          <cell r="K51">
            <v>21.82</v>
          </cell>
          <cell r="L51">
            <v>0</v>
          </cell>
        </row>
        <row r="52">
          <cell r="A52" t="str">
            <v>POM</v>
          </cell>
          <cell r="B52" t="str">
            <v>@PO8</v>
          </cell>
          <cell r="C52" t="str">
            <v>PLASTIC OMNIUM S</v>
          </cell>
          <cell r="D52">
            <v>20101216</v>
          </cell>
          <cell r="E52" t="str">
            <v>EPS</v>
          </cell>
          <cell r="F52" t="str">
            <v>LTG</v>
          </cell>
          <cell r="G52">
            <v>0</v>
          </cell>
          <cell r="H52">
            <v>1</v>
          </cell>
          <cell r="I52">
            <v>72.2</v>
          </cell>
          <cell r="J52">
            <v>72.2</v>
          </cell>
          <cell r="L52">
            <v>0</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RDS"/>
    </sheetNames>
    <sheetDataSet>
      <sheetData sheetId="0">
        <row r="1">
          <cell r="B1" t="str">
            <v>Official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Forecast Period End Date (SAS Format)</v>
          </cell>
          <cell r="M1" t="str">
            <v>Actual Value, from the Detail Actuals File</v>
          </cell>
          <cell r="N1" t="str">
            <v>Announce date of the Actual, from the Detail Actuals File</v>
          </cell>
        </row>
        <row r="2">
          <cell r="B2" t="str">
            <v>CPK</v>
          </cell>
          <cell r="C2" t="str">
            <v>CHESAPEAKE UTIL</v>
          </cell>
          <cell r="D2">
            <v>20101216</v>
          </cell>
          <cell r="E2" t="str">
            <v>EPS</v>
          </cell>
          <cell r="F2" t="str">
            <v>ANN</v>
          </cell>
          <cell r="G2">
            <v>1</v>
          </cell>
          <cell r="H2">
            <v>3</v>
          </cell>
          <cell r="I2">
            <v>1.67</v>
          </cell>
          <cell r="J2">
            <v>1.71</v>
          </cell>
          <cell r="K2">
            <v>0.13</v>
          </cell>
          <cell r="L2">
            <v>20101231</v>
          </cell>
          <cell r="M2">
            <v>1.82</v>
          </cell>
          <cell r="N2">
            <v>20110307</v>
          </cell>
        </row>
        <row r="3">
          <cell r="B3" t="str">
            <v>ATO</v>
          </cell>
          <cell r="C3" t="str">
            <v>ATMOS ENERGY CP</v>
          </cell>
          <cell r="D3">
            <v>20101216</v>
          </cell>
          <cell r="E3" t="str">
            <v>EPS</v>
          </cell>
          <cell r="F3" t="str">
            <v>ANN</v>
          </cell>
          <cell r="G3">
            <v>1</v>
          </cell>
          <cell r="H3">
            <v>11</v>
          </cell>
          <cell r="I3">
            <v>2.2799999999999998</v>
          </cell>
          <cell r="J3">
            <v>2.29</v>
          </cell>
          <cell r="K3">
            <v>0.05</v>
          </cell>
          <cell r="L3">
            <v>20110930</v>
          </cell>
          <cell r="M3">
            <v>2.34</v>
          </cell>
          <cell r="N3">
            <v>20111109</v>
          </cell>
        </row>
        <row r="4">
          <cell r="B4" t="str">
            <v>GAS</v>
          </cell>
          <cell r="C4" t="str">
            <v>NICOR INC</v>
          </cell>
          <cell r="D4">
            <v>20101216</v>
          </cell>
          <cell r="E4" t="str">
            <v>EPS</v>
          </cell>
          <cell r="F4" t="str">
            <v>ANN</v>
          </cell>
          <cell r="G4">
            <v>1</v>
          </cell>
          <cell r="H4">
            <v>3</v>
          </cell>
          <cell r="I4">
            <v>3.05</v>
          </cell>
          <cell r="J4">
            <v>3.06</v>
          </cell>
          <cell r="K4">
            <v>0.02</v>
          </cell>
          <cell r="L4">
            <v>20101231</v>
          </cell>
          <cell r="M4">
            <v>3.08</v>
          </cell>
          <cell r="N4">
            <v>20110223</v>
          </cell>
        </row>
        <row r="5">
          <cell r="B5" t="str">
            <v>LG</v>
          </cell>
          <cell r="C5" t="str">
            <v>LACLEDE GROUP</v>
          </cell>
          <cell r="D5">
            <v>20101216</v>
          </cell>
          <cell r="E5" t="str">
            <v>EPS</v>
          </cell>
          <cell r="F5" t="str">
            <v>ANN</v>
          </cell>
          <cell r="G5">
            <v>1</v>
          </cell>
          <cell r="H5">
            <v>2</v>
          </cell>
          <cell r="I5">
            <v>2.54</v>
          </cell>
          <cell r="J5">
            <v>2.54</v>
          </cell>
          <cell r="K5">
            <v>0.01</v>
          </cell>
          <cell r="L5">
            <v>20110930</v>
          </cell>
          <cell r="M5">
            <v>2.86</v>
          </cell>
          <cell r="N5">
            <v>20111028</v>
          </cell>
        </row>
        <row r="6">
          <cell r="B6" t="str">
            <v>NI</v>
          </cell>
          <cell r="C6" t="str">
            <v>NISOURCE INC</v>
          </cell>
          <cell r="D6">
            <v>20101216</v>
          </cell>
          <cell r="E6" t="str">
            <v>EPS</v>
          </cell>
          <cell r="F6" t="str">
            <v>ANN</v>
          </cell>
          <cell r="G6">
            <v>1</v>
          </cell>
          <cell r="H6">
            <v>10</v>
          </cell>
          <cell r="I6">
            <v>1.22</v>
          </cell>
          <cell r="J6">
            <v>1.22</v>
          </cell>
          <cell r="K6">
            <v>0.02</v>
          </cell>
          <cell r="L6">
            <v>20101231</v>
          </cell>
          <cell r="M6">
            <v>1.22</v>
          </cell>
          <cell r="N6">
            <v>20110201</v>
          </cell>
        </row>
        <row r="7">
          <cell r="B7" t="str">
            <v>NJR</v>
          </cell>
          <cell r="C7" t="str">
            <v>NEW JERSEY RES</v>
          </cell>
          <cell r="D7">
            <v>20101216</v>
          </cell>
          <cell r="E7" t="str">
            <v>EPS</v>
          </cell>
          <cell r="F7" t="str">
            <v>ANN</v>
          </cell>
          <cell r="G7">
            <v>1</v>
          </cell>
          <cell r="H7">
            <v>8</v>
          </cell>
          <cell r="I7">
            <v>1.31</v>
          </cell>
          <cell r="J7">
            <v>1.32</v>
          </cell>
          <cell r="K7">
            <v>0.03</v>
          </cell>
          <cell r="L7">
            <v>20110930</v>
          </cell>
          <cell r="M7">
            <v>1.28</v>
          </cell>
          <cell r="N7">
            <v>20111123</v>
          </cell>
        </row>
        <row r="8">
          <cell r="B8" t="str">
            <v>NWN</v>
          </cell>
          <cell r="C8" t="str">
            <v>NW NATURAL GAS</v>
          </cell>
          <cell r="D8">
            <v>20101216</v>
          </cell>
          <cell r="E8" t="str">
            <v>EPS</v>
          </cell>
          <cell r="F8" t="str">
            <v>ANN</v>
          </cell>
          <cell r="G8">
            <v>1</v>
          </cell>
          <cell r="H8">
            <v>6</v>
          </cell>
          <cell r="I8">
            <v>2.75</v>
          </cell>
          <cell r="J8">
            <v>2.73</v>
          </cell>
          <cell r="K8">
            <v>0.05</v>
          </cell>
          <cell r="L8">
            <v>20101231</v>
          </cell>
          <cell r="M8">
            <v>2.73</v>
          </cell>
          <cell r="N8">
            <v>20110225</v>
          </cell>
        </row>
        <row r="9">
          <cell r="B9" t="str">
            <v>PNY</v>
          </cell>
          <cell r="C9" t="str">
            <v>PIEDMONT NAT GAS</v>
          </cell>
          <cell r="D9">
            <v>20101216</v>
          </cell>
          <cell r="E9" t="str">
            <v>EPS</v>
          </cell>
          <cell r="F9" t="str">
            <v>ANN</v>
          </cell>
          <cell r="G9">
            <v>1</v>
          </cell>
          <cell r="H9">
            <v>4</v>
          </cell>
          <cell r="I9">
            <v>1.56</v>
          </cell>
          <cell r="J9">
            <v>1.56</v>
          </cell>
          <cell r="K9">
            <v>0.03</v>
          </cell>
          <cell r="L9">
            <v>20101031</v>
          </cell>
          <cell r="M9">
            <v>1.53</v>
          </cell>
          <cell r="N9">
            <v>20101223</v>
          </cell>
        </row>
        <row r="10">
          <cell r="B10" t="str">
            <v>SJI</v>
          </cell>
          <cell r="C10" t="str">
            <v>SO JERSEY INDS</v>
          </cell>
          <cell r="D10">
            <v>20101216</v>
          </cell>
          <cell r="E10" t="str">
            <v>EPS</v>
          </cell>
          <cell r="F10" t="str">
            <v>ANN</v>
          </cell>
          <cell r="G10">
            <v>1</v>
          </cell>
          <cell r="H10">
            <v>6</v>
          </cell>
          <cell r="I10">
            <v>1.33</v>
          </cell>
          <cell r="J10">
            <v>1.33</v>
          </cell>
          <cell r="K10">
            <v>0.04</v>
          </cell>
          <cell r="L10">
            <v>20101231</v>
          </cell>
          <cell r="M10">
            <v>1.35</v>
          </cell>
          <cell r="N10">
            <v>20110228</v>
          </cell>
        </row>
        <row r="11">
          <cell r="B11" t="str">
            <v>SWX</v>
          </cell>
          <cell r="C11" t="str">
            <v>SOUTHWEST GAS</v>
          </cell>
          <cell r="D11">
            <v>20101216</v>
          </cell>
          <cell r="E11" t="str">
            <v>EPS</v>
          </cell>
          <cell r="F11" t="str">
            <v>ANN</v>
          </cell>
          <cell r="G11">
            <v>1</v>
          </cell>
          <cell r="H11">
            <v>5</v>
          </cell>
          <cell r="I11">
            <v>2.17</v>
          </cell>
          <cell r="J11">
            <v>2.19</v>
          </cell>
          <cell r="K11">
            <v>0.1</v>
          </cell>
          <cell r="L11">
            <v>20101231</v>
          </cell>
          <cell r="M11">
            <v>2.27</v>
          </cell>
          <cell r="N11">
            <v>20110228</v>
          </cell>
        </row>
        <row r="12">
          <cell r="B12" t="str">
            <v>WGL</v>
          </cell>
          <cell r="C12" t="str">
            <v>WGL HOLDING INC</v>
          </cell>
          <cell r="D12">
            <v>20101216</v>
          </cell>
          <cell r="E12" t="str">
            <v>EPS</v>
          </cell>
          <cell r="F12" t="str">
            <v>ANN</v>
          </cell>
          <cell r="G12">
            <v>1</v>
          </cell>
          <cell r="H12">
            <v>6</v>
          </cell>
          <cell r="I12">
            <v>2.08</v>
          </cell>
          <cell r="J12">
            <v>2.13</v>
          </cell>
          <cell r="K12">
            <v>0.15</v>
          </cell>
          <cell r="L12">
            <v>20110930</v>
          </cell>
          <cell r="M12">
            <v>2.25</v>
          </cell>
          <cell r="N12">
            <v>20111118</v>
          </cell>
        </row>
      </sheetData>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9u1pe44ad47uwtv"/>
    </sheetNames>
    <sheetDataSet>
      <sheetData sheetId="0">
        <row r="1">
          <cell r="B1" t="str">
            <v>Official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Forecast Period End Date (SAS Format)</v>
          </cell>
          <cell r="M1" t="str">
            <v>Actual Value, from the Detail Actuals File</v>
          </cell>
          <cell r="N1" t="str">
            <v>Announce date of the Actual, from the Detail Actuals File</v>
          </cell>
        </row>
        <row r="2">
          <cell r="B2" t="str">
            <v>CPK</v>
          </cell>
          <cell r="C2" t="str">
            <v>CHESAPEAKE UTIL</v>
          </cell>
          <cell r="D2">
            <v>40528</v>
          </cell>
          <cell r="E2" t="str">
            <v>EPS</v>
          </cell>
          <cell r="F2" t="str">
            <v>LTG</v>
          </cell>
          <cell r="G2" t="str">
            <v>0</v>
          </cell>
          <cell r="H2">
            <v>1</v>
          </cell>
          <cell r="I2">
            <v>6.5</v>
          </cell>
          <cell r="J2">
            <v>6.5</v>
          </cell>
        </row>
        <row r="3">
          <cell r="B3" t="str">
            <v>ATO</v>
          </cell>
          <cell r="C3" t="str">
            <v>ATMOS ENERGY CP</v>
          </cell>
          <cell r="D3">
            <v>40528</v>
          </cell>
          <cell r="E3" t="str">
            <v>EPS</v>
          </cell>
          <cell r="F3" t="str">
            <v>LTG</v>
          </cell>
          <cell r="G3" t="str">
            <v>0</v>
          </cell>
          <cell r="H3">
            <v>5</v>
          </cell>
          <cell r="I3">
            <v>4.3</v>
          </cell>
          <cell r="J3">
            <v>3.6</v>
          </cell>
          <cell r="K3">
            <v>1.63</v>
          </cell>
        </row>
        <row r="4">
          <cell r="B4" t="str">
            <v>GAS</v>
          </cell>
          <cell r="C4" t="str">
            <v>NICOR INC</v>
          </cell>
          <cell r="D4">
            <v>40528</v>
          </cell>
          <cell r="E4" t="str">
            <v>EPS</v>
          </cell>
          <cell r="F4" t="str">
            <v>LTG</v>
          </cell>
          <cell r="G4" t="str">
            <v>0</v>
          </cell>
          <cell r="H4">
            <v>3</v>
          </cell>
          <cell r="I4">
            <v>2.4</v>
          </cell>
          <cell r="J4">
            <v>1</v>
          </cell>
          <cell r="K4">
            <v>3.7</v>
          </cell>
        </row>
        <row r="5">
          <cell r="B5" t="str">
            <v>NI</v>
          </cell>
          <cell r="C5" t="str">
            <v>NISOURCE INC</v>
          </cell>
          <cell r="D5">
            <v>40528</v>
          </cell>
          <cell r="E5" t="str">
            <v>EPS</v>
          </cell>
          <cell r="F5" t="str">
            <v>LTG</v>
          </cell>
          <cell r="G5" t="str">
            <v>0</v>
          </cell>
          <cell r="H5">
            <v>3</v>
          </cell>
          <cell r="I5">
            <v>4</v>
          </cell>
          <cell r="J5">
            <v>7.13</v>
          </cell>
          <cell r="K5">
            <v>6.31</v>
          </cell>
        </row>
        <row r="6">
          <cell r="B6" t="str">
            <v>NJR</v>
          </cell>
          <cell r="C6" t="str">
            <v>NEW JERSEY RES</v>
          </cell>
          <cell r="D6">
            <v>40528</v>
          </cell>
          <cell r="E6" t="str">
            <v>EPS</v>
          </cell>
          <cell r="F6" t="str">
            <v>LTG</v>
          </cell>
          <cell r="G6" t="str">
            <v>0</v>
          </cell>
          <cell r="H6">
            <v>4</v>
          </cell>
          <cell r="I6">
            <v>2.7</v>
          </cell>
          <cell r="J6">
            <v>2.85</v>
          </cell>
          <cell r="K6">
            <v>1.96</v>
          </cell>
        </row>
        <row r="7">
          <cell r="B7" t="str">
            <v>NWN</v>
          </cell>
          <cell r="C7" t="str">
            <v>NW NATURAL GAS</v>
          </cell>
          <cell r="D7">
            <v>40528</v>
          </cell>
          <cell r="E7" t="str">
            <v>EPS</v>
          </cell>
          <cell r="F7" t="str">
            <v>LTG</v>
          </cell>
          <cell r="G7" t="str">
            <v>0</v>
          </cell>
          <cell r="H7">
            <v>4</v>
          </cell>
          <cell r="I7">
            <v>4.25</v>
          </cell>
          <cell r="J7">
            <v>3.88</v>
          </cell>
          <cell r="K7">
            <v>1.31</v>
          </cell>
        </row>
        <row r="8">
          <cell r="B8" t="str">
            <v>PNY</v>
          </cell>
          <cell r="C8" t="str">
            <v>PIEDMONT NAT GAS</v>
          </cell>
          <cell r="D8">
            <v>40528</v>
          </cell>
          <cell r="E8" t="str">
            <v>EPS</v>
          </cell>
          <cell r="F8" t="str">
            <v>LTG</v>
          </cell>
          <cell r="G8" t="str">
            <v>0</v>
          </cell>
          <cell r="H8">
            <v>4</v>
          </cell>
          <cell r="I8">
            <v>3.7</v>
          </cell>
          <cell r="J8">
            <v>3.92</v>
          </cell>
          <cell r="K8">
            <v>1.55</v>
          </cell>
        </row>
        <row r="9">
          <cell r="B9" t="str">
            <v>SJI</v>
          </cell>
          <cell r="C9" t="str">
            <v>SO JERSEY INDS</v>
          </cell>
          <cell r="D9">
            <v>40528</v>
          </cell>
          <cell r="E9" t="str">
            <v>EPS</v>
          </cell>
          <cell r="F9" t="str">
            <v>LTG</v>
          </cell>
          <cell r="G9" t="str">
            <v>0</v>
          </cell>
          <cell r="H9">
            <v>3</v>
          </cell>
          <cell r="I9">
            <v>6</v>
          </cell>
          <cell r="J9">
            <v>6.33</v>
          </cell>
          <cell r="K9">
            <v>0.57999999999999996</v>
          </cell>
        </row>
        <row r="10">
          <cell r="B10" t="str">
            <v>SWX</v>
          </cell>
          <cell r="C10" t="str">
            <v>SOUTHWEST GAS</v>
          </cell>
          <cell r="D10">
            <v>40528</v>
          </cell>
          <cell r="E10" t="str">
            <v>EPS</v>
          </cell>
          <cell r="F10" t="str">
            <v>LTG</v>
          </cell>
          <cell r="G10" t="str">
            <v>0</v>
          </cell>
          <cell r="H10">
            <v>1</v>
          </cell>
          <cell r="I10">
            <v>6</v>
          </cell>
          <cell r="J10">
            <v>6</v>
          </cell>
        </row>
        <row r="11">
          <cell r="B11" t="str">
            <v>WGL</v>
          </cell>
          <cell r="C11" t="str">
            <v>WGL HOLDING INC</v>
          </cell>
          <cell r="D11">
            <v>40528</v>
          </cell>
          <cell r="E11" t="str">
            <v>EPS</v>
          </cell>
          <cell r="F11" t="str">
            <v>LTG</v>
          </cell>
          <cell r="G11" t="str">
            <v>0</v>
          </cell>
          <cell r="H11">
            <v>3</v>
          </cell>
          <cell r="I11">
            <v>4.5</v>
          </cell>
          <cell r="J11">
            <v>3.57</v>
          </cell>
          <cell r="K11">
            <v>2.5299999999999998</v>
          </cell>
        </row>
        <row r="12">
          <cell r="B12" t="str">
            <v>LG</v>
          </cell>
          <cell r="C12" t="str">
            <v>LACLEDE GROUP</v>
          </cell>
          <cell r="D12">
            <v>40528</v>
          </cell>
          <cell r="E12" t="str">
            <v>EPS</v>
          </cell>
          <cell r="F12" t="str">
            <v>LTG</v>
          </cell>
          <cell r="G12" t="str">
            <v>0</v>
          </cell>
          <cell r="H12">
            <v>1</v>
          </cell>
          <cell r="I12">
            <v>4.5</v>
          </cell>
          <cell r="J12">
            <v>4.5</v>
          </cell>
        </row>
      </sheetData>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RDS"/>
    </sheetNames>
    <sheetDataSet>
      <sheetData sheetId="0">
        <row r="1">
          <cell r="A1" t="str">
            <v>OFTIC</v>
          </cell>
          <cell r="B1" t="str">
            <v>IBES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USFIRM=0 if from .INT file and USFIRM=1 if from .US file</v>
          </cell>
          <cell r="L1" t="str">
            <v>Forecast Period End Date (SAS Format)</v>
          </cell>
          <cell r="M1" t="str">
            <v>Actual Value, from the Detail Actuals File</v>
          </cell>
          <cell r="N1" t="str">
            <v>Announce date of the Actual, from the Detail Actuals File</v>
          </cell>
        </row>
        <row r="2">
          <cell r="A2" t="str">
            <v>PNW</v>
          </cell>
          <cell r="B2" t="str">
            <v>AZP</v>
          </cell>
          <cell r="C2" t="str">
            <v>PINNACLE WST CAP</v>
          </cell>
          <cell r="D2">
            <v>20091217</v>
          </cell>
          <cell r="E2" t="str">
            <v>EPS</v>
          </cell>
          <cell r="F2" t="str">
            <v>ANN</v>
          </cell>
          <cell r="G2">
            <v>1</v>
          </cell>
          <cell r="H2">
            <v>6</v>
          </cell>
          <cell r="I2">
            <v>2.34</v>
          </cell>
          <cell r="J2">
            <v>2.34</v>
          </cell>
          <cell r="K2">
            <v>1</v>
          </cell>
          <cell r="L2">
            <v>20091231</v>
          </cell>
          <cell r="M2">
            <v>2.2799999999999998</v>
          </cell>
          <cell r="N2">
            <v>20100219</v>
          </cell>
        </row>
        <row r="3">
          <cell r="A3" t="str">
            <v>CEG</v>
          </cell>
          <cell r="B3" t="str">
            <v>BGE</v>
          </cell>
          <cell r="C3" t="str">
            <v>CONSTELLATION EN</v>
          </cell>
          <cell r="D3">
            <v>20091217</v>
          </cell>
          <cell r="E3" t="str">
            <v>EPS</v>
          </cell>
          <cell r="F3" t="str">
            <v>ANN</v>
          </cell>
          <cell r="G3">
            <v>1</v>
          </cell>
          <cell r="H3">
            <v>4</v>
          </cell>
          <cell r="I3">
            <v>3.29</v>
          </cell>
          <cell r="J3">
            <v>3.31</v>
          </cell>
          <cell r="K3">
            <v>1</v>
          </cell>
          <cell r="L3">
            <v>20091231</v>
          </cell>
          <cell r="M3">
            <v>3.36</v>
          </cell>
          <cell r="N3">
            <v>20100222</v>
          </cell>
        </row>
        <row r="4">
          <cell r="A4" t="str">
            <v>BKH</v>
          </cell>
          <cell r="B4" t="str">
            <v>BHP</v>
          </cell>
          <cell r="C4" t="str">
            <v>BLACK HILLS CP</v>
          </cell>
          <cell r="D4">
            <v>20091217</v>
          </cell>
          <cell r="E4" t="str">
            <v>EPS</v>
          </cell>
          <cell r="F4" t="str">
            <v>ANN</v>
          </cell>
          <cell r="G4">
            <v>1</v>
          </cell>
          <cell r="H4">
            <v>3</v>
          </cell>
          <cell r="I4">
            <v>1.76</v>
          </cell>
          <cell r="J4">
            <v>1.64</v>
          </cell>
          <cell r="K4">
            <v>1</v>
          </cell>
          <cell r="L4">
            <v>20091231</v>
          </cell>
          <cell r="M4">
            <v>2.04</v>
          </cell>
          <cell r="N4">
            <v>20100128</v>
          </cell>
        </row>
        <row r="5">
          <cell r="A5" t="str">
            <v>NST</v>
          </cell>
          <cell r="B5" t="str">
            <v>BSE</v>
          </cell>
          <cell r="C5" t="str">
            <v>NSTAR</v>
          </cell>
          <cell r="D5">
            <v>20091217</v>
          </cell>
          <cell r="E5" t="str">
            <v>EPS</v>
          </cell>
          <cell r="F5" t="str">
            <v>ANN</v>
          </cell>
          <cell r="G5">
            <v>1</v>
          </cell>
          <cell r="H5">
            <v>10</v>
          </cell>
          <cell r="I5">
            <v>2.37</v>
          </cell>
          <cell r="J5">
            <v>2.36</v>
          </cell>
          <cell r="K5">
            <v>1</v>
          </cell>
          <cell r="L5">
            <v>20091231</v>
          </cell>
          <cell r="M5">
            <v>2.35</v>
          </cell>
          <cell r="N5">
            <v>20100128</v>
          </cell>
        </row>
        <row r="6">
          <cell r="A6" t="str">
            <v>CMS</v>
          </cell>
          <cell r="B6" t="str">
            <v>CMS</v>
          </cell>
          <cell r="C6" t="str">
            <v>CMS ENERGY CORP</v>
          </cell>
          <cell r="D6">
            <v>20091217</v>
          </cell>
          <cell r="E6" t="str">
            <v>EPS</v>
          </cell>
          <cell r="F6" t="str">
            <v>ANN</v>
          </cell>
          <cell r="G6">
            <v>1</v>
          </cell>
          <cell r="H6">
            <v>11</v>
          </cell>
          <cell r="I6">
            <v>1.24</v>
          </cell>
          <cell r="J6">
            <v>1.23</v>
          </cell>
          <cell r="K6">
            <v>1</v>
          </cell>
          <cell r="L6">
            <v>20091231</v>
          </cell>
          <cell r="M6">
            <v>1.26</v>
          </cell>
          <cell r="N6">
            <v>20100301</v>
          </cell>
        </row>
        <row r="7">
          <cell r="A7" t="str">
            <v>CNL</v>
          </cell>
          <cell r="B7" t="str">
            <v>CNL</v>
          </cell>
          <cell r="C7" t="str">
            <v>CLECO CORP</v>
          </cell>
          <cell r="D7">
            <v>20091217</v>
          </cell>
          <cell r="E7" t="str">
            <v>EPS</v>
          </cell>
          <cell r="F7" t="str">
            <v>ANN</v>
          </cell>
          <cell r="G7">
            <v>1</v>
          </cell>
          <cell r="H7">
            <v>2</v>
          </cell>
          <cell r="I7">
            <v>1.64</v>
          </cell>
          <cell r="J7">
            <v>1.64</v>
          </cell>
          <cell r="K7">
            <v>1</v>
          </cell>
          <cell r="L7">
            <v>20091231</v>
          </cell>
          <cell r="M7">
            <v>1.73</v>
          </cell>
          <cell r="N7">
            <v>20100225</v>
          </cell>
        </row>
        <row r="8">
          <cell r="A8" t="str">
            <v>PGN</v>
          </cell>
          <cell r="B8" t="str">
            <v>CPL</v>
          </cell>
          <cell r="C8" t="str">
            <v>PROGRESS ENERGY</v>
          </cell>
          <cell r="D8">
            <v>20091217</v>
          </cell>
          <cell r="E8" t="str">
            <v>EPS</v>
          </cell>
          <cell r="F8" t="str">
            <v>ANN</v>
          </cell>
          <cell r="G8">
            <v>1</v>
          </cell>
          <cell r="H8">
            <v>9</v>
          </cell>
          <cell r="I8">
            <v>3.05</v>
          </cell>
          <cell r="J8">
            <v>3.05</v>
          </cell>
          <cell r="K8">
            <v>1</v>
          </cell>
          <cell r="L8">
            <v>20091231</v>
          </cell>
          <cell r="M8">
            <v>3.02</v>
          </cell>
          <cell r="N8">
            <v>20100211</v>
          </cell>
        </row>
        <row r="9">
          <cell r="A9" t="str">
            <v>CV</v>
          </cell>
          <cell r="B9" t="str">
            <v>CV</v>
          </cell>
          <cell r="C9" t="str">
            <v>CENT VT PUB SVC</v>
          </cell>
          <cell r="D9">
            <v>20091217</v>
          </cell>
          <cell r="E9" t="str">
            <v>EPS</v>
          </cell>
          <cell r="F9" t="str">
            <v>ANN</v>
          </cell>
          <cell r="G9">
            <v>1</v>
          </cell>
          <cell r="H9">
            <v>2</v>
          </cell>
          <cell r="I9">
            <v>1.6</v>
          </cell>
          <cell r="J9">
            <v>1.6</v>
          </cell>
          <cell r="K9">
            <v>1</v>
          </cell>
          <cell r="L9">
            <v>20091231</v>
          </cell>
          <cell r="M9">
            <v>1.74</v>
          </cell>
          <cell r="N9">
            <v>20100315</v>
          </cell>
        </row>
        <row r="10">
          <cell r="A10" t="str">
            <v>D</v>
          </cell>
          <cell r="B10" t="str">
            <v>D</v>
          </cell>
          <cell r="C10" t="str">
            <v>DOMINION RES INC</v>
          </cell>
          <cell r="D10">
            <v>20091217</v>
          </cell>
          <cell r="E10" t="str">
            <v>EPS</v>
          </cell>
          <cell r="F10" t="str">
            <v>ANN</v>
          </cell>
          <cell r="G10">
            <v>1</v>
          </cell>
          <cell r="H10">
            <v>14</v>
          </cell>
          <cell r="I10">
            <v>3.24</v>
          </cell>
          <cell r="J10">
            <v>3.24</v>
          </cell>
          <cell r="K10">
            <v>1</v>
          </cell>
          <cell r="L10">
            <v>20091231</v>
          </cell>
          <cell r="M10">
            <v>3.27</v>
          </cell>
          <cell r="N10">
            <v>20100128</v>
          </cell>
        </row>
        <row r="11">
          <cell r="A11" t="str">
            <v>DPL</v>
          </cell>
          <cell r="B11" t="str">
            <v>DPL</v>
          </cell>
          <cell r="C11" t="str">
            <v>DPL INC</v>
          </cell>
          <cell r="D11">
            <v>20091217</v>
          </cell>
          <cell r="E11" t="str">
            <v>EPS</v>
          </cell>
          <cell r="F11" t="str">
            <v>ANN</v>
          </cell>
          <cell r="G11">
            <v>1</v>
          </cell>
          <cell r="H11">
            <v>6</v>
          </cell>
          <cell r="I11">
            <v>2.12</v>
          </cell>
          <cell r="J11">
            <v>2.13</v>
          </cell>
          <cell r="K11">
            <v>1</v>
          </cell>
          <cell r="L11">
            <v>20091231</v>
          </cell>
          <cell r="M11">
            <v>2.0099999999999998</v>
          </cell>
          <cell r="N11">
            <v>20100211</v>
          </cell>
        </row>
        <row r="12">
          <cell r="A12" t="str">
            <v>DTE</v>
          </cell>
          <cell r="B12" t="str">
            <v>DTE</v>
          </cell>
          <cell r="C12" t="str">
            <v>DTE ENERGY</v>
          </cell>
          <cell r="D12">
            <v>20091217</v>
          </cell>
          <cell r="E12" t="str">
            <v>EPS</v>
          </cell>
          <cell r="F12" t="str">
            <v>ANN</v>
          </cell>
          <cell r="G12">
            <v>1</v>
          </cell>
          <cell r="H12">
            <v>5</v>
          </cell>
          <cell r="I12">
            <v>3.3</v>
          </cell>
          <cell r="J12">
            <v>3.3</v>
          </cell>
          <cell r="K12">
            <v>1</v>
          </cell>
          <cell r="L12">
            <v>20091231</v>
          </cell>
          <cell r="M12">
            <v>3.3</v>
          </cell>
          <cell r="N12">
            <v>20100222</v>
          </cell>
        </row>
        <row r="13">
          <cell r="A13" t="str">
            <v>DUK</v>
          </cell>
          <cell r="B13" t="str">
            <v>DUK</v>
          </cell>
          <cell r="C13" t="str">
            <v>DUKE ENERGY CORP</v>
          </cell>
          <cell r="D13">
            <v>20091217</v>
          </cell>
          <cell r="E13" t="str">
            <v>EPS</v>
          </cell>
          <cell r="F13" t="str">
            <v>ANN</v>
          </cell>
          <cell r="G13">
            <v>1</v>
          </cell>
          <cell r="H13">
            <v>15</v>
          </cell>
          <cell r="I13">
            <v>3.6</v>
          </cell>
          <cell r="J13">
            <v>3.59</v>
          </cell>
          <cell r="K13">
            <v>1</v>
          </cell>
          <cell r="L13">
            <v>20091231</v>
          </cell>
          <cell r="M13">
            <v>3.66</v>
          </cell>
          <cell r="N13">
            <v>20100212</v>
          </cell>
        </row>
        <row r="14">
          <cell r="A14" t="str">
            <v>ED</v>
          </cell>
          <cell r="B14" t="str">
            <v>ED</v>
          </cell>
          <cell r="C14" t="str">
            <v>CONSOLIDATED EDI</v>
          </cell>
          <cell r="D14">
            <v>20091217</v>
          </cell>
          <cell r="E14" t="str">
            <v>EPS</v>
          </cell>
          <cell r="F14" t="str">
            <v>ANN</v>
          </cell>
          <cell r="G14">
            <v>1</v>
          </cell>
          <cell r="H14">
            <v>11</v>
          </cell>
          <cell r="I14">
            <v>3.14</v>
          </cell>
          <cell r="J14">
            <v>3.14</v>
          </cell>
          <cell r="K14">
            <v>1</v>
          </cell>
          <cell r="L14">
            <v>20091231</v>
          </cell>
          <cell r="M14">
            <v>3.07</v>
          </cell>
          <cell r="N14">
            <v>20100121</v>
          </cell>
        </row>
        <row r="15">
          <cell r="A15" t="str">
            <v>EDE</v>
          </cell>
          <cell r="B15" t="str">
            <v>EDE</v>
          </cell>
          <cell r="C15" t="str">
            <v>EMPIRE DIST ELEC</v>
          </cell>
          <cell r="D15">
            <v>20091217</v>
          </cell>
          <cell r="E15" t="str">
            <v>EPS</v>
          </cell>
          <cell r="F15" t="str">
            <v>ANN</v>
          </cell>
          <cell r="G15">
            <v>1</v>
          </cell>
          <cell r="H15">
            <v>4</v>
          </cell>
          <cell r="I15">
            <v>1.25</v>
          </cell>
          <cell r="J15">
            <v>1.23</v>
          </cell>
          <cell r="K15">
            <v>1</v>
          </cell>
          <cell r="L15">
            <v>20091231</v>
          </cell>
          <cell r="M15">
            <v>1.18</v>
          </cell>
          <cell r="N15">
            <v>20100204</v>
          </cell>
        </row>
        <row r="16">
          <cell r="A16" t="str">
            <v>FPL</v>
          </cell>
          <cell r="B16" t="str">
            <v>FPL</v>
          </cell>
          <cell r="C16" t="str">
            <v>FPL GROUP</v>
          </cell>
          <cell r="D16">
            <v>20091217</v>
          </cell>
          <cell r="E16" t="str">
            <v>EPS</v>
          </cell>
          <cell r="F16" t="str">
            <v>ANN</v>
          </cell>
          <cell r="G16">
            <v>1</v>
          </cell>
          <cell r="H16">
            <v>18</v>
          </cell>
          <cell r="I16">
            <v>1.04</v>
          </cell>
          <cell r="J16">
            <v>1.04</v>
          </cell>
          <cell r="K16">
            <v>1</v>
          </cell>
          <cell r="L16">
            <v>20091231</v>
          </cell>
          <cell r="M16">
            <v>1.0125</v>
          </cell>
          <cell r="N16">
            <v>20100126</v>
          </cell>
        </row>
        <row r="17">
          <cell r="A17" t="str">
            <v>HE</v>
          </cell>
          <cell r="B17" t="str">
            <v>HE</v>
          </cell>
          <cell r="C17" t="str">
            <v>HAWAIIAN ELEC</v>
          </cell>
          <cell r="D17">
            <v>20091217</v>
          </cell>
          <cell r="E17" t="str">
            <v>EPS</v>
          </cell>
          <cell r="F17" t="str">
            <v>ANN</v>
          </cell>
          <cell r="G17">
            <v>1</v>
          </cell>
          <cell r="H17">
            <v>4</v>
          </cell>
          <cell r="I17">
            <v>1</v>
          </cell>
          <cell r="J17">
            <v>0.99</v>
          </cell>
          <cell r="K17">
            <v>1</v>
          </cell>
          <cell r="L17">
            <v>20091231</v>
          </cell>
          <cell r="M17">
            <v>1.1200000000000001</v>
          </cell>
          <cell r="N17">
            <v>20100211</v>
          </cell>
        </row>
        <row r="18">
          <cell r="A18" t="str">
            <v>CNP</v>
          </cell>
          <cell r="B18" t="str">
            <v>HOU</v>
          </cell>
          <cell r="C18" t="str">
            <v>CENTERPOINT ENER</v>
          </cell>
          <cell r="D18">
            <v>20091217</v>
          </cell>
          <cell r="E18" t="str">
            <v>EPS</v>
          </cell>
          <cell r="F18" t="str">
            <v>ANN</v>
          </cell>
          <cell r="G18">
            <v>1</v>
          </cell>
          <cell r="H18">
            <v>5</v>
          </cell>
          <cell r="I18">
            <v>1.08</v>
          </cell>
          <cell r="J18">
            <v>1.0900000000000001</v>
          </cell>
          <cell r="K18">
            <v>1</v>
          </cell>
          <cell r="L18">
            <v>20091231</v>
          </cell>
          <cell r="M18">
            <v>1.01</v>
          </cell>
          <cell r="N18">
            <v>20100226</v>
          </cell>
        </row>
        <row r="19">
          <cell r="A19" t="str">
            <v>IDA</v>
          </cell>
          <cell r="B19" t="str">
            <v>IDA</v>
          </cell>
          <cell r="C19" t="str">
            <v>IDACORP INC.</v>
          </cell>
          <cell r="D19">
            <v>20091217</v>
          </cell>
          <cell r="E19" t="str">
            <v>EPS</v>
          </cell>
          <cell r="F19" t="str">
            <v>ANN</v>
          </cell>
          <cell r="G19">
            <v>1</v>
          </cell>
          <cell r="H19">
            <v>5</v>
          </cell>
          <cell r="I19">
            <v>2.4</v>
          </cell>
          <cell r="J19">
            <v>2.39</v>
          </cell>
          <cell r="K19">
            <v>1</v>
          </cell>
          <cell r="L19">
            <v>20091231</v>
          </cell>
          <cell r="M19">
            <v>2.64</v>
          </cell>
          <cell r="N19">
            <v>20100223</v>
          </cell>
        </row>
        <row r="20">
          <cell r="A20" t="str">
            <v>WR</v>
          </cell>
          <cell r="B20" t="str">
            <v>KAN</v>
          </cell>
          <cell r="C20" t="str">
            <v>WESTAR ENERGY</v>
          </cell>
          <cell r="D20">
            <v>20091217</v>
          </cell>
          <cell r="E20" t="str">
            <v>EPS</v>
          </cell>
          <cell r="F20" t="str">
            <v>ANN</v>
          </cell>
          <cell r="G20">
            <v>1</v>
          </cell>
          <cell r="H20">
            <v>7</v>
          </cell>
          <cell r="I20">
            <v>1.4</v>
          </cell>
          <cell r="J20">
            <v>1.44</v>
          </cell>
          <cell r="K20">
            <v>1</v>
          </cell>
          <cell r="L20">
            <v>20091231</v>
          </cell>
          <cell r="M20">
            <v>1.28</v>
          </cell>
          <cell r="N20">
            <v>20100225</v>
          </cell>
        </row>
        <row r="21">
          <cell r="A21" t="str">
            <v>GXP</v>
          </cell>
          <cell r="B21" t="str">
            <v>KLT</v>
          </cell>
          <cell r="C21" t="str">
            <v>GREAT PLAINS</v>
          </cell>
          <cell r="D21">
            <v>20091217</v>
          </cell>
          <cell r="E21" t="str">
            <v>EPS</v>
          </cell>
          <cell r="F21" t="str">
            <v>ANN</v>
          </cell>
          <cell r="G21">
            <v>1</v>
          </cell>
          <cell r="H21">
            <v>6</v>
          </cell>
          <cell r="I21">
            <v>1.17</v>
          </cell>
          <cell r="J21">
            <v>1.17</v>
          </cell>
          <cell r="K21">
            <v>1</v>
          </cell>
          <cell r="L21">
            <v>20091231</v>
          </cell>
          <cell r="M21">
            <v>1.1299999999999999</v>
          </cell>
          <cell r="N21">
            <v>20100225</v>
          </cell>
        </row>
        <row r="22">
          <cell r="A22" t="str">
            <v>MGEE</v>
          </cell>
          <cell r="B22" t="str">
            <v>MDSN</v>
          </cell>
          <cell r="C22" t="str">
            <v>MGE ENERGY INC</v>
          </cell>
          <cell r="D22">
            <v>20091217</v>
          </cell>
          <cell r="E22" t="str">
            <v>EPS</v>
          </cell>
          <cell r="F22" t="str">
            <v>ANN</v>
          </cell>
          <cell r="G22">
            <v>1</v>
          </cell>
          <cell r="H22">
            <v>1</v>
          </cell>
          <cell r="I22">
            <v>1.43</v>
          </cell>
          <cell r="J22">
            <v>1.43</v>
          </cell>
          <cell r="K22">
            <v>1</v>
          </cell>
          <cell r="L22">
            <v>20091231</v>
          </cell>
          <cell r="M22">
            <v>1.4733000000000001</v>
          </cell>
          <cell r="N22">
            <v>20100225</v>
          </cell>
        </row>
        <row r="23">
          <cell r="A23" t="str">
            <v>ALE</v>
          </cell>
          <cell r="B23" t="str">
            <v>MPL</v>
          </cell>
          <cell r="C23" t="str">
            <v>ALLETE INC</v>
          </cell>
          <cell r="D23">
            <v>20091217</v>
          </cell>
          <cell r="E23" t="str">
            <v>EPS</v>
          </cell>
          <cell r="F23" t="str">
            <v>ANN</v>
          </cell>
          <cell r="G23">
            <v>1</v>
          </cell>
          <cell r="H23">
            <v>2</v>
          </cell>
          <cell r="I23">
            <v>2</v>
          </cell>
          <cell r="J23">
            <v>2</v>
          </cell>
          <cell r="K23">
            <v>1</v>
          </cell>
          <cell r="L23">
            <v>20091231</v>
          </cell>
          <cell r="M23">
            <v>2.04</v>
          </cell>
          <cell r="N23">
            <v>20100212</v>
          </cell>
        </row>
        <row r="24">
          <cell r="A24" t="str">
            <v>ETR</v>
          </cell>
          <cell r="B24" t="str">
            <v>MSU</v>
          </cell>
          <cell r="C24" t="str">
            <v>ENTERGY CP</v>
          </cell>
          <cell r="D24">
            <v>20091217</v>
          </cell>
          <cell r="E24" t="str">
            <v>EPS</v>
          </cell>
          <cell r="F24" t="str">
            <v>ANN</v>
          </cell>
          <cell r="G24">
            <v>1</v>
          </cell>
          <cell r="H24">
            <v>13</v>
          </cell>
          <cell r="I24">
            <v>6.35</v>
          </cell>
          <cell r="J24">
            <v>6.34</v>
          </cell>
          <cell r="K24">
            <v>1</v>
          </cell>
          <cell r="L24">
            <v>20091231</v>
          </cell>
          <cell r="M24">
            <v>6.67</v>
          </cell>
          <cell r="N24">
            <v>20100202</v>
          </cell>
        </row>
        <row r="25">
          <cell r="A25" t="str">
            <v>XEL</v>
          </cell>
          <cell r="B25" t="str">
            <v>NSP</v>
          </cell>
          <cell r="C25" t="str">
            <v>XCEL ENERGY INC</v>
          </cell>
          <cell r="D25">
            <v>20091217</v>
          </cell>
          <cell r="E25" t="str">
            <v>EPS</v>
          </cell>
          <cell r="F25" t="str">
            <v>ANN</v>
          </cell>
          <cell r="G25">
            <v>1</v>
          </cell>
          <cell r="H25">
            <v>9</v>
          </cell>
          <cell r="I25">
            <v>1.48</v>
          </cell>
          <cell r="J25">
            <v>1.48</v>
          </cell>
          <cell r="K25">
            <v>1</v>
          </cell>
          <cell r="L25">
            <v>20091231</v>
          </cell>
          <cell r="M25">
            <v>1.49</v>
          </cell>
          <cell r="N25">
            <v>20100128</v>
          </cell>
        </row>
        <row r="26">
          <cell r="A26" t="str">
            <v>NU</v>
          </cell>
          <cell r="B26" t="str">
            <v>NU</v>
          </cell>
          <cell r="C26" t="str">
            <v>NORTHEAST UTILS</v>
          </cell>
          <cell r="D26">
            <v>20091217</v>
          </cell>
          <cell r="E26" t="str">
            <v>EPS</v>
          </cell>
          <cell r="F26" t="str">
            <v>ANN</v>
          </cell>
          <cell r="G26">
            <v>1</v>
          </cell>
          <cell r="H26">
            <v>12</v>
          </cell>
          <cell r="I26">
            <v>1.85</v>
          </cell>
          <cell r="J26">
            <v>1.84</v>
          </cell>
          <cell r="K26">
            <v>1</v>
          </cell>
          <cell r="L26">
            <v>20091231</v>
          </cell>
          <cell r="M26">
            <v>1.91</v>
          </cell>
          <cell r="N26">
            <v>20100223</v>
          </cell>
        </row>
        <row r="27">
          <cell r="A27" t="str">
            <v>NWE</v>
          </cell>
          <cell r="B27" t="str">
            <v>NWPS</v>
          </cell>
          <cell r="C27" t="str">
            <v>NORTHWESTERN CP</v>
          </cell>
          <cell r="D27">
            <v>20091217</v>
          </cell>
          <cell r="E27" t="str">
            <v>EPS</v>
          </cell>
          <cell r="F27" t="str">
            <v>ANN</v>
          </cell>
          <cell r="G27">
            <v>1</v>
          </cell>
          <cell r="H27">
            <v>3</v>
          </cell>
          <cell r="I27">
            <v>1.98</v>
          </cell>
          <cell r="J27">
            <v>1.98</v>
          </cell>
          <cell r="K27">
            <v>1</v>
          </cell>
          <cell r="L27">
            <v>20091231</v>
          </cell>
          <cell r="M27">
            <v>2.02</v>
          </cell>
          <cell r="N27">
            <v>20100212</v>
          </cell>
        </row>
        <row r="28">
          <cell r="A28" t="str">
            <v>FE</v>
          </cell>
          <cell r="B28" t="str">
            <v>OEC</v>
          </cell>
          <cell r="C28" t="str">
            <v>FIRSTENERGY CORP</v>
          </cell>
          <cell r="D28">
            <v>20091217</v>
          </cell>
          <cell r="E28" t="str">
            <v>EPS</v>
          </cell>
          <cell r="F28" t="str">
            <v>ANN</v>
          </cell>
          <cell r="G28">
            <v>1</v>
          </cell>
          <cell r="H28">
            <v>10</v>
          </cell>
          <cell r="I28">
            <v>3.75</v>
          </cell>
          <cell r="J28">
            <v>3.71</v>
          </cell>
          <cell r="K28">
            <v>1</v>
          </cell>
          <cell r="L28">
            <v>20091231</v>
          </cell>
          <cell r="M28">
            <v>3.77</v>
          </cell>
          <cell r="N28">
            <v>20100211</v>
          </cell>
        </row>
        <row r="29">
          <cell r="A29" t="str">
            <v>OGE</v>
          </cell>
          <cell r="B29" t="str">
            <v>OGE</v>
          </cell>
          <cell r="C29" t="str">
            <v>OGE ENERGY CORP</v>
          </cell>
          <cell r="D29">
            <v>20091217</v>
          </cell>
          <cell r="E29" t="str">
            <v>EPS</v>
          </cell>
          <cell r="F29" t="str">
            <v>ANN</v>
          </cell>
          <cell r="G29">
            <v>1</v>
          </cell>
          <cell r="H29">
            <v>6</v>
          </cell>
          <cell r="I29">
            <v>1.24</v>
          </cell>
          <cell r="J29">
            <v>1.25</v>
          </cell>
          <cell r="K29">
            <v>1</v>
          </cell>
          <cell r="L29">
            <v>20091231</v>
          </cell>
          <cell r="M29">
            <v>1.33</v>
          </cell>
          <cell r="N29">
            <v>20100218</v>
          </cell>
        </row>
        <row r="30">
          <cell r="A30" t="str">
            <v>OTTR</v>
          </cell>
          <cell r="B30" t="str">
            <v>OTTR</v>
          </cell>
          <cell r="C30" t="str">
            <v>OTTER TAIL CORP.</v>
          </cell>
          <cell r="D30">
            <v>20091217</v>
          </cell>
          <cell r="E30" t="str">
            <v>EPS</v>
          </cell>
          <cell r="F30" t="str">
            <v>ANN</v>
          </cell>
          <cell r="G30">
            <v>1</v>
          </cell>
          <cell r="H30">
            <v>3</v>
          </cell>
          <cell r="I30">
            <v>0.83</v>
          </cell>
          <cell r="J30">
            <v>0.82</v>
          </cell>
          <cell r="K30">
            <v>1</v>
          </cell>
          <cell r="L30">
            <v>20091231</v>
          </cell>
          <cell r="M30">
            <v>0.71</v>
          </cell>
          <cell r="N30">
            <v>20100208</v>
          </cell>
        </row>
        <row r="31">
          <cell r="A31" t="str">
            <v>PCG</v>
          </cell>
          <cell r="B31" t="str">
            <v>PCG</v>
          </cell>
          <cell r="C31" t="str">
            <v>P G &amp; E CORP</v>
          </cell>
          <cell r="D31">
            <v>20091217</v>
          </cell>
          <cell r="E31" t="str">
            <v>EPS</v>
          </cell>
          <cell r="F31" t="str">
            <v>ANN</v>
          </cell>
          <cell r="G31">
            <v>1</v>
          </cell>
          <cell r="H31">
            <v>14</v>
          </cell>
          <cell r="I31">
            <v>3.16</v>
          </cell>
          <cell r="J31">
            <v>3.16</v>
          </cell>
          <cell r="K31">
            <v>1</v>
          </cell>
          <cell r="L31">
            <v>20091231</v>
          </cell>
          <cell r="M31">
            <v>3.21</v>
          </cell>
          <cell r="N31">
            <v>20100219</v>
          </cell>
        </row>
        <row r="32">
          <cell r="A32" t="str">
            <v>EXC</v>
          </cell>
          <cell r="B32" t="str">
            <v>PE</v>
          </cell>
          <cell r="C32" t="str">
            <v>EXELON CORP</v>
          </cell>
          <cell r="D32">
            <v>20091217</v>
          </cell>
          <cell r="E32" t="str">
            <v>EPS</v>
          </cell>
          <cell r="F32" t="str">
            <v>ANN</v>
          </cell>
          <cell r="G32">
            <v>1</v>
          </cell>
          <cell r="H32">
            <v>16</v>
          </cell>
          <cell r="I32">
            <v>4.05</v>
          </cell>
          <cell r="J32">
            <v>4.04</v>
          </cell>
          <cell r="K32">
            <v>1</v>
          </cell>
          <cell r="L32">
            <v>20091231</v>
          </cell>
          <cell r="M32">
            <v>4.12</v>
          </cell>
          <cell r="N32">
            <v>20100122</v>
          </cell>
        </row>
        <row r="33">
          <cell r="A33" t="str">
            <v>PEG</v>
          </cell>
          <cell r="B33" t="str">
            <v>PEG</v>
          </cell>
          <cell r="C33" t="str">
            <v>PUB SVC ENTERS</v>
          </cell>
          <cell r="D33">
            <v>20091217</v>
          </cell>
          <cell r="E33" t="str">
            <v>EPS</v>
          </cell>
          <cell r="F33" t="str">
            <v>ANN</v>
          </cell>
          <cell r="G33">
            <v>1</v>
          </cell>
          <cell r="H33">
            <v>12</v>
          </cell>
          <cell r="I33">
            <v>3.06</v>
          </cell>
          <cell r="J33">
            <v>3.08</v>
          </cell>
          <cell r="K33">
            <v>1</v>
          </cell>
          <cell r="L33">
            <v>20091231</v>
          </cell>
          <cell r="M33">
            <v>3.12</v>
          </cell>
          <cell r="N33">
            <v>20100218</v>
          </cell>
        </row>
        <row r="34">
          <cell r="A34" t="str">
            <v>PNM</v>
          </cell>
          <cell r="B34" t="str">
            <v>PNM</v>
          </cell>
          <cell r="C34" t="str">
            <v>PNM RESOURCES</v>
          </cell>
          <cell r="D34">
            <v>20091217</v>
          </cell>
          <cell r="E34" t="str">
            <v>EPS</v>
          </cell>
          <cell r="F34" t="str">
            <v>ANN</v>
          </cell>
          <cell r="G34">
            <v>1</v>
          </cell>
          <cell r="H34">
            <v>6</v>
          </cell>
          <cell r="I34">
            <v>0.8</v>
          </cell>
          <cell r="J34">
            <v>0.81</v>
          </cell>
          <cell r="K34">
            <v>1</v>
          </cell>
          <cell r="L34">
            <v>20091231</v>
          </cell>
          <cell r="M34">
            <v>0.94</v>
          </cell>
          <cell r="N34">
            <v>20100223</v>
          </cell>
        </row>
        <row r="35">
          <cell r="A35" t="str">
            <v>POM</v>
          </cell>
          <cell r="B35" t="str">
            <v>POM</v>
          </cell>
          <cell r="C35" t="str">
            <v>PEPCO HOLDINGS</v>
          </cell>
          <cell r="D35">
            <v>20091217</v>
          </cell>
          <cell r="E35" t="str">
            <v>EPS</v>
          </cell>
          <cell r="F35" t="str">
            <v>ANN</v>
          </cell>
          <cell r="G35">
            <v>1</v>
          </cell>
          <cell r="H35">
            <v>8</v>
          </cell>
          <cell r="I35">
            <v>0.95</v>
          </cell>
          <cell r="J35">
            <v>0.97</v>
          </cell>
          <cell r="K35">
            <v>1</v>
          </cell>
          <cell r="L35">
            <v>20091231</v>
          </cell>
          <cell r="M35">
            <v>0.91</v>
          </cell>
          <cell r="N35">
            <v>20100226</v>
          </cell>
        </row>
        <row r="36">
          <cell r="A36" t="str">
            <v>POR</v>
          </cell>
          <cell r="B36" t="str">
            <v>PORO</v>
          </cell>
          <cell r="C36" t="str">
            <v>PORTLAND GENERAL</v>
          </cell>
          <cell r="D36">
            <v>20091217</v>
          </cell>
          <cell r="E36" t="str">
            <v>EPS</v>
          </cell>
          <cell r="F36" t="str">
            <v>ANN</v>
          </cell>
          <cell r="G36">
            <v>1</v>
          </cell>
          <cell r="H36">
            <v>6</v>
          </cell>
          <cell r="I36">
            <v>1.41</v>
          </cell>
          <cell r="J36">
            <v>1.42</v>
          </cell>
          <cell r="K36">
            <v>1</v>
          </cell>
          <cell r="L36">
            <v>20091231</v>
          </cell>
          <cell r="M36">
            <v>1.31</v>
          </cell>
          <cell r="N36">
            <v>20100225</v>
          </cell>
        </row>
        <row r="37">
          <cell r="A37" t="str">
            <v>PPL</v>
          </cell>
          <cell r="B37" t="str">
            <v>PPL</v>
          </cell>
          <cell r="C37" t="str">
            <v>PP&amp;L CORP</v>
          </cell>
          <cell r="D37">
            <v>20091217</v>
          </cell>
          <cell r="E37" t="str">
            <v>EPS</v>
          </cell>
          <cell r="F37" t="str">
            <v>ANN</v>
          </cell>
          <cell r="G37">
            <v>1</v>
          </cell>
          <cell r="H37">
            <v>6</v>
          </cell>
          <cell r="I37">
            <v>1.77</v>
          </cell>
          <cell r="J37">
            <v>1.79</v>
          </cell>
          <cell r="K37">
            <v>1</v>
          </cell>
          <cell r="L37">
            <v>20091231</v>
          </cell>
          <cell r="M37">
            <v>1.95</v>
          </cell>
          <cell r="N37">
            <v>20100205</v>
          </cell>
        </row>
        <row r="38">
          <cell r="A38" t="str">
            <v>EIX</v>
          </cell>
          <cell r="B38" t="str">
            <v>SCE</v>
          </cell>
          <cell r="C38" t="str">
            <v>EDISON INTL</v>
          </cell>
          <cell r="D38">
            <v>20091217</v>
          </cell>
          <cell r="E38" t="str">
            <v>EPS</v>
          </cell>
          <cell r="F38" t="str">
            <v>ANN</v>
          </cell>
          <cell r="G38">
            <v>1</v>
          </cell>
          <cell r="H38">
            <v>12</v>
          </cell>
          <cell r="I38">
            <v>3</v>
          </cell>
          <cell r="J38">
            <v>3</v>
          </cell>
          <cell r="K38">
            <v>1</v>
          </cell>
          <cell r="L38">
            <v>20091231</v>
          </cell>
          <cell r="M38">
            <v>3.25</v>
          </cell>
          <cell r="N38">
            <v>20100301</v>
          </cell>
        </row>
        <row r="39">
          <cell r="A39" t="str">
            <v>SCG</v>
          </cell>
          <cell r="B39" t="str">
            <v>SCG</v>
          </cell>
          <cell r="C39" t="str">
            <v>SCANA CP</v>
          </cell>
          <cell r="D39">
            <v>20091217</v>
          </cell>
          <cell r="E39" t="str">
            <v>EPS</v>
          </cell>
          <cell r="F39" t="str">
            <v>ANN</v>
          </cell>
          <cell r="G39">
            <v>1</v>
          </cell>
          <cell r="H39">
            <v>3</v>
          </cell>
          <cell r="I39">
            <v>2.85</v>
          </cell>
          <cell r="J39">
            <v>2.8</v>
          </cell>
          <cell r="K39">
            <v>1</v>
          </cell>
          <cell r="L39">
            <v>20091231</v>
          </cell>
          <cell r="M39">
            <v>2.85</v>
          </cell>
          <cell r="N39">
            <v>20100211</v>
          </cell>
        </row>
        <row r="40">
          <cell r="A40" t="str">
            <v>SRE</v>
          </cell>
          <cell r="B40" t="str">
            <v>SDO</v>
          </cell>
          <cell r="C40" t="str">
            <v>SEMPRA ENERGY</v>
          </cell>
          <cell r="D40">
            <v>20091217</v>
          </cell>
          <cell r="E40" t="str">
            <v>EPS</v>
          </cell>
          <cell r="F40" t="str">
            <v>ANN</v>
          </cell>
          <cell r="G40">
            <v>1</v>
          </cell>
          <cell r="H40">
            <v>6</v>
          </cell>
          <cell r="I40">
            <v>4.62</v>
          </cell>
          <cell r="J40">
            <v>4.58</v>
          </cell>
          <cell r="K40">
            <v>1</v>
          </cell>
          <cell r="L40">
            <v>20091231</v>
          </cell>
          <cell r="M40">
            <v>4.5199999999999996</v>
          </cell>
          <cell r="N40">
            <v>20100225</v>
          </cell>
        </row>
        <row r="41">
          <cell r="A41" t="str">
            <v>VVC</v>
          </cell>
          <cell r="B41" t="str">
            <v>SIG</v>
          </cell>
          <cell r="C41" t="str">
            <v>VECTREN CORP</v>
          </cell>
          <cell r="D41">
            <v>20091217</v>
          </cell>
          <cell r="E41" t="str">
            <v>EPS</v>
          </cell>
          <cell r="F41" t="str">
            <v>ANN</v>
          </cell>
          <cell r="G41">
            <v>1</v>
          </cell>
          <cell r="H41">
            <v>4</v>
          </cell>
          <cell r="I41">
            <v>1.67</v>
          </cell>
          <cell r="J41">
            <v>1.68</v>
          </cell>
          <cell r="K41">
            <v>1</v>
          </cell>
          <cell r="L41">
            <v>20091231</v>
          </cell>
          <cell r="M41">
            <v>1.8</v>
          </cell>
          <cell r="N41">
            <v>20100225</v>
          </cell>
        </row>
        <row r="42">
          <cell r="A42" t="str">
            <v>SO</v>
          </cell>
          <cell r="B42" t="str">
            <v>SO</v>
          </cell>
          <cell r="C42" t="str">
            <v>SOUTHN CO</v>
          </cell>
          <cell r="D42">
            <v>20091217</v>
          </cell>
          <cell r="E42" t="str">
            <v>EPS</v>
          </cell>
          <cell r="F42" t="str">
            <v>ANN</v>
          </cell>
          <cell r="G42">
            <v>1</v>
          </cell>
          <cell r="H42">
            <v>16</v>
          </cell>
          <cell r="I42">
            <v>2.2999999999999998</v>
          </cell>
          <cell r="J42">
            <v>2.31</v>
          </cell>
          <cell r="K42">
            <v>1</v>
          </cell>
          <cell r="L42">
            <v>20091231</v>
          </cell>
          <cell r="M42">
            <v>2.3199999999999998</v>
          </cell>
          <cell r="N42">
            <v>20100127</v>
          </cell>
        </row>
        <row r="43">
          <cell r="A43" t="str">
            <v>TE</v>
          </cell>
          <cell r="B43" t="str">
            <v>TE</v>
          </cell>
          <cell r="C43" t="str">
            <v>TECO ENERGY INC</v>
          </cell>
          <cell r="D43">
            <v>20091217</v>
          </cell>
          <cell r="E43" t="str">
            <v>EPS</v>
          </cell>
          <cell r="F43" t="str">
            <v>ANN</v>
          </cell>
          <cell r="G43">
            <v>1</v>
          </cell>
          <cell r="H43">
            <v>12</v>
          </cell>
          <cell r="I43">
            <v>1.07</v>
          </cell>
          <cell r="J43">
            <v>1.07</v>
          </cell>
          <cell r="K43">
            <v>1</v>
          </cell>
          <cell r="L43">
            <v>20091231</v>
          </cell>
          <cell r="M43">
            <v>1.08</v>
          </cell>
          <cell r="N43">
            <v>20100205</v>
          </cell>
        </row>
        <row r="44">
          <cell r="A44" t="str">
            <v>AEE</v>
          </cell>
          <cell r="B44" t="str">
            <v>UEP</v>
          </cell>
          <cell r="C44" t="str">
            <v>AMEREN CP</v>
          </cell>
          <cell r="D44">
            <v>20091217</v>
          </cell>
          <cell r="E44" t="str">
            <v>EPS</v>
          </cell>
          <cell r="F44" t="str">
            <v>ANN</v>
          </cell>
          <cell r="G44">
            <v>1</v>
          </cell>
          <cell r="H44">
            <v>4</v>
          </cell>
          <cell r="I44">
            <v>2.75</v>
          </cell>
          <cell r="J44">
            <v>2.69</v>
          </cell>
          <cell r="K44">
            <v>1</v>
          </cell>
          <cell r="L44">
            <v>20091231</v>
          </cell>
          <cell r="M44">
            <v>2.79</v>
          </cell>
          <cell r="N44">
            <v>20100218</v>
          </cell>
        </row>
        <row r="45">
          <cell r="A45" t="str">
            <v>UIL</v>
          </cell>
          <cell r="B45" t="str">
            <v>UIL</v>
          </cell>
          <cell r="C45" t="str">
            <v>UIL HOLDING CORP</v>
          </cell>
          <cell r="D45">
            <v>20091217</v>
          </cell>
          <cell r="E45" t="str">
            <v>EPS</v>
          </cell>
          <cell r="F45" t="str">
            <v>ANN</v>
          </cell>
          <cell r="G45">
            <v>1</v>
          </cell>
          <cell r="H45">
            <v>5</v>
          </cell>
          <cell r="I45">
            <v>1.95</v>
          </cell>
          <cell r="J45">
            <v>1.95</v>
          </cell>
          <cell r="K45">
            <v>1</v>
          </cell>
          <cell r="L45">
            <v>20091231</v>
          </cell>
          <cell r="M45">
            <v>1.93</v>
          </cell>
          <cell r="N45">
            <v>20100217</v>
          </cell>
        </row>
        <row r="46">
          <cell r="A46" t="str">
            <v>WEC</v>
          </cell>
          <cell r="B46" t="str">
            <v>WPC</v>
          </cell>
          <cell r="C46" t="str">
            <v>WISCONSIN ENERGY</v>
          </cell>
          <cell r="D46">
            <v>20091217</v>
          </cell>
          <cell r="E46" t="str">
            <v>EPS</v>
          </cell>
          <cell r="F46" t="str">
            <v>ANN</v>
          </cell>
          <cell r="G46">
            <v>1</v>
          </cell>
          <cell r="H46">
            <v>9</v>
          </cell>
          <cell r="I46">
            <v>1.55</v>
          </cell>
          <cell r="J46">
            <v>1.55</v>
          </cell>
          <cell r="K46">
            <v>1</v>
          </cell>
          <cell r="L46">
            <v>20091231</v>
          </cell>
          <cell r="M46">
            <v>1.6</v>
          </cell>
          <cell r="N46">
            <v>20100202</v>
          </cell>
        </row>
        <row r="47">
          <cell r="A47" t="str">
            <v>LNT</v>
          </cell>
          <cell r="B47" t="str">
            <v>WPL</v>
          </cell>
          <cell r="C47" t="str">
            <v>ALLIANT ENER</v>
          </cell>
          <cell r="D47">
            <v>20091217</v>
          </cell>
          <cell r="E47" t="str">
            <v>EPS</v>
          </cell>
          <cell r="F47" t="str">
            <v>ANN</v>
          </cell>
          <cell r="G47">
            <v>1</v>
          </cell>
          <cell r="H47">
            <v>6</v>
          </cell>
          <cell r="I47">
            <v>0.93</v>
          </cell>
          <cell r="J47">
            <v>0.93</v>
          </cell>
          <cell r="K47">
            <v>1</v>
          </cell>
          <cell r="L47">
            <v>20091231</v>
          </cell>
          <cell r="M47">
            <v>0.98</v>
          </cell>
          <cell r="N47">
            <v>20100204</v>
          </cell>
        </row>
        <row r="48">
          <cell r="A48" t="str">
            <v>AVA</v>
          </cell>
          <cell r="B48" t="str">
            <v>WWP</v>
          </cell>
          <cell r="C48" t="str">
            <v>AVISTA CORP</v>
          </cell>
          <cell r="D48">
            <v>20091217</v>
          </cell>
          <cell r="E48" t="str">
            <v>EPS</v>
          </cell>
          <cell r="F48" t="str">
            <v>ANN</v>
          </cell>
          <cell r="G48">
            <v>1</v>
          </cell>
          <cell r="H48">
            <v>5</v>
          </cell>
          <cell r="I48">
            <v>1.56</v>
          </cell>
          <cell r="J48">
            <v>1.57</v>
          </cell>
          <cell r="K48">
            <v>1</v>
          </cell>
          <cell r="L48">
            <v>20091231</v>
          </cell>
          <cell r="M48">
            <v>1.58</v>
          </cell>
          <cell r="N48">
            <v>20100218</v>
          </cell>
        </row>
        <row r="49">
          <cell r="A49" t="str">
            <v>PPL</v>
          </cell>
          <cell r="B49" t="str">
            <v>@1XJ</v>
          </cell>
          <cell r="C49" t="str">
            <v>PUMPKIN PATCH LT</v>
          </cell>
          <cell r="D49">
            <v>20091217</v>
          </cell>
          <cell r="E49" t="str">
            <v>EPS</v>
          </cell>
          <cell r="F49" t="str">
            <v>ANN</v>
          </cell>
          <cell r="G49">
            <v>1</v>
          </cell>
          <cell r="H49">
            <v>3</v>
          </cell>
          <cell r="I49">
            <v>0.151</v>
          </cell>
          <cell r="J49">
            <v>0.152</v>
          </cell>
          <cell r="K49">
            <v>0</v>
          </cell>
          <cell r="L49">
            <v>20100731</v>
          </cell>
          <cell r="M49">
            <v>0.152</v>
          </cell>
          <cell r="N49">
            <v>20100921</v>
          </cell>
        </row>
        <row r="50">
          <cell r="A50" t="str">
            <v>PPL</v>
          </cell>
          <cell r="B50" t="str">
            <v>@1Z1</v>
          </cell>
          <cell r="C50" t="str">
            <v>PPL</v>
          </cell>
          <cell r="D50">
            <v>20091217</v>
          </cell>
          <cell r="E50" t="str">
            <v>EPS</v>
          </cell>
          <cell r="F50" t="str">
            <v>ANN</v>
          </cell>
          <cell r="G50">
            <v>1</v>
          </cell>
          <cell r="H50">
            <v>2</v>
          </cell>
          <cell r="I50">
            <v>9.25</v>
          </cell>
          <cell r="J50">
            <v>9.25</v>
          </cell>
          <cell r="K50">
            <v>0</v>
          </cell>
          <cell r="L50">
            <v>20100630</v>
          </cell>
          <cell r="M50">
            <v>8.5704999999999991</v>
          </cell>
          <cell r="N50">
            <v>20100809</v>
          </cell>
        </row>
        <row r="51">
          <cell r="A51" t="str">
            <v>CNP</v>
          </cell>
          <cell r="B51" t="str">
            <v>@3QP</v>
          </cell>
          <cell r="C51" t="str">
            <v>CONAFI PRESTITO</v>
          </cell>
          <cell r="D51">
            <v>20091217</v>
          </cell>
          <cell r="E51" t="str">
            <v>EPS</v>
          </cell>
          <cell r="F51" t="str">
            <v>ANN</v>
          </cell>
          <cell r="G51">
            <v>1</v>
          </cell>
          <cell r="H51">
            <v>1</v>
          </cell>
          <cell r="I51">
            <v>-0.03</v>
          </cell>
          <cell r="J51">
            <v>-0.03</v>
          </cell>
          <cell r="K51">
            <v>0</v>
          </cell>
          <cell r="L51">
            <v>20081231</v>
          </cell>
          <cell r="M51">
            <v>-4.4999999999999998E-2</v>
          </cell>
          <cell r="N51">
            <v>20090326</v>
          </cell>
        </row>
        <row r="52">
          <cell r="A52" t="str">
            <v>IDA</v>
          </cell>
          <cell r="B52" t="str">
            <v>@5W2</v>
          </cell>
          <cell r="C52" t="str">
            <v>IDATECH PLC</v>
          </cell>
          <cell r="D52">
            <v>20091217</v>
          </cell>
          <cell r="E52" t="str">
            <v>EPS</v>
          </cell>
          <cell r="F52" t="str">
            <v>ANN</v>
          </cell>
          <cell r="G52">
            <v>1</v>
          </cell>
          <cell r="H52">
            <v>2</v>
          </cell>
          <cell r="I52">
            <v>-0.56999999999999995</v>
          </cell>
          <cell r="J52">
            <v>-0.56999999999999995</v>
          </cell>
          <cell r="K52">
            <v>0</v>
          </cell>
          <cell r="L52">
            <v>20091231</v>
          </cell>
          <cell r="M52">
            <v>-0.54500000000000004</v>
          </cell>
          <cell r="N52">
            <v>20100317</v>
          </cell>
        </row>
        <row r="53">
          <cell r="A53" t="str">
            <v>DPL</v>
          </cell>
          <cell r="B53" t="str">
            <v>@6OD</v>
          </cell>
          <cell r="C53" t="str">
            <v>DOMINION PETROLE</v>
          </cell>
          <cell r="D53">
            <v>20091217</v>
          </cell>
          <cell r="E53" t="str">
            <v>EPS</v>
          </cell>
          <cell r="F53" t="str">
            <v>ANN</v>
          </cell>
          <cell r="G53">
            <v>1</v>
          </cell>
          <cell r="H53">
            <v>1</v>
          </cell>
          <cell r="I53">
            <v>0.04</v>
          </cell>
          <cell r="J53">
            <v>0.04</v>
          </cell>
          <cell r="K53">
            <v>0</v>
          </cell>
          <cell r="L53">
            <v>20081231</v>
          </cell>
          <cell r="M53">
            <v>-4.8000000000000001E-2</v>
          </cell>
          <cell r="N53">
            <v>20090818</v>
          </cell>
        </row>
        <row r="54">
          <cell r="A54" t="str">
            <v>CNP</v>
          </cell>
          <cell r="B54" t="str">
            <v>@8PG</v>
          </cell>
          <cell r="C54" t="str">
            <v>CENTRO PROPERTIE</v>
          </cell>
          <cell r="D54">
            <v>20091217</v>
          </cell>
          <cell r="E54" t="str">
            <v>EPS</v>
          </cell>
          <cell r="F54" t="str">
            <v>ANN</v>
          </cell>
          <cell r="G54">
            <v>1</v>
          </cell>
          <cell r="H54">
            <v>1</v>
          </cell>
          <cell r="I54">
            <v>0.22900000000000001</v>
          </cell>
          <cell r="J54">
            <v>0.22900000000000001</v>
          </cell>
          <cell r="K54">
            <v>0</v>
          </cell>
          <cell r="L54">
            <v>20100630</v>
          </cell>
          <cell r="M54">
            <v>0.18099999999999999</v>
          </cell>
          <cell r="N54">
            <v>20100830</v>
          </cell>
        </row>
        <row r="55">
          <cell r="A55" t="str">
            <v>AGR</v>
          </cell>
          <cell r="B55" t="str">
            <v>@A7S</v>
          </cell>
          <cell r="C55" t="str">
            <v>AGROB IMMOBILIEN</v>
          </cell>
          <cell r="D55">
            <v>20091217</v>
          </cell>
          <cell r="E55" t="str">
            <v>EPS</v>
          </cell>
          <cell r="F55" t="str">
            <v>ANN</v>
          </cell>
          <cell r="G55">
            <v>1</v>
          </cell>
          <cell r="H55">
            <v>1</v>
          </cell>
          <cell r="I55">
            <v>0.33</v>
          </cell>
          <cell r="J55">
            <v>0.33</v>
          </cell>
          <cell r="K55">
            <v>0</v>
          </cell>
          <cell r="L55">
            <v>20081231</v>
          </cell>
        </row>
        <row r="56">
          <cell r="A56" t="str">
            <v>AGR</v>
          </cell>
          <cell r="B56" t="str">
            <v>@AR7</v>
          </cell>
          <cell r="C56" t="str">
            <v>AGRANA VZ</v>
          </cell>
          <cell r="D56">
            <v>20091217</v>
          </cell>
          <cell r="E56" t="str">
            <v>EPS</v>
          </cell>
          <cell r="F56" t="str">
            <v>ANN</v>
          </cell>
          <cell r="G56">
            <v>1</v>
          </cell>
          <cell r="H56">
            <v>3</v>
          </cell>
          <cell r="I56">
            <v>0.92</v>
          </cell>
          <cell r="J56">
            <v>0.89</v>
          </cell>
          <cell r="K56">
            <v>0</v>
          </cell>
          <cell r="L56">
            <v>20100228</v>
          </cell>
          <cell r="M56">
            <v>1.3502000000000001</v>
          </cell>
          <cell r="N56">
            <v>20100512</v>
          </cell>
        </row>
        <row r="57">
          <cell r="A57" t="str">
            <v>CNP</v>
          </cell>
          <cell r="B57" t="str">
            <v>@CN0</v>
          </cell>
          <cell r="C57" t="str">
            <v>CNP ASSURANCES</v>
          </cell>
          <cell r="D57">
            <v>20091217</v>
          </cell>
          <cell r="E57" t="str">
            <v>EPS</v>
          </cell>
          <cell r="F57" t="str">
            <v>ANN</v>
          </cell>
          <cell r="G57">
            <v>1</v>
          </cell>
          <cell r="H57">
            <v>14</v>
          </cell>
          <cell r="I57">
            <v>1.79</v>
          </cell>
          <cell r="J57">
            <v>1.81</v>
          </cell>
          <cell r="K57">
            <v>0</v>
          </cell>
          <cell r="L57">
            <v>20091231</v>
          </cell>
          <cell r="M57">
            <v>1.6898</v>
          </cell>
          <cell r="N57">
            <v>20100224</v>
          </cell>
        </row>
        <row r="58">
          <cell r="A58" t="str">
            <v>CIN</v>
          </cell>
          <cell r="B58" t="str">
            <v>@CUW</v>
          </cell>
          <cell r="C58" t="str">
            <v>CITY OF LONDON</v>
          </cell>
          <cell r="D58">
            <v>20091217</v>
          </cell>
          <cell r="E58" t="str">
            <v>EPS</v>
          </cell>
          <cell r="F58" t="str">
            <v>ANN</v>
          </cell>
          <cell r="G58">
            <v>1</v>
          </cell>
          <cell r="H58">
            <v>1</v>
          </cell>
          <cell r="I58">
            <v>117.85</v>
          </cell>
          <cell r="J58">
            <v>117.85</v>
          </cell>
          <cell r="K58">
            <v>0</v>
          </cell>
          <cell r="L58">
            <v>20100331</v>
          </cell>
          <cell r="M58">
            <v>28.267399999999999</v>
          </cell>
          <cell r="N58">
            <v>20100616</v>
          </cell>
        </row>
        <row r="59">
          <cell r="A59" t="str">
            <v>SO</v>
          </cell>
          <cell r="B59" t="str">
            <v>@DAM</v>
          </cell>
          <cell r="C59" t="str">
            <v>SOMFY</v>
          </cell>
          <cell r="D59">
            <v>20091217</v>
          </cell>
          <cell r="E59" t="str">
            <v>EPS</v>
          </cell>
          <cell r="F59" t="str">
            <v>ANN</v>
          </cell>
          <cell r="G59">
            <v>1</v>
          </cell>
          <cell r="H59">
            <v>6</v>
          </cell>
          <cell r="I59">
            <v>2.0499999999999998</v>
          </cell>
          <cell r="J59">
            <v>2.04</v>
          </cell>
          <cell r="K59">
            <v>0</v>
          </cell>
          <cell r="L59">
            <v>20091231</v>
          </cell>
          <cell r="M59">
            <v>1.9685999999999999</v>
          </cell>
          <cell r="N59">
            <v>20100225</v>
          </cell>
        </row>
        <row r="60">
          <cell r="A60" t="str">
            <v>DTE</v>
          </cell>
          <cell r="B60" t="str">
            <v>@DT</v>
          </cell>
          <cell r="C60" t="str">
            <v>DEUTSCHE TELEKOM</v>
          </cell>
          <cell r="D60">
            <v>20091217</v>
          </cell>
          <cell r="E60" t="str">
            <v>EPS</v>
          </cell>
          <cell r="F60" t="str">
            <v>ANN</v>
          </cell>
          <cell r="G60">
            <v>1</v>
          </cell>
          <cell r="H60">
            <v>36</v>
          </cell>
          <cell r="I60">
            <v>0.7</v>
          </cell>
          <cell r="J60">
            <v>0.66</v>
          </cell>
          <cell r="K60">
            <v>0</v>
          </cell>
          <cell r="L60">
            <v>20091231</v>
          </cell>
          <cell r="M60">
            <v>0.78100000000000003</v>
          </cell>
          <cell r="N60">
            <v>20100225</v>
          </cell>
        </row>
        <row r="61">
          <cell r="A61" t="str">
            <v>EDE</v>
          </cell>
          <cell r="B61" t="str">
            <v>@E2L</v>
          </cell>
          <cell r="C61" t="str">
            <v>EDEGEL</v>
          </cell>
          <cell r="D61">
            <v>20091217</v>
          </cell>
          <cell r="E61" t="str">
            <v>EPS</v>
          </cell>
          <cell r="F61" t="str">
            <v>ANN</v>
          </cell>
          <cell r="G61">
            <v>1</v>
          </cell>
          <cell r="H61">
            <v>1</v>
          </cell>
          <cell r="I61">
            <v>0.02</v>
          </cell>
          <cell r="J61">
            <v>0.02</v>
          </cell>
          <cell r="K61">
            <v>0</v>
          </cell>
          <cell r="L61">
            <v>20091231</v>
          </cell>
          <cell r="M61">
            <v>3.0700000000000002E-2</v>
          </cell>
          <cell r="N61">
            <v>20100324</v>
          </cell>
        </row>
        <row r="62">
          <cell r="A62" t="str">
            <v>CMS</v>
          </cell>
          <cell r="B62" t="str">
            <v>@HMD</v>
          </cell>
          <cell r="C62" t="str">
            <v>CAHYA MATA SARA.</v>
          </cell>
          <cell r="D62">
            <v>20091217</v>
          </cell>
          <cell r="E62" t="str">
            <v>EPS</v>
          </cell>
          <cell r="F62" t="str">
            <v>ANN</v>
          </cell>
          <cell r="G62">
            <v>1</v>
          </cell>
          <cell r="H62">
            <v>2</v>
          </cell>
          <cell r="I62">
            <v>3.6999999999999998E-2</v>
          </cell>
          <cell r="J62">
            <v>3.6999999999999998E-2</v>
          </cell>
          <cell r="K62">
            <v>0</v>
          </cell>
          <cell r="L62">
            <v>20091231</v>
          </cell>
          <cell r="M62">
            <v>6.7699999999999996E-2</v>
          </cell>
          <cell r="N62">
            <v>20100224</v>
          </cell>
        </row>
        <row r="63">
          <cell r="A63" t="str">
            <v>PGN</v>
          </cell>
          <cell r="B63" t="str">
            <v>@J5W</v>
          </cell>
          <cell r="C63" t="str">
            <v>POLISH OIL &amp; GAS</v>
          </cell>
          <cell r="D63">
            <v>20091217</v>
          </cell>
          <cell r="E63" t="str">
            <v>EPS</v>
          </cell>
          <cell r="F63" t="str">
            <v>ANN</v>
          </cell>
          <cell r="G63">
            <v>1</v>
          </cell>
          <cell r="H63">
            <v>8</v>
          </cell>
          <cell r="I63">
            <v>0.17</v>
          </cell>
          <cell r="J63">
            <v>0.17</v>
          </cell>
          <cell r="K63">
            <v>0</v>
          </cell>
          <cell r="L63">
            <v>20091231</v>
          </cell>
          <cell r="M63">
            <v>0.2</v>
          </cell>
          <cell r="N63">
            <v>20100322</v>
          </cell>
        </row>
        <row r="64">
          <cell r="A64" t="str">
            <v>NST</v>
          </cell>
          <cell r="B64" t="str">
            <v>@NST</v>
          </cell>
          <cell r="C64" t="str">
            <v>NEW STRAITS TIME</v>
          </cell>
          <cell r="D64">
            <v>20091217</v>
          </cell>
          <cell r="E64" t="str">
            <v>EPS</v>
          </cell>
          <cell r="F64" t="str">
            <v>ANN</v>
          </cell>
          <cell r="G64">
            <v>1</v>
          </cell>
          <cell r="H64">
            <v>6</v>
          </cell>
          <cell r="I64">
            <v>0.13300000000000001</v>
          </cell>
          <cell r="J64">
            <v>0.13100000000000001</v>
          </cell>
          <cell r="K64">
            <v>0</v>
          </cell>
          <cell r="L64">
            <v>20091231</v>
          </cell>
          <cell r="M64">
            <v>8.2000000000000003E-2</v>
          </cell>
          <cell r="N64">
            <v>20100224</v>
          </cell>
        </row>
        <row r="65">
          <cell r="A65" t="str">
            <v>POM</v>
          </cell>
          <cell r="B65" t="str">
            <v>@PO8</v>
          </cell>
          <cell r="C65" t="str">
            <v>PLASTIC OMNIUM S</v>
          </cell>
          <cell r="D65">
            <v>20091217</v>
          </cell>
          <cell r="E65" t="str">
            <v>EPS</v>
          </cell>
          <cell r="F65" t="str">
            <v>ANN</v>
          </cell>
          <cell r="G65">
            <v>1</v>
          </cell>
          <cell r="H65">
            <v>3</v>
          </cell>
          <cell r="I65">
            <v>0.12</v>
          </cell>
          <cell r="J65">
            <v>0.11</v>
          </cell>
          <cell r="K65">
            <v>0</v>
          </cell>
          <cell r="L65">
            <v>20091231</v>
          </cell>
          <cell r="M65">
            <v>0.17580000000000001</v>
          </cell>
          <cell r="N65">
            <v>20100318</v>
          </cell>
        </row>
        <row r="66">
          <cell r="A66" t="str">
            <v>PGN</v>
          </cell>
          <cell r="B66" t="str">
            <v>@QPA</v>
          </cell>
          <cell r="C66" t="str">
            <v>PARAGON</v>
          </cell>
          <cell r="D66">
            <v>20091217</v>
          </cell>
          <cell r="E66" t="str">
            <v>EPS</v>
          </cell>
          <cell r="F66" t="str">
            <v>ANN</v>
          </cell>
          <cell r="G66">
            <v>1</v>
          </cell>
          <cell r="H66">
            <v>2</v>
          </cell>
          <cell r="I66">
            <v>0.03</v>
          </cell>
          <cell r="J66">
            <v>0.03</v>
          </cell>
          <cell r="K66">
            <v>0</v>
          </cell>
          <cell r="L66">
            <v>20081231</v>
          </cell>
          <cell r="M66">
            <v>-2.27</v>
          </cell>
          <cell r="N66">
            <v>20090317</v>
          </cell>
        </row>
        <row r="67">
          <cell r="A67" t="str">
            <v>SO</v>
          </cell>
          <cell r="B67" t="str">
            <v>@SGF</v>
          </cell>
          <cell r="C67" t="str">
            <v>SOGEFI</v>
          </cell>
          <cell r="D67">
            <v>20091217</v>
          </cell>
          <cell r="E67" t="str">
            <v>EPS</v>
          </cell>
          <cell r="F67" t="str">
            <v>ANN</v>
          </cell>
          <cell r="G67">
            <v>1</v>
          </cell>
          <cell r="H67">
            <v>5</v>
          </cell>
          <cell r="I67">
            <v>-0.03</v>
          </cell>
          <cell r="J67">
            <v>-0.03</v>
          </cell>
          <cell r="K67">
            <v>0</v>
          </cell>
          <cell r="L67">
            <v>20091231</v>
          </cell>
          <cell r="M67">
            <v>-6.5000000000000002E-2</v>
          </cell>
          <cell r="N67">
            <v>20100223</v>
          </cell>
        </row>
        <row r="68">
          <cell r="A68" t="str">
            <v>DTE</v>
          </cell>
          <cell r="B68" t="str">
            <v>@UIU</v>
          </cell>
          <cell r="C68" t="str">
            <v>DATONG PLC</v>
          </cell>
          <cell r="D68">
            <v>20091217</v>
          </cell>
          <cell r="E68" t="str">
            <v>EPS</v>
          </cell>
          <cell r="F68" t="str">
            <v>ANN</v>
          </cell>
          <cell r="G68">
            <v>1</v>
          </cell>
          <cell r="H68">
            <v>1</v>
          </cell>
          <cell r="I68">
            <v>1.3</v>
          </cell>
          <cell r="J68">
            <v>1.3</v>
          </cell>
          <cell r="K68">
            <v>0</v>
          </cell>
          <cell r="L68">
            <v>20100331</v>
          </cell>
          <cell r="M68">
            <v>-3.4260000000000002</v>
          </cell>
          <cell r="N68">
            <v>20100615</v>
          </cell>
        </row>
        <row r="69">
          <cell r="A69" t="str">
            <v>AGR</v>
          </cell>
          <cell r="B69" t="str">
            <v>@V2M</v>
          </cell>
          <cell r="C69" t="str">
            <v>ASSURA GROUP</v>
          </cell>
          <cell r="D69">
            <v>20091217</v>
          </cell>
          <cell r="E69" t="str">
            <v>EPS</v>
          </cell>
          <cell r="F69" t="str">
            <v>ANN</v>
          </cell>
          <cell r="G69">
            <v>1</v>
          </cell>
          <cell r="H69">
            <v>1</v>
          </cell>
          <cell r="I69">
            <v>-3.2</v>
          </cell>
          <cell r="J69">
            <v>-3.2</v>
          </cell>
          <cell r="K69">
            <v>0</v>
          </cell>
          <cell r="L69">
            <v>20100331</v>
          </cell>
          <cell r="M69">
            <v>-2.0209000000000001</v>
          </cell>
          <cell r="N69">
            <v>20100629</v>
          </cell>
        </row>
        <row r="70">
          <cell r="A70" t="str">
            <v>SRE</v>
          </cell>
          <cell r="B70" t="str">
            <v>@VRU</v>
          </cell>
          <cell r="C70" t="str">
            <v>SIRIUS REAL ESTA</v>
          </cell>
          <cell r="D70">
            <v>20091217</v>
          </cell>
          <cell r="E70" t="str">
            <v>EPS</v>
          </cell>
          <cell r="F70" t="str">
            <v>ANN</v>
          </cell>
          <cell r="G70">
            <v>1</v>
          </cell>
          <cell r="H70">
            <v>1</v>
          </cell>
          <cell r="I70">
            <v>0</v>
          </cell>
          <cell r="J70">
            <v>0</v>
          </cell>
          <cell r="K70">
            <v>0</v>
          </cell>
          <cell r="L70">
            <v>20100331</v>
          </cell>
          <cell r="M70">
            <v>-9.9000000000000005E-2</v>
          </cell>
          <cell r="N70">
            <v>20100608</v>
          </cell>
        </row>
        <row r="71">
          <cell r="A71" t="str">
            <v>CMS</v>
          </cell>
          <cell r="B71" t="str">
            <v>@XJM</v>
          </cell>
          <cell r="C71" t="str">
            <v>COMMUNISIS PLC</v>
          </cell>
          <cell r="D71">
            <v>20091217</v>
          </cell>
          <cell r="E71" t="str">
            <v>EPS</v>
          </cell>
          <cell r="F71" t="str">
            <v>ANN</v>
          </cell>
          <cell r="G71">
            <v>1</v>
          </cell>
          <cell r="H71">
            <v>2</v>
          </cell>
          <cell r="I71">
            <v>2.97</v>
          </cell>
          <cell r="J71">
            <v>2.97</v>
          </cell>
          <cell r="K71">
            <v>0</v>
          </cell>
          <cell r="L71">
            <v>20091231</v>
          </cell>
          <cell r="M71">
            <v>2.2362000000000002</v>
          </cell>
          <cell r="N71">
            <v>20100225</v>
          </cell>
        </row>
        <row r="72">
          <cell r="A72" t="str">
            <v>ALE</v>
          </cell>
          <cell r="B72" t="str">
            <v>AE11</v>
          </cell>
          <cell r="C72" t="str">
            <v>ALANGE ENERGY CO</v>
          </cell>
          <cell r="D72">
            <v>20091217</v>
          </cell>
          <cell r="E72" t="str">
            <v>EPS</v>
          </cell>
          <cell r="F72" t="str">
            <v>ANN</v>
          </cell>
          <cell r="G72">
            <v>1</v>
          </cell>
          <cell r="H72">
            <v>4</v>
          </cell>
          <cell r="I72">
            <v>-0.11</v>
          </cell>
          <cell r="J72">
            <v>-0.09</v>
          </cell>
          <cell r="K72">
            <v>0</v>
          </cell>
          <cell r="L72">
            <v>20091231</v>
          </cell>
          <cell r="M72">
            <v>-0.35</v>
          </cell>
          <cell r="N72">
            <v>20100430</v>
          </cell>
        </row>
        <row r="73">
          <cell r="A73" t="str">
            <v>HE</v>
          </cell>
          <cell r="B73" t="str">
            <v>HES1</v>
          </cell>
          <cell r="C73" t="str">
            <v>HANWEI ENERGY</v>
          </cell>
          <cell r="D73">
            <v>20091217</v>
          </cell>
          <cell r="E73" t="str">
            <v>EPS</v>
          </cell>
          <cell r="F73" t="str">
            <v>ANN</v>
          </cell>
          <cell r="G73">
            <v>1</v>
          </cell>
          <cell r="H73">
            <v>3</v>
          </cell>
          <cell r="I73">
            <v>0.04</v>
          </cell>
          <cell r="J73">
            <v>0.04</v>
          </cell>
          <cell r="K73">
            <v>0</v>
          </cell>
          <cell r="L73">
            <v>20091231</v>
          </cell>
          <cell r="M73">
            <v>-0.19</v>
          </cell>
          <cell r="N73">
            <v>20100211</v>
          </cell>
        </row>
        <row r="74">
          <cell r="A74" t="str">
            <v>PSD</v>
          </cell>
          <cell r="B74" t="str">
            <v>PSD3</v>
          </cell>
          <cell r="C74" t="str">
            <v>PULSE SEISMIC IN</v>
          </cell>
          <cell r="D74">
            <v>20091217</v>
          </cell>
          <cell r="E74" t="str">
            <v>EPS</v>
          </cell>
          <cell r="F74" t="str">
            <v>ANN</v>
          </cell>
          <cell r="G74">
            <v>1</v>
          </cell>
          <cell r="H74">
            <v>2</v>
          </cell>
          <cell r="I74">
            <v>-0.1</v>
          </cell>
          <cell r="J74">
            <v>-0.1</v>
          </cell>
          <cell r="K74">
            <v>0</v>
          </cell>
          <cell r="L74">
            <v>20091231</v>
          </cell>
          <cell r="M74">
            <v>-0.05</v>
          </cell>
          <cell r="N74">
            <v>20100315</v>
          </cell>
        </row>
        <row r="75">
          <cell r="A75" t="str">
            <v>SO</v>
          </cell>
          <cell r="B75" t="str">
            <v>SOCA</v>
          </cell>
          <cell r="C75" t="str">
            <v>SOFTCHOICE CORP</v>
          </cell>
          <cell r="D75">
            <v>20091217</v>
          </cell>
          <cell r="E75" t="str">
            <v>EPS</v>
          </cell>
          <cell r="F75" t="str">
            <v>ANN</v>
          </cell>
          <cell r="G75">
            <v>1</v>
          </cell>
          <cell r="H75">
            <v>4</v>
          </cell>
          <cell r="I75">
            <v>0.63</v>
          </cell>
          <cell r="J75">
            <v>0.62</v>
          </cell>
          <cell r="K75">
            <v>0</v>
          </cell>
          <cell r="L75">
            <v>20091231</v>
          </cell>
          <cell r="M75">
            <v>0.72</v>
          </cell>
          <cell r="N75">
            <v>20100211</v>
          </cell>
        </row>
        <row r="76">
          <cell r="A76" t="str">
            <v>XEL</v>
          </cell>
          <cell r="B76" t="str">
            <v>XTE1</v>
          </cell>
          <cell r="C76" t="str">
            <v>XCITE ENERGY LTD</v>
          </cell>
          <cell r="D76">
            <v>20091217</v>
          </cell>
          <cell r="E76" t="str">
            <v>EPS</v>
          </cell>
          <cell r="F76" t="str">
            <v>ANN</v>
          </cell>
          <cell r="G76">
            <v>1</v>
          </cell>
          <cell r="H76">
            <v>1</v>
          </cell>
          <cell r="I76">
            <v>-1.17</v>
          </cell>
          <cell r="J76">
            <v>-1.17</v>
          </cell>
          <cell r="K76">
            <v>0</v>
          </cell>
          <cell r="L76">
            <v>20091231</v>
          </cell>
          <cell r="N76">
            <v>20100325</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dlalszxh3qnyqcj"/>
    </sheetNames>
    <sheetDataSet>
      <sheetData sheetId="0">
        <row r="2">
          <cell r="B2" t="str">
            <v>AGR</v>
          </cell>
          <cell r="C2" t="str">
            <v>AVANGRID</v>
          </cell>
          <cell r="D2">
            <v>44196</v>
          </cell>
          <cell r="E2" t="str">
            <v>EPS</v>
          </cell>
          <cell r="F2" t="str">
            <v>ANN</v>
          </cell>
          <cell r="G2">
            <v>44250</v>
          </cell>
          <cell r="H2">
            <v>0.67708333333333337</v>
          </cell>
          <cell r="I2">
            <v>44250</v>
          </cell>
          <cell r="J2">
            <v>0.70327546296296295</v>
          </cell>
          <cell r="K2">
            <v>2.02</v>
          </cell>
        </row>
        <row r="3">
          <cell r="B3" t="str">
            <v>PNW</v>
          </cell>
          <cell r="C3" t="str">
            <v>PINNACLE WEST</v>
          </cell>
          <cell r="D3">
            <v>44196</v>
          </cell>
          <cell r="E3" t="str">
            <v>EPS</v>
          </cell>
          <cell r="F3" t="str">
            <v>ANN</v>
          </cell>
          <cell r="G3">
            <v>44251</v>
          </cell>
          <cell r="H3">
            <v>0.35902777777777778</v>
          </cell>
          <cell r="I3">
            <v>44251</v>
          </cell>
          <cell r="J3">
            <v>0.37512731481481476</v>
          </cell>
          <cell r="K3">
            <v>4.87</v>
          </cell>
        </row>
        <row r="4">
          <cell r="B4" t="str">
            <v>BKH</v>
          </cell>
          <cell r="C4" t="str">
            <v>BLACK HILLS CP</v>
          </cell>
          <cell r="D4">
            <v>44196</v>
          </cell>
          <cell r="E4" t="str">
            <v>EPS</v>
          </cell>
          <cell r="F4" t="str">
            <v>ANN</v>
          </cell>
          <cell r="G4">
            <v>44236</v>
          </cell>
          <cell r="H4">
            <v>0.67708333333333337</v>
          </cell>
          <cell r="I4">
            <v>44236</v>
          </cell>
          <cell r="J4">
            <v>0.73916666666666675</v>
          </cell>
          <cell r="K4">
            <v>3.73</v>
          </cell>
        </row>
        <row r="5">
          <cell r="B5" t="str">
            <v>CMS</v>
          </cell>
          <cell r="C5" t="str">
            <v>CMS ENERGY</v>
          </cell>
          <cell r="D5">
            <v>44196</v>
          </cell>
          <cell r="E5" t="str">
            <v>EPS</v>
          </cell>
          <cell r="F5" t="str">
            <v>ANN</v>
          </cell>
          <cell r="G5">
            <v>44231</v>
          </cell>
          <cell r="H5">
            <v>0.33333333333333331</v>
          </cell>
          <cell r="I5">
            <v>44231</v>
          </cell>
          <cell r="J5">
            <v>0.35697916666666663</v>
          </cell>
          <cell r="K5">
            <v>2.67</v>
          </cell>
        </row>
        <row r="6">
          <cell r="B6" t="str">
            <v>D</v>
          </cell>
          <cell r="C6" t="str">
            <v>DOMINION US</v>
          </cell>
          <cell r="D6">
            <v>44196</v>
          </cell>
          <cell r="E6" t="str">
            <v>EPS</v>
          </cell>
          <cell r="F6" t="str">
            <v>ANN</v>
          </cell>
          <cell r="G6">
            <v>44239</v>
          </cell>
          <cell r="H6">
            <v>0.31874999999999998</v>
          </cell>
          <cell r="I6">
            <v>44239</v>
          </cell>
          <cell r="J6">
            <v>0.32681712962962961</v>
          </cell>
          <cell r="K6">
            <v>3.54</v>
          </cell>
        </row>
        <row r="7">
          <cell r="B7" t="str">
            <v>DTE</v>
          </cell>
          <cell r="C7" t="str">
            <v>DTE ENERGY</v>
          </cell>
          <cell r="D7">
            <v>44196</v>
          </cell>
          <cell r="E7" t="str">
            <v>EPS</v>
          </cell>
          <cell r="F7" t="str">
            <v>ANN</v>
          </cell>
          <cell r="G7">
            <v>44246</v>
          </cell>
          <cell r="H7">
            <v>0.28819444444444442</v>
          </cell>
          <cell r="I7">
            <v>44246</v>
          </cell>
          <cell r="J7">
            <v>0.32373842592592594</v>
          </cell>
          <cell r="K7">
            <v>7.19</v>
          </cell>
        </row>
        <row r="8">
          <cell r="B8" t="str">
            <v>DUK</v>
          </cell>
          <cell r="C8" t="str">
            <v>DUKE ENERGY</v>
          </cell>
          <cell r="D8">
            <v>44196</v>
          </cell>
          <cell r="E8" t="str">
            <v>EPS</v>
          </cell>
          <cell r="F8" t="str">
            <v>ANN</v>
          </cell>
          <cell r="G8">
            <v>44238</v>
          </cell>
          <cell r="H8">
            <v>0.29166666666666669</v>
          </cell>
          <cell r="I8">
            <v>44238</v>
          </cell>
          <cell r="J8">
            <v>0.33313657407407404</v>
          </cell>
          <cell r="K8">
            <v>5.12</v>
          </cell>
        </row>
        <row r="9">
          <cell r="B9" t="str">
            <v>ED</v>
          </cell>
          <cell r="C9" t="str">
            <v>CONSOLIDATED EDI</v>
          </cell>
          <cell r="D9">
            <v>44196</v>
          </cell>
          <cell r="E9" t="str">
            <v>EPS</v>
          </cell>
          <cell r="F9" t="str">
            <v>ANN</v>
          </cell>
          <cell r="G9">
            <v>44245</v>
          </cell>
          <cell r="H9">
            <v>0.7006944444444444</v>
          </cell>
          <cell r="I9">
            <v>44245</v>
          </cell>
          <cell r="J9">
            <v>0.72018518518518515</v>
          </cell>
          <cell r="K9">
            <v>4.18</v>
          </cell>
        </row>
        <row r="10">
          <cell r="B10" t="str">
            <v>NEE</v>
          </cell>
          <cell r="C10" t="str">
            <v>NEXTERA ENERGY</v>
          </cell>
          <cell r="D10">
            <v>44196</v>
          </cell>
          <cell r="E10" t="str">
            <v>EPS</v>
          </cell>
          <cell r="F10" t="str">
            <v>ANN</v>
          </cell>
          <cell r="G10">
            <v>44222</v>
          </cell>
          <cell r="H10">
            <v>0.3125</v>
          </cell>
          <cell r="I10">
            <v>44222</v>
          </cell>
          <cell r="J10">
            <v>0.33271990740740742</v>
          </cell>
          <cell r="K10">
            <v>2.31</v>
          </cell>
        </row>
        <row r="11">
          <cell r="B11" t="str">
            <v>HE</v>
          </cell>
          <cell r="C11" t="str">
            <v>HAWAIIAN ELEC</v>
          </cell>
          <cell r="D11">
            <v>44196</v>
          </cell>
          <cell r="E11" t="str">
            <v>EPS</v>
          </cell>
          <cell r="F11" t="str">
            <v>ANN</v>
          </cell>
          <cell r="G11">
            <v>44243</v>
          </cell>
          <cell r="H11">
            <v>0.25</v>
          </cell>
          <cell r="I11">
            <v>44243</v>
          </cell>
          <cell r="J11">
            <v>0.26519675925925923</v>
          </cell>
          <cell r="K11">
            <v>1.74</v>
          </cell>
        </row>
        <row r="12">
          <cell r="B12" t="str">
            <v>CNP</v>
          </cell>
          <cell r="C12" t="str">
            <v>CENTERPNT ENERGY</v>
          </cell>
          <cell r="D12">
            <v>44196</v>
          </cell>
          <cell r="E12" t="str">
            <v>EPS</v>
          </cell>
          <cell r="F12" t="str">
            <v>ANN</v>
          </cell>
          <cell r="G12">
            <v>44252</v>
          </cell>
          <cell r="H12">
            <v>0.26527777777777778</v>
          </cell>
          <cell r="I12">
            <v>44252</v>
          </cell>
          <cell r="J12">
            <v>0.28016203703703701</v>
          </cell>
          <cell r="K12">
            <v>1.4</v>
          </cell>
        </row>
        <row r="13">
          <cell r="B13" t="str">
            <v>IDA</v>
          </cell>
          <cell r="C13" t="str">
            <v>IDACORP INC.</v>
          </cell>
          <cell r="D13">
            <v>44196</v>
          </cell>
          <cell r="E13" t="str">
            <v>EPS</v>
          </cell>
          <cell r="F13" t="str">
            <v>ANN</v>
          </cell>
          <cell r="G13">
            <v>44245</v>
          </cell>
          <cell r="H13">
            <v>0.33958333333333335</v>
          </cell>
          <cell r="I13">
            <v>44245</v>
          </cell>
          <cell r="J13">
            <v>0.3566319444444444</v>
          </cell>
          <cell r="K13">
            <v>4.6900000000000004</v>
          </cell>
        </row>
        <row r="14">
          <cell r="B14" t="str">
            <v>EVRG</v>
          </cell>
          <cell r="C14" t="str">
            <v>EVERGY</v>
          </cell>
          <cell r="D14">
            <v>44196</v>
          </cell>
          <cell r="E14" t="str">
            <v>EPS</v>
          </cell>
          <cell r="F14" t="str">
            <v>ANN</v>
          </cell>
          <cell r="G14">
            <v>44253</v>
          </cell>
          <cell r="H14">
            <v>0.38263888888888886</v>
          </cell>
          <cell r="I14">
            <v>44253</v>
          </cell>
          <cell r="J14">
            <v>0.3936574074074074</v>
          </cell>
          <cell r="K14">
            <v>3.1</v>
          </cell>
        </row>
        <row r="15">
          <cell r="B15" t="str">
            <v>MGEE</v>
          </cell>
          <cell r="C15" t="str">
            <v>MGE ENERGY INC</v>
          </cell>
          <cell r="D15">
            <v>44196</v>
          </cell>
          <cell r="E15" t="str">
            <v>EPS</v>
          </cell>
          <cell r="F15" t="str">
            <v>ANN</v>
          </cell>
          <cell r="G15">
            <v>44251</v>
          </cell>
          <cell r="H15">
            <v>0.53402777777777777</v>
          </cell>
          <cell r="I15">
            <v>44251</v>
          </cell>
          <cell r="J15">
            <v>0.5766782407407407</v>
          </cell>
          <cell r="K15">
            <v>2.6</v>
          </cell>
        </row>
        <row r="16">
          <cell r="B16" t="str">
            <v>ALE</v>
          </cell>
          <cell r="C16" t="str">
            <v>ALLETE INC</v>
          </cell>
          <cell r="D16">
            <v>44196</v>
          </cell>
          <cell r="E16" t="str">
            <v>EPS</v>
          </cell>
          <cell r="F16" t="str">
            <v>ANN</v>
          </cell>
          <cell r="G16">
            <v>44244</v>
          </cell>
          <cell r="H16">
            <v>0.27083333333333331</v>
          </cell>
          <cell r="I16">
            <v>44244</v>
          </cell>
          <cell r="J16">
            <v>0.28019675925925924</v>
          </cell>
          <cell r="K16">
            <v>3.35</v>
          </cell>
        </row>
        <row r="17">
          <cell r="B17" t="str">
            <v>ETR</v>
          </cell>
          <cell r="C17" t="str">
            <v>ENTERGY</v>
          </cell>
          <cell r="D17">
            <v>44196</v>
          </cell>
          <cell r="E17" t="str">
            <v>EPS</v>
          </cell>
          <cell r="F17" t="str">
            <v>ANN</v>
          </cell>
          <cell r="G17">
            <v>44251</v>
          </cell>
          <cell r="H17">
            <v>0.27083333333333331</v>
          </cell>
          <cell r="I17">
            <v>44251</v>
          </cell>
          <cell r="J17">
            <v>0.32246527777777778</v>
          </cell>
          <cell r="K17">
            <v>5.66</v>
          </cell>
        </row>
        <row r="18">
          <cell r="B18" t="str">
            <v>XEL</v>
          </cell>
          <cell r="C18" t="str">
            <v>XCEL ENERGY</v>
          </cell>
          <cell r="D18">
            <v>44196</v>
          </cell>
          <cell r="E18" t="str">
            <v>EPS</v>
          </cell>
          <cell r="F18" t="str">
            <v>ANN</v>
          </cell>
          <cell r="G18">
            <v>44224</v>
          </cell>
          <cell r="H18">
            <v>0.25</v>
          </cell>
          <cell r="I18">
            <v>44224</v>
          </cell>
          <cell r="J18">
            <v>0.25747685185185182</v>
          </cell>
          <cell r="K18">
            <v>2.79</v>
          </cell>
        </row>
        <row r="19">
          <cell r="B19" t="str">
            <v>NWE</v>
          </cell>
          <cell r="C19" t="str">
            <v>NORTHWESTERN US</v>
          </cell>
          <cell r="D19">
            <v>44196</v>
          </cell>
          <cell r="E19" t="str">
            <v>EPS</v>
          </cell>
          <cell r="F19" t="str">
            <v>ANN</v>
          </cell>
          <cell r="G19">
            <v>44238</v>
          </cell>
          <cell r="H19">
            <v>0.75</v>
          </cell>
          <cell r="I19">
            <v>44238</v>
          </cell>
          <cell r="J19">
            <v>0.80917824074074074</v>
          </cell>
          <cell r="K19">
            <v>3.21</v>
          </cell>
        </row>
        <row r="20">
          <cell r="B20" t="str">
            <v>FE</v>
          </cell>
          <cell r="C20" t="str">
            <v>FIRSTENERGY</v>
          </cell>
          <cell r="D20">
            <v>44196</v>
          </cell>
          <cell r="E20" t="str">
            <v>EPS</v>
          </cell>
          <cell r="F20" t="str">
            <v>ANN</v>
          </cell>
          <cell r="G20">
            <v>44245</v>
          </cell>
          <cell r="H20">
            <v>0.28749999999999998</v>
          </cell>
          <cell r="I20">
            <v>44245</v>
          </cell>
          <cell r="J20">
            <v>0.304224537037037</v>
          </cell>
          <cell r="K20">
            <v>2.39</v>
          </cell>
        </row>
        <row r="21">
          <cell r="B21" t="str">
            <v>OGE</v>
          </cell>
          <cell r="C21" t="str">
            <v>OGE ENERGY CORP</v>
          </cell>
          <cell r="D21">
            <v>44196</v>
          </cell>
          <cell r="E21" t="str">
            <v>EPS</v>
          </cell>
          <cell r="F21" t="str">
            <v>ANN</v>
          </cell>
          <cell r="G21">
            <v>44252</v>
          </cell>
          <cell r="H21">
            <v>0.26180555555555557</v>
          </cell>
          <cell r="I21">
            <v>44252</v>
          </cell>
          <cell r="J21">
            <v>0.28218750000000004</v>
          </cell>
          <cell r="K21">
            <v>2.08</v>
          </cell>
        </row>
        <row r="22">
          <cell r="B22" t="str">
            <v>OTTR</v>
          </cell>
          <cell r="C22" t="str">
            <v>OTTER TAIL</v>
          </cell>
          <cell r="D22">
            <v>44196</v>
          </cell>
          <cell r="E22" t="str">
            <v>EPS</v>
          </cell>
          <cell r="F22" t="str">
            <v>ANN</v>
          </cell>
          <cell r="G22">
            <v>44242</v>
          </cell>
          <cell r="H22">
            <v>0.70277777777777772</v>
          </cell>
          <cell r="I22">
            <v>44242</v>
          </cell>
          <cell r="J22">
            <v>0.86150462962962959</v>
          </cell>
          <cell r="K22">
            <v>2.34</v>
          </cell>
        </row>
        <row r="23">
          <cell r="B23" t="str">
            <v>PCG</v>
          </cell>
          <cell r="C23" t="str">
            <v>PG&amp;E US</v>
          </cell>
          <cell r="D23">
            <v>44196</v>
          </cell>
          <cell r="E23" t="str">
            <v>EPS</v>
          </cell>
          <cell r="F23" t="str">
            <v>ANN</v>
          </cell>
          <cell r="G23">
            <v>44252</v>
          </cell>
          <cell r="H23">
            <v>0.35138888888888886</v>
          </cell>
          <cell r="I23">
            <v>44252</v>
          </cell>
          <cell r="J23">
            <v>0.35903935185185182</v>
          </cell>
          <cell r="K23">
            <v>1.61</v>
          </cell>
        </row>
        <row r="24">
          <cell r="B24" t="str">
            <v>EXC</v>
          </cell>
          <cell r="C24" t="str">
            <v>EXELON</v>
          </cell>
          <cell r="D24">
            <v>44196</v>
          </cell>
          <cell r="E24" t="str">
            <v>EPS</v>
          </cell>
          <cell r="F24" t="str">
            <v>ANN</v>
          </cell>
          <cell r="G24">
            <v>44251</v>
          </cell>
          <cell r="H24">
            <v>0.28611111111111109</v>
          </cell>
          <cell r="I24">
            <v>44251</v>
          </cell>
          <cell r="J24">
            <v>0.34850694444444447</v>
          </cell>
          <cell r="K24">
            <v>3.22</v>
          </cell>
        </row>
        <row r="25">
          <cell r="B25" t="str">
            <v>PEG</v>
          </cell>
          <cell r="C25" t="str">
            <v>PSEG</v>
          </cell>
          <cell r="D25">
            <v>44196</v>
          </cell>
          <cell r="E25" t="str">
            <v>EPS</v>
          </cell>
          <cell r="F25" t="str">
            <v>ANN</v>
          </cell>
          <cell r="G25">
            <v>44253</v>
          </cell>
          <cell r="H25">
            <v>0.38263888888888886</v>
          </cell>
          <cell r="I25">
            <v>44253</v>
          </cell>
          <cell r="J25">
            <v>0.39657407407407413</v>
          </cell>
          <cell r="K25">
            <v>3.43</v>
          </cell>
        </row>
        <row r="26">
          <cell r="B26" t="str">
            <v>PNM</v>
          </cell>
          <cell r="C26" t="str">
            <v>PNM RESOURCES</v>
          </cell>
          <cell r="D26">
            <v>44196</v>
          </cell>
          <cell r="E26" t="str">
            <v>EPS</v>
          </cell>
          <cell r="F26" t="str">
            <v>ANN</v>
          </cell>
          <cell r="G26">
            <v>44253</v>
          </cell>
          <cell r="H26">
            <v>0.27083333333333331</v>
          </cell>
          <cell r="I26">
            <v>44253</v>
          </cell>
          <cell r="J26">
            <v>0.44398148148148153</v>
          </cell>
          <cell r="K26">
            <v>2.2799999999999998</v>
          </cell>
        </row>
        <row r="27">
          <cell r="B27" t="str">
            <v>POR</v>
          </cell>
          <cell r="C27" t="str">
            <v>PORTLAND GENERAL</v>
          </cell>
          <cell r="D27">
            <v>44196</v>
          </cell>
          <cell r="E27" t="str">
            <v>EPS</v>
          </cell>
          <cell r="F27" t="str">
            <v>ANN</v>
          </cell>
          <cell r="G27">
            <v>44246</v>
          </cell>
          <cell r="H27">
            <v>0.20833333333333334</v>
          </cell>
          <cell r="I27">
            <v>44246</v>
          </cell>
          <cell r="J27">
            <v>0.25263888888888891</v>
          </cell>
          <cell r="K27">
            <v>1.72</v>
          </cell>
        </row>
        <row r="28">
          <cell r="B28" t="str">
            <v>PPL</v>
          </cell>
          <cell r="C28" t="str">
            <v>PPL</v>
          </cell>
          <cell r="D28">
            <v>44196</v>
          </cell>
          <cell r="E28" t="str">
            <v>EPS</v>
          </cell>
          <cell r="F28" t="str">
            <v>ANN</v>
          </cell>
          <cell r="G28">
            <v>44245</v>
          </cell>
          <cell r="H28">
            <v>0.33333333333333331</v>
          </cell>
          <cell r="I28">
            <v>44245</v>
          </cell>
          <cell r="J28">
            <v>0.39475694444444448</v>
          </cell>
          <cell r="K28">
            <v>2.4</v>
          </cell>
        </row>
        <row r="29">
          <cell r="B29" t="str">
            <v>EIX</v>
          </cell>
          <cell r="C29" t="str">
            <v>EDISON INTL</v>
          </cell>
          <cell r="D29">
            <v>44196</v>
          </cell>
          <cell r="E29" t="str">
            <v>EPS</v>
          </cell>
          <cell r="F29" t="str">
            <v>ANN</v>
          </cell>
          <cell r="G29">
            <v>44252</v>
          </cell>
          <cell r="H29">
            <v>0.67013888888888884</v>
          </cell>
          <cell r="I29">
            <v>44252</v>
          </cell>
          <cell r="J29">
            <v>0.71454861111111112</v>
          </cell>
          <cell r="K29">
            <v>4.5199999999999996</v>
          </cell>
        </row>
        <row r="30">
          <cell r="B30" t="str">
            <v>SRE</v>
          </cell>
          <cell r="C30" t="str">
            <v>SEMPRA USA</v>
          </cell>
          <cell r="D30">
            <v>44196</v>
          </cell>
          <cell r="E30" t="str">
            <v>EPS</v>
          </cell>
          <cell r="F30" t="str">
            <v>ANN</v>
          </cell>
          <cell r="G30">
            <v>44252</v>
          </cell>
          <cell r="H30">
            <v>0.28819444444444442</v>
          </cell>
          <cell r="I30">
            <v>44252</v>
          </cell>
          <cell r="J30">
            <v>0.31944444444444442</v>
          </cell>
          <cell r="K30">
            <v>8.0299999999999994</v>
          </cell>
        </row>
        <row r="31">
          <cell r="B31" t="str">
            <v>SO</v>
          </cell>
          <cell r="C31" t="str">
            <v>SOUTHERN CO</v>
          </cell>
          <cell r="D31">
            <v>44196</v>
          </cell>
          <cell r="E31" t="str">
            <v>EPS</v>
          </cell>
          <cell r="F31" t="str">
            <v>ANN</v>
          </cell>
          <cell r="G31">
            <v>44245</v>
          </cell>
          <cell r="H31">
            <v>0.25</v>
          </cell>
          <cell r="I31">
            <v>44245</v>
          </cell>
          <cell r="J31">
            <v>0.26861111111111113</v>
          </cell>
          <cell r="K31">
            <v>3.25</v>
          </cell>
        </row>
        <row r="32">
          <cell r="B32" t="str">
            <v>AEE</v>
          </cell>
          <cell r="C32" t="str">
            <v>AMEREN</v>
          </cell>
          <cell r="D32">
            <v>44196</v>
          </cell>
          <cell r="E32" t="str">
            <v>EPS</v>
          </cell>
          <cell r="F32" t="str">
            <v>ANN</v>
          </cell>
          <cell r="G32">
            <v>44245</v>
          </cell>
          <cell r="H32">
            <v>0.72916666666666663</v>
          </cell>
          <cell r="I32">
            <v>44245</v>
          </cell>
          <cell r="J32">
            <v>0.74378472222222214</v>
          </cell>
          <cell r="K32">
            <v>3.5</v>
          </cell>
        </row>
        <row r="33">
          <cell r="B33" t="str">
            <v>WEC</v>
          </cell>
          <cell r="C33" t="str">
            <v>WEC ENERGY GROUP</v>
          </cell>
          <cell r="D33">
            <v>44196</v>
          </cell>
          <cell r="E33" t="str">
            <v>EPS</v>
          </cell>
          <cell r="F33" t="str">
            <v>ANN</v>
          </cell>
          <cell r="G33">
            <v>44231</v>
          </cell>
          <cell r="H33">
            <v>0.29166666666666669</v>
          </cell>
          <cell r="I33">
            <v>44231</v>
          </cell>
          <cell r="J33">
            <v>0.315</v>
          </cell>
          <cell r="K33">
            <v>3.79</v>
          </cell>
        </row>
        <row r="34">
          <cell r="B34" t="str">
            <v>LNT</v>
          </cell>
          <cell r="C34" t="str">
            <v>ALLIANT ENER</v>
          </cell>
          <cell r="D34">
            <v>44196</v>
          </cell>
          <cell r="E34" t="str">
            <v>EPS</v>
          </cell>
          <cell r="F34" t="str">
            <v>ANN</v>
          </cell>
          <cell r="G34">
            <v>44245</v>
          </cell>
          <cell r="H34">
            <v>0.75277777777777777</v>
          </cell>
          <cell r="I34">
            <v>44245</v>
          </cell>
          <cell r="J34">
            <v>0.78189814814814818</v>
          </cell>
          <cell r="K34">
            <v>2.4300000000000002</v>
          </cell>
        </row>
        <row r="35">
          <cell r="B35" t="str">
            <v>AVA</v>
          </cell>
          <cell r="C35" t="str">
            <v>AVISTA US</v>
          </cell>
          <cell r="D35">
            <v>44196</v>
          </cell>
          <cell r="E35" t="str">
            <v>EPS</v>
          </cell>
          <cell r="F35" t="str">
            <v>ANN</v>
          </cell>
          <cell r="G35">
            <v>44251</v>
          </cell>
          <cell r="H35">
            <v>0.26250000000000001</v>
          </cell>
          <cell r="I35">
            <v>44251</v>
          </cell>
          <cell r="J35">
            <v>0.28357638888888892</v>
          </cell>
          <cell r="K35">
            <v>1.9</v>
          </cell>
        </row>
      </sheetData>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RDS"/>
    </sheetNames>
    <sheetDataSet>
      <sheetData sheetId="0">
        <row r="1">
          <cell r="A1" t="str">
            <v>OFTIC</v>
          </cell>
          <cell r="B1" t="str">
            <v>IBES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USFIRM=0 if from .INT file and USFIRM=1 if from .US file</v>
          </cell>
          <cell r="M1" t="str">
            <v>Forecast Period End Date (SAS Format)</v>
          </cell>
          <cell r="N1" t="str">
            <v>Actual Value, from the Detail Actuals File</v>
          </cell>
          <cell r="O1" t="str">
            <v>Announce date of the Actual, from the Detail Actuals File</v>
          </cell>
        </row>
        <row r="2">
          <cell r="A2" t="str">
            <v>PNW</v>
          </cell>
          <cell r="B2" t="str">
            <v>AZP</v>
          </cell>
          <cell r="C2" t="str">
            <v>PINNACLE WST CAP</v>
          </cell>
          <cell r="D2">
            <v>20091217</v>
          </cell>
          <cell r="E2" t="str">
            <v>EPS</v>
          </cell>
          <cell r="F2" t="str">
            <v>LTG</v>
          </cell>
          <cell r="G2">
            <v>0</v>
          </cell>
          <cell r="H2">
            <v>2</v>
          </cell>
          <cell r="I2">
            <v>8</v>
          </cell>
          <cell r="J2">
            <v>8</v>
          </cell>
          <cell r="K2">
            <v>0</v>
          </cell>
          <cell r="L2">
            <v>1</v>
          </cell>
        </row>
        <row r="3">
          <cell r="A3" t="str">
            <v>CEG</v>
          </cell>
          <cell r="B3" t="str">
            <v>BGE</v>
          </cell>
          <cell r="C3" t="str">
            <v>CONSTELLATION EN</v>
          </cell>
          <cell r="D3">
            <v>20091217</v>
          </cell>
          <cell r="E3" t="str">
            <v>EPS</v>
          </cell>
          <cell r="F3" t="str">
            <v>LTG</v>
          </cell>
          <cell r="G3">
            <v>0</v>
          </cell>
          <cell r="H3">
            <v>1</v>
          </cell>
          <cell r="I3">
            <v>14.8</v>
          </cell>
          <cell r="J3">
            <v>14.8</v>
          </cell>
          <cell r="L3">
            <v>1</v>
          </cell>
        </row>
        <row r="4">
          <cell r="A4" t="str">
            <v>NST</v>
          </cell>
          <cell r="B4" t="str">
            <v>BSE</v>
          </cell>
          <cell r="C4" t="str">
            <v>NSTAR</v>
          </cell>
          <cell r="D4">
            <v>20091217</v>
          </cell>
          <cell r="E4" t="str">
            <v>EPS</v>
          </cell>
          <cell r="F4" t="str">
            <v>LTG</v>
          </cell>
          <cell r="G4">
            <v>0</v>
          </cell>
          <cell r="H4">
            <v>3</v>
          </cell>
          <cell r="I4">
            <v>5.5</v>
          </cell>
          <cell r="J4">
            <v>5.5</v>
          </cell>
          <cell r="K4">
            <v>0.5</v>
          </cell>
          <cell r="L4">
            <v>1</v>
          </cell>
        </row>
        <row r="5">
          <cell r="A5" t="str">
            <v>CMS</v>
          </cell>
          <cell r="B5" t="str">
            <v>CMS</v>
          </cell>
          <cell r="C5" t="str">
            <v>CMS ENERGY CORP</v>
          </cell>
          <cell r="D5">
            <v>20091217</v>
          </cell>
          <cell r="E5" t="str">
            <v>EPS</v>
          </cell>
          <cell r="F5" t="str">
            <v>LTG</v>
          </cell>
          <cell r="G5">
            <v>0</v>
          </cell>
          <cell r="H5">
            <v>4</v>
          </cell>
          <cell r="I5">
            <v>5</v>
          </cell>
          <cell r="J5">
            <v>5.25</v>
          </cell>
          <cell r="K5">
            <v>1.26</v>
          </cell>
          <cell r="L5">
            <v>1</v>
          </cell>
        </row>
        <row r="6">
          <cell r="A6" t="str">
            <v>CNL</v>
          </cell>
          <cell r="B6" t="str">
            <v>CNL</v>
          </cell>
          <cell r="C6" t="str">
            <v>CLECO CORP</v>
          </cell>
          <cell r="D6">
            <v>20091217</v>
          </cell>
          <cell r="E6" t="str">
            <v>EPS</v>
          </cell>
          <cell r="F6" t="str">
            <v>LTG</v>
          </cell>
          <cell r="G6">
            <v>0</v>
          </cell>
          <cell r="H6">
            <v>1</v>
          </cell>
          <cell r="I6">
            <v>9</v>
          </cell>
          <cell r="J6">
            <v>9</v>
          </cell>
          <cell r="L6">
            <v>1</v>
          </cell>
        </row>
        <row r="7">
          <cell r="A7" t="str">
            <v>PGN</v>
          </cell>
          <cell r="B7" t="str">
            <v>CPL</v>
          </cell>
          <cell r="C7" t="str">
            <v>PROGRESS ENERGY</v>
          </cell>
          <cell r="D7">
            <v>20091217</v>
          </cell>
          <cell r="E7" t="str">
            <v>EPS</v>
          </cell>
          <cell r="F7" t="str">
            <v>LTG</v>
          </cell>
          <cell r="G7">
            <v>0</v>
          </cell>
          <cell r="H7">
            <v>6</v>
          </cell>
          <cell r="I7">
            <v>4.5</v>
          </cell>
          <cell r="J7">
            <v>4.5</v>
          </cell>
          <cell r="K7">
            <v>0.55000000000000004</v>
          </cell>
          <cell r="L7">
            <v>1</v>
          </cell>
        </row>
        <row r="8">
          <cell r="A8" t="str">
            <v>D</v>
          </cell>
          <cell r="B8" t="str">
            <v>D</v>
          </cell>
          <cell r="C8" t="str">
            <v>DOMINION RES INC</v>
          </cell>
          <cell r="D8">
            <v>20091217</v>
          </cell>
          <cell r="E8" t="str">
            <v>EPS</v>
          </cell>
          <cell r="F8" t="str">
            <v>LTG</v>
          </cell>
          <cell r="G8">
            <v>0</v>
          </cell>
          <cell r="H8">
            <v>3</v>
          </cell>
          <cell r="I8">
            <v>5</v>
          </cell>
          <cell r="J8">
            <v>5.6</v>
          </cell>
          <cell r="K8">
            <v>5.92</v>
          </cell>
          <cell r="L8">
            <v>1</v>
          </cell>
        </row>
        <row r="9">
          <cell r="A9" t="str">
            <v>DPL</v>
          </cell>
          <cell r="B9" t="str">
            <v>DPL</v>
          </cell>
          <cell r="C9" t="str">
            <v>DPL INC</v>
          </cell>
          <cell r="D9">
            <v>20091217</v>
          </cell>
          <cell r="E9" t="str">
            <v>EPS</v>
          </cell>
          <cell r="F9" t="str">
            <v>LTG</v>
          </cell>
          <cell r="G9">
            <v>0</v>
          </cell>
          <cell r="H9">
            <v>4</v>
          </cell>
          <cell r="I9">
            <v>6.65</v>
          </cell>
          <cell r="J9">
            <v>7.08</v>
          </cell>
          <cell r="K9">
            <v>6.29</v>
          </cell>
          <cell r="L9">
            <v>1</v>
          </cell>
        </row>
        <row r="10">
          <cell r="A10" t="str">
            <v>DTE</v>
          </cell>
          <cell r="B10" t="str">
            <v>DTE</v>
          </cell>
          <cell r="C10" t="str">
            <v>DTE ENERGY</v>
          </cell>
          <cell r="D10">
            <v>20091217</v>
          </cell>
          <cell r="E10" t="str">
            <v>EPS</v>
          </cell>
          <cell r="F10" t="str">
            <v>LTG</v>
          </cell>
          <cell r="G10">
            <v>0</v>
          </cell>
          <cell r="H10">
            <v>2</v>
          </cell>
          <cell r="I10">
            <v>3</v>
          </cell>
          <cell r="J10">
            <v>3</v>
          </cell>
          <cell r="K10">
            <v>2.83</v>
          </cell>
          <cell r="L10">
            <v>1</v>
          </cell>
        </row>
        <row r="11">
          <cell r="A11" t="str">
            <v>DUK</v>
          </cell>
          <cell r="B11" t="str">
            <v>DUK</v>
          </cell>
          <cell r="C11" t="str">
            <v>DUKE ENERGY CORP</v>
          </cell>
          <cell r="D11">
            <v>20091217</v>
          </cell>
          <cell r="E11" t="str">
            <v>EPS</v>
          </cell>
          <cell r="F11" t="str">
            <v>LTG</v>
          </cell>
          <cell r="G11">
            <v>0</v>
          </cell>
          <cell r="H11">
            <v>4</v>
          </cell>
          <cell r="I11">
            <v>4</v>
          </cell>
          <cell r="J11">
            <v>3.5</v>
          </cell>
          <cell r="K11">
            <v>1.73</v>
          </cell>
          <cell r="L11">
            <v>1</v>
          </cell>
        </row>
        <row r="12">
          <cell r="A12" t="str">
            <v>ED</v>
          </cell>
          <cell r="B12" t="str">
            <v>ED</v>
          </cell>
          <cell r="C12" t="str">
            <v>CONSOLIDATED EDI</v>
          </cell>
          <cell r="D12">
            <v>20091217</v>
          </cell>
          <cell r="E12" t="str">
            <v>EPS</v>
          </cell>
          <cell r="F12" t="str">
            <v>LTG</v>
          </cell>
          <cell r="G12">
            <v>0</v>
          </cell>
          <cell r="H12">
            <v>4</v>
          </cell>
          <cell r="I12">
            <v>4</v>
          </cell>
          <cell r="J12">
            <v>3.73</v>
          </cell>
          <cell r="K12">
            <v>1.23</v>
          </cell>
          <cell r="L12">
            <v>1</v>
          </cell>
        </row>
        <row r="13">
          <cell r="A13" t="str">
            <v>FPL</v>
          </cell>
          <cell r="B13" t="str">
            <v>FPL</v>
          </cell>
          <cell r="C13" t="str">
            <v>FPL GROUP</v>
          </cell>
          <cell r="D13">
            <v>20091217</v>
          </cell>
          <cell r="E13" t="str">
            <v>EPS</v>
          </cell>
          <cell r="F13" t="str">
            <v>LTG</v>
          </cell>
          <cell r="G13">
            <v>0</v>
          </cell>
          <cell r="H13">
            <v>6</v>
          </cell>
          <cell r="I13">
            <v>7.5</v>
          </cell>
          <cell r="J13">
            <v>7.88</v>
          </cell>
          <cell r="K13">
            <v>2.0099999999999998</v>
          </cell>
          <cell r="L13">
            <v>1</v>
          </cell>
        </row>
        <row r="14">
          <cell r="A14" t="str">
            <v>HE</v>
          </cell>
          <cell r="B14" t="str">
            <v>HE</v>
          </cell>
          <cell r="C14" t="str">
            <v>HAWAIIAN ELEC</v>
          </cell>
          <cell r="D14">
            <v>20091217</v>
          </cell>
          <cell r="E14" t="str">
            <v>EPS</v>
          </cell>
          <cell r="F14" t="str">
            <v>LTG</v>
          </cell>
          <cell r="G14">
            <v>0</v>
          </cell>
          <cell r="H14">
            <v>3</v>
          </cell>
          <cell r="I14">
            <v>9.1</v>
          </cell>
          <cell r="J14">
            <v>10.53</v>
          </cell>
          <cell r="K14">
            <v>8.34</v>
          </cell>
          <cell r="L14">
            <v>1</v>
          </cell>
        </row>
        <row r="15">
          <cell r="A15" t="str">
            <v>IDA</v>
          </cell>
          <cell r="B15" t="str">
            <v>IDA</v>
          </cell>
          <cell r="C15" t="str">
            <v>IDACORP INC.</v>
          </cell>
          <cell r="D15">
            <v>20091217</v>
          </cell>
          <cell r="E15" t="str">
            <v>EPS</v>
          </cell>
          <cell r="F15" t="str">
            <v>LTG</v>
          </cell>
          <cell r="G15">
            <v>0</v>
          </cell>
          <cell r="H15">
            <v>1</v>
          </cell>
          <cell r="I15">
            <v>5</v>
          </cell>
          <cell r="J15">
            <v>5</v>
          </cell>
          <cell r="L15">
            <v>1</v>
          </cell>
        </row>
        <row r="16">
          <cell r="A16" t="str">
            <v>WR</v>
          </cell>
          <cell r="B16" t="str">
            <v>KAN</v>
          </cell>
          <cell r="C16" t="str">
            <v>WESTAR ENERGY</v>
          </cell>
          <cell r="D16">
            <v>20091217</v>
          </cell>
          <cell r="E16" t="str">
            <v>EPS</v>
          </cell>
          <cell r="F16" t="str">
            <v>LTG</v>
          </cell>
          <cell r="G16">
            <v>0</v>
          </cell>
          <cell r="H16">
            <v>3</v>
          </cell>
          <cell r="I16">
            <v>3</v>
          </cell>
          <cell r="J16">
            <v>3.67</v>
          </cell>
          <cell r="K16">
            <v>2.08</v>
          </cell>
          <cell r="L16">
            <v>1</v>
          </cell>
        </row>
        <row r="17">
          <cell r="A17" t="str">
            <v>GXP</v>
          </cell>
          <cell r="B17" t="str">
            <v>KLT</v>
          </cell>
          <cell r="C17" t="str">
            <v>GREAT PLAINS</v>
          </cell>
          <cell r="D17">
            <v>20091217</v>
          </cell>
          <cell r="E17" t="str">
            <v>EPS</v>
          </cell>
          <cell r="F17" t="str">
            <v>LTG</v>
          </cell>
          <cell r="G17">
            <v>0</v>
          </cell>
          <cell r="H17">
            <v>2</v>
          </cell>
          <cell r="I17">
            <v>5</v>
          </cell>
          <cell r="J17">
            <v>5</v>
          </cell>
          <cell r="K17">
            <v>4.24</v>
          </cell>
          <cell r="L17">
            <v>1</v>
          </cell>
        </row>
        <row r="18">
          <cell r="A18" t="str">
            <v>MGEE</v>
          </cell>
          <cell r="B18" t="str">
            <v>MDSN</v>
          </cell>
          <cell r="C18" t="str">
            <v>MGE ENERGY INC</v>
          </cell>
          <cell r="D18">
            <v>20091217</v>
          </cell>
          <cell r="E18" t="str">
            <v>EPS</v>
          </cell>
          <cell r="F18" t="str">
            <v>LTG</v>
          </cell>
          <cell r="G18">
            <v>0</v>
          </cell>
          <cell r="H18">
            <v>1</v>
          </cell>
          <cell r="I18">
            <v>5</v>
          </cell>
          <cell r="J18">
            <v>5</v>
          </cell>
          <cell r="L18">
            <v>1</v>
          </cell>
        </row>
        <row r="19">
          <cell r="A19" t="str">
            <v>ALE</v>
          </cell>
          <cell r="B19" t="str">
            <v>MPL</v>
          </cell>
          <cell r="C19" t="str">
            <v>ALLETE INC</v>
          </cell>
          <cell r="D19">
            <v>20091217</v>
          </cell>
          <cell r="E19" t="str">
            <v>EPS</v>
          </cell>
          <cell r="F19" t="str">
            <v>LTG</v>
          </cell>
          <cell r="G19">
            <v>0</v>
          </cell>
          <cell r="H19">
            <v>1</v>
          </cell>
          <cell r="I19">
            <v>5</v>
          </cell>
          <cell r="J19">
            <v>5</v>
          </cell>
          <cell r="L19">
            <v>1</v>
          </cell>
        </row>
        <row r="20">
          <cell r="A20" t="str">
            <v>ETR</v>
          </cell>
          <cell r="B20" t="str">
            <v>MSU</v>
          </cell>
          <cell r="C20" t="str">
            <v>ENTERGY CP</v>
          </cell>
          <cell r="D20">
            <v>20091217</v>
          </cell>
          <cell r="E20" t="str">
            <v>EPS</v>
          </cell>
          <cell r="F20" t="str">
            <v>LTG</v>
          </cell>
          <cell r="G20">
            <v>0</v>
          </cell>
          <cell r="H20">
            <v>4</v>
          </cell>
          <cell r="I20">
            <v>5</v>
          </cell>
          <cell r="J20">
            <v>6.78</v>
          </cell>
          <cell r="K20">
            <v>5.79</v>
          </cell>
          <cell r="L20">
            <v>1</v>
          </cell>
        </row>
        <row r="21">
          <cell r="A21" t="str">
            <v>XEL</v>
          </cell>
          <cell r="B21" t="str">
            <v>NSP</v>
          </cell>
          <cell r="C21" t="str">
            <v>XCEL ENERGY INC</v>
          </cell>
          <cell r="D21">
            <v>20091217</v>
          </cell>
          <cell r="E21" t="str">
            <v>EPS</v>
          </cell>
          <cell r="F21" t="str">
            <v>LTG</v>
          </cell>
          <cell r="G21">
            <v>0</v>
          </cell>
          <cell r="H21">
            <v>6</v>
          </cell>
          <cell r="I21">
            <v>7.05</v>
          </cell>
          <cell r="J21">
            <v>7.28</v>
          </cell>
          <cell r="K21">
            <v>1.41</v>
          </cell>
          <cell r="L21">
            <v>1</v>
          </cell>
        </row>
        <row r="22">
          <cell r="A22" t="str">
            <v>NU</v>
          </cell>
          <cell r="B22" t="str">
            <v>NU</v>
          </cell>
          <cell r="C22" t="str">
            <v>NORTHEAST UTILS</v>
          </cell>
          <cell r="D22">
            <v>20091217</v>
          </cell>
          <cell r="E22" t="str">
            <v>EPS</v>
          </cell>
          <cell r="F22" t="str">
            <v>LTG</v>
          </cell>
          <cell r="G22">
            <v>0</v>
          </cell>
          <cell r="H22">
            <v>5</v>
          </cell>
          <cell r="I22">
            <v>9</v>
          </cell>
          <cell r="J22">
            <v>9.34</v>
          </cell>
          <cell r="K22">
            <v>1.65</v>
          </cell>
          <cell r="L22">
            <v>1</v>
          </cell>
        </row>
        <row r="23">
          <cell r="A23" t="str">
            <v>NWE</v>
          </cell>
          <cell r="B23" t="str">
            <v>NWPS</v>
          </cell>
          <cell r="C23" t="str">
            <v>NORTHWESTERN CP</v>
          </cell>
          <cell r="D23">
            <v>20091217</v>
          </cell>
          <cell r="E23" t="str">
            <v>EPS</v>
          </cell>
          <cell r="F23" t="str">
            <v>LTG</v>
          </cell>
          <cell r="G23">
            <v>0</v>
          </cell>
          <cell r="H23">
            <v>3</v>
          </cell>
          <cell r="I23">
            <v>7</v>
          </cell>
          <cell r="J23">
            <v>7</v>
          </cell>
          <cell r="K23">
            <v>0</v>
          </cell>
          <cell r="L23">
            <v>1</v>
          </cell>
        </row>
        <row r="24">
          <cell r="A24" t="str">
            <v>FE</v>
          </cell>
          <cell r="B24" t="str">
            <v>OEC</v>
          </cell>
          <cell r="C24" t="str">
            <v>FIRSTENERGY CORP</v>
          </cell>
          <cell r="D24">
            <v>20091217</v>
          </cell>
          <cell r="E24" t="str">
            <v>EPS</v>
          </cell>
          <cell r="F24" t="str">
            <v>LTG</v>
          </cell>
          <cell r="G24">
            <v>0</v>
          </cell>
          <cell r="H24">
            <v>3</v>
          </cell>
          <cell r="I24">
            <v>3</v>
          </cell>
          <cell r="J24">
            <v>3.33</v>
          </cell>
          <cell r="K24">
            <v>2.52</v>
          </cell>
          <cell r="L24">
            <v>1</v>
          </cell>
        </row>
        <row r="25">
          <cell r="A25" t="str">
            <v>OGE</v>
          </cell>
          <cell r="B25" t="str">
            <v>OGE</v>
          </cell>
          <cell r="C25" t="str">
            <v>OGE ENERGY CORP</v>
          </cell>
          <cell r="D25">
            <v>20091217</v>
          </cell>
          <cell r="E25" t="str">
            <v>EPS</v>
          </cell>
          <cell r="F25" t="str">
            <v>LTG</v>
          </cell>
          <cell r="G25">
            <v>0</v>
          </cell>
          <cell r="H25">
            <v>1</v>
          </cell>
          <cell r="I25">
            <v>6</v>
          </cell>
          <cell r="J25">
            <v>6</v>
          </cell>
          <cell r="L25">
            <v>1</v>
          </cell>
        </row>
        <row r="26">
          <cell r="A26" t="str">
            <v>OTTR</v>
          </cell>
          <cell r="B26" t="str">
            <v>OTTR</v>
          </cell>
          <cell r="C26" t="str">
            <v>OTTER TAIL CORP.</v>
          </cell>
          <cell r="D26">
            <v>20091217</v>
          </cell>
          <cell r="E26" t="str">
            <v>EPS</v>
          </cell>
          <cell r="F26" t="str">
            <v>LTG</v>
          </cell>
          <cell r="G26">
            <v>0</v>
          </cell>
          <cell r="H26">
            <v>1</v>
          </cell>
          <cell r="I26">
            <v>0.4</v>
          </cell>
          <cell r="J26">
            <v>0.4</v>
          </cell>
          <cell r="L26">
            <v>1</v>
          </cell>
        </row>
        <row r="27">
          <cell r="A27" t="str">
            <v>PCG</v>
          </cell>
          <cell r="B27" t="str">
            <v>PCG</v>
          </cell>
          <cell r="C27" t="str">
            <v>P G &amp; E CORP</v>
          </cell>
          <cell r="D27">
            <v>20091217</v>
          </cell>
          <cell r="E27" t="str">
            <v>EPS</v>
          </cell>
          <cell r="F27" t="str">
            <v>LTG</v>
          </cell>
          <cell r="G27">
            <v>0</v>
          </cell>
          <cell r="H27">
            <v>4</v>
          </cell>
          <cell r="I27">
            <v>7.32</v>
          </cell>
          <cell r="J27">
            <v>7.16</v>
          </cell>
          <cell r="K27">
            <v>0.88</v>
          </cell>
          <cell r="L27">
            <v>1</v>
          </cell>
        </row>
        <row r="28">
          <cell r="A28" t="str">
            <v>EXC</v>
          </cell>
          <cell r="B28" t="str">
            <v>PE</v>
          </cell>
          <cell r="C28" t="str">
            <v>EXELON CORP</v>
          </cell>
          <cell r="D28">
            <v>20091217</v>
          </cell>
          <cell r="E28" t="str">
            <v>EPS</v>
          </cell>
          <cell r="F28" t="str">
            <v>LTG</v>
          </cell>
          <cell r="G28">
            <v>0</v>
          </cell>
          <cell r="H28">
            <v>4</v>
          </cell>
          <cell r="I28">
            <v>1</v>
          </cell>
          <cell r="J28">
            <v>2.2000000000000002</v>
          </cell>
          <cell r="K28">
            <v>6.41</v>
          </cell>
          <cell r="L28">
            <v>1</v>
          </cell>
        </row>
        <row r="29">
          <cell r="A29" t="str">
            <v>PEG</v>
          </cell>
          <cell r="B29" t="str">
            <v>PEG</v>
          </cell>
          <cell r="C29" t="str">
            <v>PUB SVC ENTERS</v>
          </cell>
          <cell r="D29">
            <v>20091217</v>
          </cell>
          <cell r="E29" t="str">
            <v>EPS</v>
          </cell>
          <cell r="F29" t="str">
            <v>LTG</v>
          </cell>
          <cell r="G29">
            <v>0</v>
          </cell>
          <cell r="H29">
            <v>3</v>
          </cell>
          <cell r="I29">
            <v>4</v>
          </cell>
          <cell r="J29">
            <v>5.33</v>
          </cell>
          <cell r="K29">
            <v>3.21</v>
          </cell>
          <cell r="L29">
            <v>1</v>
          </cell>
        </row>
        <row r="30">
          <cell r="A30" t="str">
            <v>PNM</v>
          </cell>
          <cell r="B30" t="str">
            <v>PNM</v>
          </cell>
          <cell r="C30" t="str">
            <v>PNM RESOURCES</v>
          </cell>
          <cell r="D30">
            <v>20091217</v>
          </cell>
          <cell r="E30" t="str">
            <v>EPS</v>
          </cell>
          <cell r="F30" t="str">
            <v>LTG</v>
          </cell>
          <cell r="G30">
            <v>0</v>
          </cell>
          <cell r="H30">
            <v>2</v>
          </cell>
          <cell r="I30">
            <v>7</v>
          </cell>
          <cell r="J30">
            <v>7</v>
          </cell>
          <cell r="K30">
            <v>25.46</v>
          </cell>
          <cell r="L30">
            <v>1</v>
          </cell>
        </row>
        <row r="31">
          <cell r="A31" t="str">
            <v>POM</v>
          </cell>
          <cell r="B31" t="str">
            <v>POM</v>
          </cell>
          <cell r="C31" t="str">
            <v>PEPCO HOLDINGS</v>
          </cell>
          <cell r="D31">
            <v>20091217</v>
          </cell>
          <cell r="E31" t="str">
            <v>EPS</v>
          </cell>
          <cell r="F31" t="str">
            <v>LTG</v>
          </cell>
          <cell r="G31">
            <v>0</v>
          </cell>
          <cell r="H31">
            <v>2</v>
          </cell>
          <cell r="I31">
            <v>5.5</v>
          </cell>
          <cell r="J31">
            <v>5.5</v>
          </cell>
          <cell r="K31">
            <v>4.95</v>
          </cell>
          <cell r="L31">
            <v>1</v>
          </cell>
        </row>
        <row r="32">
          <cell r="A32" t="str">
            <v>POR</v>
          </cell>
          <cell r="B32" t="str">
            <v>PORO</v>
          </cell>
          <cell r="C32" t="str">
            <v>PORTLAND GENERAL</v>
          </cell>
          <cell r="D32">
            <v>20091217</v>
          </cell>
          <cell r="E32" t="str">
            <v>EPS</v>
          </cell>
          <cell r="F32" t="str">
            <v>LTG</v>
          </cell>
          <cell r="G32">
            <v>0</v>
          </cell>
          <cell r="H32">
            <v>4</v>
          </cell>
          <cell r="I32">
            <v>6.5</v>
          </cell>
          <cell r="J32">
            <v>7</v>
          </cell>
          <cell r="K32">
            <v>2.94</v>
          </cell>
          <cell r="L32">
            <v>1</v>
          </cell>
        </row>
        <row r="33">
          <cell r="A33" t="str">
            <v>PPL</v>
          </cell>
          <cell r="B33" t="str">
            <v>PPL</v>
          </cell>
          <cell r="C33" t="str">
            <v>PP&amp;L CORP</v>
          </cell>
          <cell r="D33">
            <v>20091217</v>
          </cell>
          <cell r="E33" t="str">
            <v>EPS</v>
          </cell>
          <cell r="F33" t="str">
            <v>LTG</v>
          </cell>
          <cell r="G33">
            <v>0</v>
          </cell>
          <cell r="H33">
            <v>2</v>
          </cell>
          <cell r="I33">
            <v>11.45</v>
          </cell>
          <cell r="J33">
            <v>11.45</v>
          </cell>
          <cell r="K33">
            <v>2.0499999999999998</v>
          </cell>
          <cell r="L33">
            <v>1</v>
          </cell>
        </row>
        <row r="34">
          <cell r="A34" t="str">
            <v>EIX</v>
          </cell>
          <cell r="B34" t="str">
            <v>SCE</v>
          </cell>
          <cell r="C34" t="str">
            <v>EDISON INTL</v>
          </cell>
          <cell r="D34">
            <v>20091217</v>
          </cell>
          <cell r="E34" t="str">
            <v>EPS</v>
          </cell>
          <cell r="F34" t="str">
            <v>LTG</v>
          </cell>
          <cell r="G34">
            <v>0</v>
          </cell>
          <cell r="H34">
            <v>3</v>
          </cell>
          <cell r="I34">
            <v>1</v>
          </cell>
          <cell r="J34">
            <v>1.03</v>
          </cell>
          <cell r="K34">
            <v>3.95</v>
          </cell>
          <cell r="L34">
            <v>1</v>
          </cell>
        </row>
        <row r="35">
          <cell r="A35" t="str">
            <v>SCG</v>
          </cell>
          <cell r="B35" t="str">
            <v>SCG</v>
          </cell>
          <cell r="C35" t="str">
            <v>SCANA CP</v>
          </cell>
          <cell r="D35">
            <v>20091217</v>
          </cell>
          <cell r="E35" t="str">
            <v>EPS</v>
          </cell>
          <cell r="F35" t="str">
            <v>LTG</v>
          </cell>
          <cell r="G35">
            <v>0</v>
          </cell>
          <cell r="H35">
            <v>4</v>
          </cell>
          <cell r="I35">
            <v>5.5</v>
          </cell>
          <cell r="J35">
            <v>5.8</v>
          </cell>
          <cell r="K35">
            <v>1.05</v>
          </cell>
          <cell r="L35">
            <v>1</v>
          </cell>
        </row>
        <row r="36">
          <cell r="A36" t="str">
            <v>SRE</v>
          </cell>
          <cell r="B36" t="str">
            <v>SDO</v>
          </cell>
          <cell r="C36" t="str">
            <v>SEMPRA ENERGY</v>
          </cell>
          <cell r="D36">
            <v>20091217</v>
          </cell>
          <cell r="E36" t="str">
            <v>EPS</v>
          </cell>
          <cell r="F36" t="str">
            <v>LTG</v>
          </cell>
          <cell r="G36">
            <v>0</v>
          </cell>
          <cell r="H36">
            <v>2</v>
          </cell>
          <cell r="I36">
            <v>7</v>
          </cell>
          <cell r="J36">
            <v>7</v>
          </cell>
          <cell r="K36">
            <v>0</v>
          </cell>
          <cell r="L36">
            <v>1</v>
          </cell>
        </row>
        <row r="37">
          <cell r="A37" t="str">
            <v>VVC</v>
          </cell>
          <cell r="B37" t="str">
            <v>SIG</v>
          </cell>
          <cell r="C37" t="str">
            <v>VECTREN CORP</v>
          </cell>
          <cell r="D37">
            <v>20091217</v>
          </cell>
          <cell r="E37" t="str">
            <v>EPS</v>
          </cell>
          <cell r="F37" t="str">
            <v>LTG</v>
          </cell>
          <cell r="G37">
            <v>0</v>
          </cell>
          <cell r="H37">
            <v>2</v>
          </cell>
          <cell r="I37">
            <v>6.45</v>
          </cell>
          <cell r="J37">
            <v>6.45</v>
          </cell>
          <cell r="K37">
            <v>3.46</v>
          </cell>
          <cell r="L37">
            <v>1</v>
          </cell>
        </row>
        <row r="38">
          <cell r="A38" t="str">
            <v>SO</v>
          </cell>
          <cell r="B38" t="str">
            <v>SO</v>
          </cell>
          <cell r="C38" t="str">
            <v>SOUTHN CO</v>
          </cell>
          <cell r="D38">
            <v>20091217</v>
          </cell>
          <cell r="E38" t="str">
            <v>EPS</v>
          </cell>
          <cell r="F38" t="str">
            <v>LTG</v>
          </cell>
          <cell r="G38">
            <v>0</v>
          </cell>
          <cell r="H38">
            <v>6</v>
          </cell>
          <cell r="I38">
            <v>4.1500000000000004</v>
          </cell>
          <cell r="J38">
            <v>4.5199999999999996</v>
          </cell>
          <cell r="K38">
            <v>1.1599999999999999</v>
          </cell>
          <cell r="L38">
            <v>1</v>
          </cell>
        </row>
        <row r="39">
          <cell r="A39" t="str">
            <v>TE</v>
          </cell>
          <cell r="B39" t="str">
            <v>TE</v>
          </cell>
          <cell r="C39" t="str">
            <v>TECO ENERGY INC</v>
          </cell>
          <cell r="D39">
            <v>20091217</v>
          </cell>
          <cell r="E39" t="str">
            <v>EPS</v>
          </cell>
          <cell r="F39" t="str">
            <v>LTG</v>
          </cell>
          <cell r="G39">
            <v>0</v>
          </cell>
          <cell r="H39">
            <v>4</v>
          </cell>
          <cell r="I39">
            <v>7.5</v>
          </cell>
          <cell r="J39">
            <v>10.78</v>
          </cell>
          <cell r="K39">
            <v>9.26</v>
          </cell>
          <cell r="L39">
            <v>1</v>
          </cell>
        </row>
        <row r="40">
          <cell r="A40" t="str">
            <v>AEE</v>
          </cell>
          <cell r="B40" t="str">
            <v>UEP</v>
          </cell>
          <cell r="C40" t="str">
            <v>AMEREN CP</v>
          </cell>
          <cell r="D40">
            <v>20091217</v>
          </cell>
          <cell r="E40" t="str">
            <v>EPS</v>
          </cell>
          <cell r="F40" t="str">
            <v>LTG</v>
          </cell>
          <cell r="G40">
            <v>0</v>
          </cell>
          <cell r="H40">
            <v>1</v>
          </cell>
          <cell r="I40">
            <v>3</v>
          </cell>
          <cell r="J40">
            <v>3</v>
          </cell>
          <cell r="L40">
            <v>1</v>
          </cell>
        </row>
        <row r="41">
          <cell r="A41" t="str">
            <v>UIL</v>
          </cell>
          <cell r="B41" t="str">
            <v>UIL</v>
          </cell>
          <cell r="C41" t="str">
            <v>UIL HOLDING CORP</v>
          </cell>
          <cell r="D41">
            <v>20091217</v>
          </cell>
          <cell r="E41" t="str">
            <v>EPS</v>
          </cell>
          <cell r="F41" t="str">
            <v>LTG</v>
          </cell>
          <cell r="G41">
            <v>0</v>
          </cell>
          <cell r="H41">
            <v>3</v>
          </cell>
          <cell r="I41">
            <v>4.4000000000000004</v>
          </cell>
          <cell r="J41">
            <v>4.47</v>
          </cell>
          <cell r="K41">
            <v>0.5</v>
          </cell>
          <cell r="L41">
            <v>1</v>
          </cell>
        </row>
        <row r="42">
          <cell r="A42" t="str">
            <v>WEC</v>
          </cell>
          <cell r="B42" t="str">
            <v>WPC</v>
          </cell>
          <cell r="C42" t="str">
            <v>WISCONSIN ENERGY</v>
          </cell>
          <cell r="D42">
            <v>20091217</v>
          </cell>
          <cell r="E42" t="str">
            <v>EPS</v>
          </cell>
          <cell r="F42" t="str">
            <v>LTG</v>
          </cell>
          <cell r="G42">
            <v>0</v>
          </cell>
          <cell r="H42">
            <v>4</v>
          </cell>
          <cell r="I42">
            <v>10</v>
          </cell>
          <cell r="J42">
            <v>9.9</v>
          </cell>
          <cell r="K42">
            <v>0.66</v>
          </cell>
          <cell r="L42">
            <v>1</v>
          </cell>
        </row>
        <row r="43">
          <cell r="A43" t="str">
            <v>LNT</v>
          </cell>
          <cell r="B43" t="str">
            <v>WPL</v>
          </cell>
          <cell r="C43" t="str">
            <v>ALLIANT ENER</v>
          </cell>
          <cell r="D43">
            <v>20091217</v>
          </cell>
          <cell r="E43" t="str">
            <v>EPS</v>
          </cell>
          <cell r="F43" t="str">
            <v>LTG</v>
          </cell>
          <cell r="G43">
            <v>0</v>
          </cell>
          <cell r="H43">
            <v>3</v>
          </cell>
          <cell r="I43">
            <v>4</v>
          </cell>
          <cell r="J43">
            <v>4.3</v>
          </cell>
          <cell r="K43">
            <v>2.46</v>
          </cell>
          <cell r="L43">
            <v>1</v>
          </cell>
        </row>
        <row r="44">
          <cell r="A44" t="str">
            <v>AVA</v>
          </cell>
          <cell r="B44" t="str">
            <v>WWP</v>
          </cell>
          <cell r="C44" t="str">
            <v>AVISTA CORP</v>
          </cell>
          <cell r="D44">
            <v>20091217</v>
          </cell>
          <cell r="E44" t="str">
            <v>EPS</v>
          </cell>
          <cell r="F44" t="str">
            <v>LTG</v>
          </cell>
          <cell r="G44">
            <v>0</v>
          </cell>
          <cell r="H44">
            <v>1</v>
          </cell>
          <cell r="I44">
            <v>5</v>
          </cell>
          <cell r="J44">
            <v>5</v>
          </cell>
          <cell r="L44">
            <v>1</v>
          </cell>
        </row>
        <row r="45">
          <cell r="A45" t="str">
            <v>PPL</v>
          </cell>
          <cell r="B45" t="str">
            <v>@1XJ</v>
          </cell>
          <cell r="C45" t="str">
            <v>PUMPKIN PATCH LT</v>
          </cell>
          <cell r="D45">
            <v>20091217</v>
          </cell>
          <cell r="E45" t="str">
            <v>EPS</v>
          </cell>
          <cell r="F45" t="str">
            <v>LTG</v>
          </cell>
          <cell r="G45">
            <v>0</v>
          </cell>
          <cell r="H45">
            <v>1</v>
          </cell>
          <cell r="I45">
            <v>17</v>
          </cell>
          <cell r="J45">
            <v>17</v>
          </cell>
          <cell r="L45">
            <v>0</v>
          </cell>
        </row>
        <row r="46">
          <cell r="A46" t="str">
            <v>PPL</v>
          </cell>
          <cell r="B46" t="str">
            <v>@1Z1</v>
          </cell>
          <cell r="C46" t="str">
            <v>PPL</v>
          </cell>
          <cell r="D46">
            <v>20091217</v>
          </cell>
          <cell r="E46" t="str">
            <v>EPS</v>
          </cell>
          <cell r="F46" t="str">
            <v>LTG</v>
          </cell>
          <cell r="G46">
            <v>0</v>
          </cell>
          <cell r="H46">
            <v>1</v>
          </cell>
          <cell r="I46">
            <v>19.760000000000002</v>
          </cell>
          <cell r="J46">
            <v>19.760000000000002</v>
          </cell>
          <cell r="L46">
            <v>0</v>
          </cell>
        </row>
        <row r="47">
          <cell r="A47" t="str">
            <v>CNP</v>
          </cell>
          <cell r="B47" t="str">
            <v>@CN0</v>
          </cell>
          <cell r="C47" t="str">
            <v>CNP ASSURANCES</v>
          </cell>
          <cell r="D47">
            <v>20091217</v>
          </cell>
          <cell r="E47" t="str">
            <v>EPS</v>
          </cell>
          <cell r="F47" t="str">
            <v>LTG</v>
          </cell>
          <cell r="G47">
            <v>0</v>
          </cell>
          <cell r="H47">
            <v>2</v>
          </cell>
          <cell r="I47">
            <v>22.7</v>
          </cell>
          <cell r="J47">
            <v>22.7</v>
          </cell>
          <cell r="K47">
            <v>3.25</v>
          </cell>
          <cell r="L47">
            <v>0</v>
          </cell>
        </row>
        <row r="48">
          <cell r="A48" t="str">
            <v>SO</v>
          </cell>
          <cell r="B48" t="str">
            <v>@DAM</v>
          </cell>
          <cell r="C48" t="str">
            <v>SOMFY</v>
          </cell>
          <cell r="D48">
            <v>20091217</v>
          </cell>
          <cell r="E48" t="str">
            <v>EPS</v>
          </cell>
          <cell r="F48" t="str">
            <v>LTG</v>
          </cell>
          <cell r="G48">
            <v>0</v>
          </cell>
          <cell r="H48">
            <v>2</v>
          </cell>
          <cell r="I48">
            <v>3.5</v>
          </cell>
          <cell r="J48">
            <v>3.5</v>
          </cell>
          <cell r="K48">
            <v>0.85</v>
          </cell>
          <cell r="L48">
            <v>0</v>
          </cell>
        </row>
        <row r="49">
          <cell r="A49" t="str">
            <v>DTE</v>
          </cell>
          <cell r="B49" t="str">
            <v>@DT</v>
          </cell>
          <cell r="C49" t="str">
            <v>DEUTSCHE TELEKOM</v>
          </cell>
          <cell r="D49">
            <v>20091217</v>
          </cell>
          <cell r="E49" t="str">
            <v>EPS</v>
          </cell>
          <cell r="F49" t="str">
            <v>LTG</v>
          </cell>
          <cell r="G49">
            <v>0</v>
          </cell>
          <cell r="H49">
            <v>13</v>
          </cell>
          <cell r="I49">
            <v>0.4</v>
          </cell>
          <cell r="J49">
            <v>0.47</v>
          </cell>
          <cell r="K49">
            <v>7.18</v>
          </cell>
          <cell r="L49">
            <v>0</v>
          </cell>
        </row>
        <row r="50">
          <cell r="A50" t="str">
            <v>NST</v>
          </cell>
          <cell r="B50" t="str">
            <v>@NST</v>
          </cell>
          <cell r="C50" t="str">
            <v>NEW STRAITS TIME</v>
          </cell>
          <cell r="D50">
            <v>20091217</v>
          </cell>
          <cell r="E50" t="str">
            <v>EPS</v>
          </cell>
          <cell r="F50" t="str">
            <v>LTG</v>
          </cell>
          <cell r="G50">
            <v>0</v>
          </cell>
          <cell r="H50">
            <v>1</v>
          </cell>
          <cell r="I50">
            <v>8.6</v>
          </cell>
          <cell r="J50">
            <v>8.6</v>
          </cell>
          <cell r="L50">
            <v>0</v>
          </cell>
        </row>
        <row r="51">
          <cell r="A51" t="str">
            <v>SO</v>
          </cell>
          <cell r="B51" t="str">
            <v>@SGF</v>
          </cell>
          <cell r="C51" t="str">
            <v>SOGEFI</v>
          </cell>
          <cell r="D51">
            <v>20091217</v>
          </cell>
          <cell r="E51" t="str">
            <v>EPS</v>
          </cell>
          <cell r="F51" t="str">
            <v>LTG</v>
          </cell>
          <cell r="G51">
            <v>0</v>
          </cell>
          <cell r="H51">
            <v>2</v>
          </cell>
          <cell r="I51">
            <v>28.05</v>
          </cell>
          <cell r="J51">
            <v>28.05</v>
          </cell>
          <cell r="K51">
            <v>39.53</v>
          </cell>
          <cell r="L51">
            <v>0</v>
          </cell>
        </row>
      </sheetData>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RDS"/>
    </sheetNames>
    <sheetDataSet>
      <sheetData sheetId="0">
        <row r="1">
          <cell r="B1" t="str">
            <v>Official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Forecast Period End Date (SAS Format)</v>
          </cell>
          <cell r="M1" t="str">
            <v>Actual Value, from the Detail Actuals File</v>
          </cell>
          <cell r="N1" t="str">
            <v>Announce date of the Actual, from the Detail Actuals File</v>
          </cell>
        </row>
        <row r="2">
          <cell r="B2" t="str">
            <v>CPK</v>
          </cell>
          <cell r="C2" t="str">
            <v>CHESAPEAKE UTIL</v>
          </cell>
          <cell r="D2">
            <v>20091217</v>
          </cell>
          <cell r="E2" t="str">
            <v>EPS</v>
          </cell>
          <cell r="F2" t="str">
            <v>ANN</v>
          </cell>
          <cell r="G2">
            <v>1</v>
          </cell>
          <cell r="H2">
            <v>2</v>
          </cell>
          <cell r="I2">
            <v>1.35</v>
          </cell>
          <cell r="J2">
            <v>1.35</v>
          </cell>
          <cell r="K2">
            <v>0.05</v>
          </cell>
          <cell r="L2">
            <v>20091231</v>
          </cell>
          <cell r="M2">
            <v>1.4333</v>
          </cell>
          <cell r="N2">
            <v>20100305</v>
          </cell>
        </row>
        <row r="3">
          <cell r="B3" t="str">
            <v>ATO</v>
          </cell>
          <cell r="C3" t="str">
            <v>ATMOS ENERGY CP</v>
          </cell>
          <cell r="D3">
            <v>20091217</v>
          </cell>
          <cell r="E3" t="str">
            <v>EPS</v>
          </cell>
          <cell r="F3" t="str">
            <v>ANN</v>
          </cell>
          <cell r="G3">
            <v>1</v>
          </cell>
          <cell r="H3">
            <v>8</v>
          </cell>
          <cell r="I3">
            <v>2.19</v>
          </cell>
          <cell r="J3">
            <v>2.19</v>
          </cell>
          <cell r="K3">
            <v>0.04</v>
          </cell>
          <cell r="L3">
            <v>20100930</v>
          </cell>
          <cell r="M3">
            <v>2.25</v>
          </cell>
          <cell r="N3">
            <v>20101103</v>
          </cell>
        </row>
        <row r="4">
          <cell r="B4" t="str">
            <v>GAS</v>
          </cell>
          <cell r="C4" t="str">
            <v>NICOR INC</v>
          </cell>
          <cell r="D4">
            <v>20091217</v>
          </cell>
          <cell r="E4" t="str">
            <v>EPS</v>
          </cell>
          <cell r="F4" t="str">
            <v>ANN</v>
          </cell>
          <cell r="G4">
            <v>1</v>
          </cell>
          <cell r="H4">
            <v>1</v>
          </cell>
          <cell r="I4">
            <v>2.75</v>
          </cell>
          <cell r="J4">
            <v>2.75</v>
          </cell>
          <cell r="L4">
            <v>20091231</v>
          </cell>
          <cell r="M4">
            <v>2.98</v>
          </cell>
          <cell r="N4">
            <v>20100224</v>
          </cell>
        </row>
        <row r="5">
          <cell r="B5" t="str">
            <v>LG</v>
          </cell>
          <cell r="C5" t="str">
            <v>LACLEDE GROUP</v>
          </cell>
          <cell r="D5">
            <v>20091217</v>
          </cell>
          <cell r="E5" t="str">
            <v>EPS</v>
          </cell>
          <cell r="F5" t="str">
            <v>ANN</v>
          </cell>
          <cell r="G5">
            <v>1</v>
          </cell>
          <cell r="H5">
            <v>2</v>
          </cell>
          <cell r="I5">
            <v>2.46</v>
          </cell>
          <cell r="J5">
            <v>2.46</v>
          </cell>
          <cell r="K5">
            <v>0.15</v>
          </cell>
          <cell r="L5">
            <v>20100930</v>
          </cell>
          <cell r="M5">
            <v>2.4300000000000002</v>
          </cell>
          <cell r="N5">
            <v>20101029</v>
          </cell>
        </row>
        <row r="6">
          <cell r="B6" t="str">
            <v>NI</v>
          </cell>
          <cell r="C6" t="str">
            <v>NISOURCE INC</v>
          </cell>
          <cell r="D6">
            <v>20091217</v>
          </cell>
          <cell r="E6" t="str">
            <v>EPS</v>
          </cell>
          <cell r="F6" t="str">
            <v>ANN</v>
          </cell>
          <cell r="G6">
            <v>1</v>
          </cell>
          <cell r="H6">
            <v>7</v>
          </cell>
          <cell r="I6">
            <v>1.05</v>
          </cell>
          <cell r="J6">
            <v>1.07</v>
          </cell>
          <cell r="K6">
            <v>0.05</v>
          </cell>
          <cell r="L6">
            <v>20091231</v>
          </cell>
          <cell r="M6">
            <v>1.06</v>
          </cell>
          <cell r="N6">
            <v>20100201</v>
          </cell>
        </row>
        <row r="7">
          <cell r="B7" t="str">
            <v>NJR</v>
          </cell>
          <cell r="C7" t="str">
            <v>NEW JERSEY RES</v>
          </cell>
          <cell r="D7">
            <v>20091217</v>
          </cell>
          <cell r="E7" t="str">
            <v>EPS</v>
          </cell>
          <cell r="F7" t="str">
            <v>ANN</v>
          </cell>
          <cell r="G7">
            <v>1</v>
          </cell>
          <cell r="H7">
            <v>6</v>
          </cell>
          <cell r="I7">
            <v>1.28</v>
          </cell>
          <cell r="J7">
            <v>1.28</v>
          </cell>
          <cell r="K7">
            <v>0.02</v>
          </cell>
          <cell r="L7">
            <v>20100930</v>
          </cell>
          <cell r="M7">
            <v>1.22</v>
          </cell>
          <cell r="N7">
            <v>20101123</v>
          </cell>
        </row>
        <row r="8">
          <cell r="B8" t="str">
            <v>NWN</v>
          </cell>
          <cell r="C8" t="str">
            <v>NW NATURAL GAS</v>
          </cell>
          <cell r="D8">
            <v>20091217</v>
          </cell>
          <cell r="E8" t="str">
            <v>EPS</v>
          </cell>
          <cell r="F8" t="str">
            <v>ANN</v>
          </cell>
          <cell r="G8">
            <v>1</v>
          </cell>
          <cell r="H8">
            <v>4</v>
          </cell>
          <cell r="I8">
            <v>2.78</v>
          </cell>
          <cell r="J8">
            <v>2.79</v>
          </cell>
          <cell r="K8">
            <v>0.04</v>
          </cell>
          <cell r="L8">
            <v>20091231</v>
          </cell>
          <cell r="M8">
            <v>2.83</v>
          </cell>
          <cell r="N8">
            <v>20100226</v>
          </cell>
        </row>
        <row r="9">
          <cell r="B9" t="str">
            <v>PNY</v>
          </cell>
          <cell r="C9" t="str">
            <v>PIEDMONT NAT GAS</v>
          </cell>
          <cell r="D9">
            <v>20091217</v>
          </cell>
          <cell r="E9" t="str">
            <v>EPS</v>
          </cell>
          <cell r="F9" t="str">
            <v>ANN</v>
          </cell>
          <cell r="G9">
            <v>1</v>
          </cell>
          <cell r="H9">
            <v>6</v>
          </cell>
          <cell r="I9">
            <v>1.58</v>
          </cell>
          <cell r="J9">
            <v>1.58</v>
          </cell>
          <cell r="K9">
            <v>0.04</v>
          </cell>
          <cell r="L9">
            <v>20091031</v>
          </cell>
          <cell r="M9">
            <v>1.67</v>
          </cell>
          <cell r="N9">
            <v>20091223</v>
          </cell>
        </row>
        <row r="10">
          <cell r="B10" t="str">
            <v>SJI</v>
          </cell>
          <cell r="C10" t="str">
            <v>SO JERSEY INDS</v>
          </cell>
          <cell r="D10">
            <v>20091217</v>
          </cell>
          <cell r="E10" t="str">
            <v>EPS</v>
          </cell>
          <cell r="F10" t="str">
            <v>ANN</v>
          </cell>
          <cell r="G10">
            <v>1</v>
          </cell>
          <cell r="H10">
            <v>6</v>
          </cell>
          <cell r="I10">
            <v>1.19</v>
          </cell>
          <cell r="J10">
            <v>1.19</v>
          </cell>
          <cell r="K10">
            <v>0.02</v>
          </cell>
          <cell r="L10">
            <v>20091231</v>
          </cell>
          <cell r="M10">
            <v>1.19</v>
          </cell>
          <cell r="N10">
            <v>20100224</v>
          </cell>
        </row>
        <row r="11">
          <cell r="B11" t="str">
            <v>SWX</v>
          </cell>
          <cell r="C11" t="str">
            <v>SOUTHWEST GAS</v>
          </cell>
          <cell r="D11">
            <v>20091217</v>
          </cell>
          <cell r="E11" t="str">
            <v>EPS</v>
          </cell>
          <cell r="F11" t="str">
            <v>ANN</v>
          </cell>
          <cell r="G11">
            <v>1</v>
          </cell>
          <cell r="H11">
            <v>3</v>
          </cell>
          <cell r="I11">
            <v>1.96</v>
          </cell>
          <cell r="J11">
            <v>1.97</v>
          </cell>
          <cell r="K11">
            <v>0.03</v>
          </cell>
          <cell r="L11">
            <v>20091231</v>
          </cell>
          <cell r="M11">
            <v>1.94</v>
          </cell>
          <cell r="N11">
            <v>20100225</v>
          </cell>
        </row>
        <row r="12">
          <cell r="B12" t="str">
            <v>WGL</v>
          </cell>
          <cell r="C12" t="str">
            <v>WGL HOLDING INC</v>
          </cell>
          <cell r="D12">
            <v>20091217</v>
          </cell>
          <cell r="E12" t="str">
            <v>EPS</v>
          </cell>
          <cell r="F12" t="str">
            <v>ANN</v>
          </cell>
          <cell r="G12">
            <v>1</v>
          </cell>
          <cell r="H12">
            <v>4</v>
          </cell>
          <cell r="I12">
            <v>2.29</v>
          </cell>
          <cell r="J12">
            <v>2.2799999999999998</v>
          </cell>
          <cell r="K12">
            <v>0.06</v>
          </cell>
          <cell r="L12">
            <v>20100930</v>
          </cell>
          <cell r="M12">
            <v>2.27</v>
          </cell>
          <cell r="N12">
            <v>20101117</v>
          </cell>
        </row>
        <row r="13">
          <cell r="B13" t="str">
            <v>PEC</v>
          </cell>
          <cell r="C13" t="str">
            <v>PEC LTD</v>
          </cell>
          <cell r="D13">
            <v>20091217</v>
          </cell>
          <cell r="E13" t="str">
            <v>EPS</v>
          </cell>
          <cell r="F13" t="str">
            <v>ANN</v>
          </cell>
          <cell r="G13">
            <v>1</v>
          </cell>
          <cell r="H13">
            <v>1</v>
          </cell>
          <cell r="I13">
            <v>7.6999999999999999E-2</v>
          </cell>
          <cell r="J13">
            <v>7.6999999999999999E-2</v>
          </cell>
          <cell r="L13">
            <v>20100630</v>
          </cell>
          <cell r="M13">
            <v>0.17899999999999999</v>
          </cell>
          <cell r="N13">
            <v>20100826</v>
          </cell>
        </row>
      </sheetData>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6jsisubxejru4pv"/>
    </sheetNames>
    <sheetDataSet>
      <sheetData sheetId="0">
        <row r="1">
          <cell r="B1" t="str">
            <v>Official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Forecast Period End Date (SAS Format)</v>
          </cell>
          <cell r="M1" t="str">
            <v>Actual Value, from the Detail Actuals File</v>
          </cell>
          <cell r="N1" t="str">
            <v>Announce date of the Actual, from the Detail Actuals File</v>
          </cell>
        </row>
        <row r="2">
          <cell r="B2" t="str">
            <v>CPK</v>
          </cell>
          <cell r="C2" t="str">
            <v>CHESAPEAKE UTIL</v>
          </cell>
          <cell r="D2">
            <v>40164</v>
          </cell>
          <cell r="E2" t="str">
            <v>EPS</v>
          </cell>
          <cell r="F2" t="str">
            <v>LTG</v>
          </cell>
          <cell r="G2" t="str">
            <v>0</v>
          </cell>
          <cell r="H2">
            <v>1</v>
          </cell>
          <cell r="I2">
            <v>3.3</v>
          </cell>
          <cell r="J2">
            <v>3.3</v>
          </cell>
        </row>
        <row r="3">
          <cell r="B3" t="str">
            <v>ATO</v>
          </cell>
          <cell r="C3" t="str">
            <v>ATMOS ENERGY CP</v>
          </cell>
          <cell r="D3">
            <v>40164</v>
          </cell>
          <cell r="E3" t="str">
            <v>EPS</v>
          </cell>
          <cell r="F3" t="str">
            <v>LTG</v>
          </cell>
          <cell r="G3" t="str">
            <v>0</v>
          </cell>
          <cell r="H3">
            <v>3</v>
          </cell>
          <cell r="I3">
            <v>5</v>
          </cell>
          <cell r="J3">
            <v>5</v>
          </cell>
          <cell r="K3">
            <v>0</v>
          </cell>
        </row>
        <row r="4">
          <cell r="B4" t="str">
            <v>GAS</v>
          </cell>
          <cell r="C4" t="str">
            <v>NICOR INC</v>
          </cell>
          <cell r="D4">
            <v>40164</v>
          </cell>
          <cell r="E4" t="str">
            <v>EPS</v>
          </cell>
          <cell r="F4" t="str">
            <v>LTG</v>
          </cell>
          <cell r="G4" t="str">
            <v>0</v>
          </cell>
          <cell r="H4">
            <v>2</v>
          </cell>
          <cell r="I4">
            <v>4.3499999999999996</v>
          </cell>
          <cell r="J4">
            <v>4.3499999999999996</v>
          </cell>
          <cell r="K4">
            <v>1.91</v>
          </cell>
        </row>
        <row r="5">
          <cell r="B5" t="str">
            <v>NI</v>
          </cell>
          <cell r="C5" t="str">
            <v>NISOURCE INC</v>
          </cell>
          <cell r="D5">
            <v>40164</v>
          </cell>
          <cell r="E5" t="str">
            <v>EPS</v>
          </cell>
          <cell r="F5" t="str">
            <v>LTG</v>
          </cell>
          <cell r="G5" t="str">
            <v>0</v>
          </cell>
          <cell r="H5">
            <v>1</v>
          </cell>
          <cell r="I5">
            <v>3</v>
          </cell>
          <cell r="J5">
            <v>3</v>
          </cell>
        </row>
        <row r="6">
          <cell r="B6" t="str">
            <v>NJR</v>
          </cell>
          <cell r="C6" t="str">
            <v>NEW JERSEY RES</v>
          </cell>
          <cell r="D6">
            <v>40164</v>
          </cell>
          <cell r="E6" t="str">
            <v>EPS</v>
          </cell>
          <cell r="F6" t="str">
            <v>LTG</v>
          </cell>
          <cell r="G6" t="str">
            <v>0</v>
          </cell>
          <cell r="H6">
            <v>1</v>
          </cell>
          <cell r="I6">
            <v>7</v>
          </cell>
          <cell r="J6">
            <v>7</v>
          </cell>
        </row>
        <row r="7">
          <cell r="B7" t="str">
            <v>NWN</v>
          </cell>
          <cell r="C7" t="str">
            <v>NW NATURAL GAS</v>
          </cell>
          <cell r="D7">
            <v>40164</v>
          </cell>
          <cell r="E7" t="str">
            <v>EPS</v>
          </cell>
          <cell r="F7" t="str">
            <v>LTG</v>
          </cell>
          <cell r="G7" t="str">
            <v>0</v>
          </cell>
          <cell r="H7">
            <v>1</v>
          </cell>
          <cell r="I7">
            <v>6</v>
          </cell>
          <cell r="J7">
            <v>6</v>
          </cell>
        </row>
        <row r="8">
          <cell r="B8" t="str">
            <v>PNY</v>
          </cell>
          <cell r="C8" t="str">
            <v>PIEDMONT NAT GAS</v>
          </cell>
          <cell r="D8">
            <v>40164</v>
          </cell>
          <cell r="E8" t="str">
            <v>EPS</v>
          </cell>
          <cell r="F8" t="str">
            <v>LTG</v>
          </cell>
          <cell r="G8" t="str">
            <v>0</v>
          </cell>
          <cell r="H8">
            <v>3</v>
          </cell>
          <cell r="I8">
            <v>5.8</v>
          </cell>
          <cell r="J8">
            <v>6.6</v>
          </cell>
          <cell r="K8">
            <v>3.08</v>
          </cell>
        </row>
        <row r="9">
          <cell r="B9" t="str">
            <v>SJI</v>
          </cell>
          <cell r="C9" t="str">
            <v>SO JERSEY INDS</v>
          </cell>
          <cell r="D9">
            <v>40164</v>
          </cell>
          <cell r="E9" t="str">
            <v>EPS</v>
          </cell>
          <cell r="F9" t="str">
            <v>LTG</v>
          </cell>
          <cell r="G9" t="str">
            <v>0</v>
          </cell>
          <cell r="H9">
            <v>3</v>
          </cell>
          <cell r="I9">
            <v>8</v>
          </cell>
          <cell r="J9">
            <v>11.5</v>
          </cell>
          <cell r="K9">
            <v>7.4</v>
          </cell>
        </row>
        <row r="10">
          <cell r="B10" t="str">
            <v>SWX</v>
          </cell>
          <cell r="C10" t="str">
            <v>SOUTHWEST GAS</v>
          </cell>
          <cell r="D10">
            <v>40164</v>
          </cell>
          <cell r="E10" t="str">
            <v>EPS</v>
          </cell>
          <cell r="F10" t="str">
            <v>LTG</v>
          </cell>
          <cell r="G10" t="str">
            <v>0</v>
          </cell>
          <cell r="H10">
            <v>1</v>
          </cell>
          <cell r="I10">
            <v>6</v>
          </cell>
          <cell r="J10">
            <v>6</v>
          </cell>
        </row>
        <row r="11">
          <cell r="B11" t="str">
            <v>WGL</v>
          </cell>
          <cell r="C11" t="str">
            <v>WGL HOLDING INC</v>
          </cell>
          <cell r="D11">
            <v>40164</v>
          </cell>
          <cell r="E11" t="str">
            <v>EPS</v>
          </cell>
          <cell r="F11" t="str">
            <v>LTG</v>
          </cell>
          <cell r="G11" t="str">
            <v>0</v>
          </cell>
          <cell r="H11">
            <v>2</v>
          </cell>
          <cell r="I11">
            <v>4.5</v>
          </cell>
          <cell r="J11">
            <v>4.5</v>
          </cell>
          <cell r="K11">
            <v>0.71</v>
          </cell>
        </row>
        <row r="12">
          <cell r="B12" t="str">
            <v>LG</v>
          </cell>
          <cell r="C12" t="str">
            <v>LACLEDE GROUP</v>
          </cell>
          <cell r="D12">
            <v>40164</v>
          </cell>
          <cell r="E12" t="str">
            <v>EPS</v>
          </cell>
          <cell r="F12" t="str">
            <v>LTG</v>
          </cell>
          <cell r="G12" t="str">
            <v>0</v>
          </cell>
          <cell r="H12">
            <v>1</v>
          </cell>
          <cell r="I12">
            <v>3.5</v>
          </cell>
          <cell r="J12">
            <v>3.5</v>
          </cell>
        </row>
      </sheetData>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RDS"/>
    </sheetNames>
    <sheetDataSet>
      <sheetData sheetId="0">
        <row r="1">
          <cell r="A1" t="str">
            <v>OFTIC</v>
          </cell>
          <cell r="B1" t="str">
            <v>IBES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USFIRM=0 if from .INT file and USFIRM=1 if from .US file</v>
          </cell>
          <cell r="L1" t="str">
            <v>Forecast Period End Date (SAS Format)</v>
          </cell>
          <cell r="M1" t="str">
            <v>Actual Value, from the Detail Actuals File</v>
          </cell>
          <cell r="N1" t="str">
            <v>Announce date of the Actual, from the Detail Actuals File</v>
          </cell>
        </row>
        <row r="2">
          <cell r="A2" t="str">
            <v>PNW</v>
          </cell>
          <cell r="B2" t="str">
            <v>AZP</v>
          </cell>
          <cell r="C2" t="str">
            <v>PINNACLE WST CAP</v>
          </cell>
          <cell r="D2">
            <v>20081218</v>
          </cell>
          <cell r="E2" t="str">
            <v>EPS</v>
          </cell>
          <cell r="F2" t="str">
            <v>ANN</v>
          </cell>
          <cell r="G2">
            <v>1</v>
          </cell>
          <cell r="H2">
            <v>8</v>
          </cell>
          <cell r="I2">
            <v>2.4500000000000002</v>
          </cell>
          <cell r="J2">
            <v>2.46</v>
          </cell>
          <cell r="K2">
            <v>1</v>
          </cell>
          <cell r="L2">
            <v>20081231</v>
          </cell>
          <cell r="M2">
            <v>2.39</v>
          </cell>
          <cell r="N2">
            <v>20090220</v>
          </cell>
        </row>
        <row r="3">
          <cell r="A3" t="str">
            <v>CEG</v>
          </cell>
          <cell r="B3" t="str">
            <v>BGE</v>
          </cell>
          <cell r="C3" t="str">
            <v>CONSTELLATION EN</v>
          </cell>
          <cell r="D3">
            <v>20081218</v>
          </cell>
          <cell r="E3" t="str">
            <v>EPS</v>
          </cell>
          <cell r="F3" t="str">
            <v>ANN</v>
          </cell>
          <cell r="G3">
            <v>1</v>
          </cell>
          <cell r="H3">
            <v>8</v>
          </cell>
          <cell r="I3">
            <v>4.82</v>
          </cell>
          <cell r="J3">
            <v>4.72</v>
          </cell>
          <cell r="K3">
            <v>1</v>
          </cell>
          <cell r="L3">
            <v>20081231</v>
          </cell>
          <cell r="M3">
            <v>3.57</v>
          </cell>
          <cell r="N3">
            <v>20090218</v>
          </cell>
        </row>
        <row r="4">
          <cell r="A4" t="str">
            <v>BKH</v>
          </cell>
          <cell r="B4" t="str">
            <v>BHP</v>
          </cell>
          <cell r="C4" t="str">
            <v>BLACK HILLS CP</v>
          </cell>
          <cell r="D4">
            <v>20081218</v>
          </cell>
          <cell r="E4" t="str">
            <v>EPS</v>
          </cell>
          <cell r="F4" t="str">
            <v>ANN</v>
          </cell>
          <cell r="G4">
            <v>1</v>
          </cell>
          <cell r="H4">
            <v>1</v>
          </cell>
          <cell r="I4">
            <v>2.0499999999999998</v>
          </cell>
          <cell r="J4">
            <v>2.0499999999999998</v>
          </cell>
          <cell r="K4">
            <v>1</v>
          </cell>
          <cell r="L4">
            <v>20081231</v>
          </cell>
          <cell r="M4">
            <v>-1.3</v>
          </cell>
          <cell r="N4">
            <v>20090202</v>
          </cell>
        </row>
        <row r="5">
          <cell r="A5" t="str">
            <v>NST</v>
          </cell>
          <cell r="B5" t="str">
            <v>BSE</v>
          </cell>
          <cell r="C5" t="str">
            <v>NSTAR</v>
          </cell>
          <cell r="D5">
            <v>20081218</v>
          </cell>
          <cell r="E5" t="str">
            <v>EPS</v>
          </cell>
          <cell r="F5" t="str">
            <v>ANN</v>
          </cell>
          <cell r="G5">
            <v>1</v>
          </cell>
          <cell r="H5">
            <v>7</v>
          </cell>
          <cell r="I5">
            <v>2.2400000000000002</v>
          </cell>
          <cell r="J5">
            <v>2.23</v>
          </cell>
          <cell r="K5">
            <v>1</v>
          </cell>
          <cell r="L5">
            <v>20081231</v>
          </cell>
          <cell r="M5">
            <v>2.2200000000000002</v>
          </cell>
          <cell r="N5">
            <v>20090122</v>
          </cell>
        </row>
        <row r="6">
          <cell r="A6" t="str">
            <v>CMS</v>
          </cell>
          <cell r="B6" t="str">
            <v>CMS</v>
          </cell>
          <cell r="C6" t="str">
            <v>CMS ENERGY CORP</v>
          </cell>
          <cell r="D6">
            <v>20081218</v>
          </cell>
          <cell r="E6" t="str">
            <v>EPS</v>
          </cell>
          <cell r="F6" t="str">
            <v>ANN</v>
          </cell>
          <cell r="G6">
            <v>1</v>
          </cell>
          <cell r="H6">
            <v>12</v>
          </cell>
          <cell r="I6">
            <v>1.2</v>
          </cell>
          <cell r="J6">
            <v>1.19</v>
          </cell>
          <cell r="K6">
            <v>1</v>
          </cell>
          <cell r="L6">
            <v>20081231</v>
          </cell>
          <cell r="M6">
            <v>1.25</v>
          </cell>
          <cell r="N6">
            <v>20090225</v>
          </cell>
        </row>
        <row r="7">
          <cell r="A7" t="str">
            <v>CNL</v>
          </cell>
          <cell r="B7" t="str">
            <v>CNL</v>
          </cell>
          <cell r="C7" t="str">
            <v>CLECO CORP</v>
          </cell>
          <cell r="D7">
            <v>20081218</v>
          </cell>
          <cell r="E7" t="str">
            <v>EPS</v>
          </cell>
          <cell r="F7" t="str">
            <v>ANN</v>
          </cell>
          <cell r="G7">
            <v>1</v>
          </cell>
          <cell r="H7">
            <v>4</v>
          </cell>
          <cell r="I7">
            <v>1.67</v>
          </cell>
          <cell r="J7">
            <v>1.64</v>
          </cell>
          <cell r="K7">
            <v>1</v>
          </cell>
          <cell r="L7">
            <v>20081231</v>
          </cell>
          <cell r="M7">
            <v>1.7</v>
          </cell>
          <cell r="N7">
            <v>20090226</v>
          </cell>
        </row>
        <row r="8">
          <cell r="A8" t="str">
            <v>PGN</v>
          </cell>
          <cell r="B8" t="str">
            <v>CPL</v>
          </cell>
          <cell r="C8" t="str">
            <v>PROGRESS ENERGY</v>
          </cell>
          <cell r="D8">
            <v>20081218</v>
          </cell>
          <cell r="E8" t="str">
            <v>EPS</v>
          </cell>
          <cell r="F8" t="str">
            <v>ANN</v>
          </cell>
          <cell r="G8">
            <v>1</v>
          </cell>
          <cell r="H8">
            <v>14</v>
          </cell>
          <cell r="I8">
            <v>3</v>
          </cell>
          <cell r="J8">
            <v>3.02</v>
          </cell>
          <cell r="K8">
            <v>1</v>
          </cell>
          <cell r="L8">
            <v>20081231</v>
          </cell>
          <cell r="M8">
            <v>2.98</v>
          </cell>
          <cell r="N8">
            <v>20090212</v>
          </cell>
        </row>
        <row r="9">
          <cell r="A9" t="str">
            <v>D</v>
          </cell>
          <cell r="B9" t="str">
            <v>D</v>
          </cell>
          <cell r="C9" t="str">
            <v>DOMINION RES INC</v>
          </cell>
          <cell r="D9">
            <v>20081218</v>
          </cell>
          <cell r="E9" t="str">
            <v>EPS</v>
          </cell>
          <cell r="F9" t="str">
            <v>ANN</v>
          </cell>
          <cell r="G9">
            <v>1</v>
          </cell>
          <cell r="H9">
            <v>14</v>
          </cell>
          <cell r="I9">
            <v>3.11</v>
          </cell>
          <cell r="J9">
            <v>3.12</v>
          </cell>
          <cell r="K9">
            <v>1</v>
          </cell>
          <cell r="L9">
            <v>20081231</v>
          </cell>
          <cell r="M9">
            <v>3.16</v>
          </cell>
          <cell r="N9">
            <v>20090129</v>
          </cell>
        </row>
        <row r="10">
          <cell r="A10" t="str">
            <v>DPL</v>
          </cell>
          <cell r="B10" t="str">
            <v>DPL</v>
          </cell>
          <cell r="C10" t="str">
            <v>DPL INC</v>
          </cell>
          <cell r="D10">
            <v>20081218</v>
          </cell>
          <cell r="E10" t="str">
            <v>EPS</v>
          </cell>
          <cell r="F10" t="str">
            <v>ANN</v>
          </cell>
          <cell r="G10">
            <v>1</v>
          </cell>
          <cell r="H10">
            <v>6</v>
          </cell>
          <cell r="I10">
            <v>2.02</v>
          </cell>
          <cell r="J10">
            <v>2.0499999999999998</v>
          </cell>
          <cell r="K10">
            <v>1</v>
          </cell>
          <cell r="L10">
            <v>20081231</v>
          </cell>
          <cell r="M10">
            <v>2.0499999999999998</v>
          </cell>
          <cell r="N10">
            <v>20090226</v>
          </cell>
        </row>
        <row r="11">
          <cell r="A11" t="str">
            <v>DTE</v>
          </cell>
          <cell r="B11" t="str">
            <v>DTE</v>
          </cell>
          <cell r="C11" t="str">
            <v>DTE ENERGY</v>
          </cell>
          <cell r="D11">
            <v>20081218</v>
          </cell>
          <cell r="E11" t="str">
            <v>EPS</v>
          </cell>
          <cell r="F11" t="str">
            <v>ANN</v>
          </cell>
          <cell r="G11">
            <v>1</v>
          </cell>
          <cell r="H11">
            <v>7</v>
          </cell>
          <cell r="I11">
            <v>3</v>
          </cell>
          <cell r="J11">
            <v>3.02</v>
          </cell>
          <cell r="K11">
            <v>1</v>
          </cell>
          <cell r="L11">
            <v>20081231</v>
          </cell>
          <cell r="M11">
            <v>2.9</v>
          </cell>
          <cell r="N11">
            <v>20090223</v>
          </cell>
        </row>
        <row r="12">
          <cell r="A12" t="str">
            <v>DUK</v>
          </cell>
          <cell r="B12" t="str">
            <v>DUK</v>
          </cell>
          <cell r="C12" t="str">
            <v>DUKE ENERGY CORP</v>
          </cell>
          <cell r="D12">
            <v>20081218</v>
          </cell>
          <cell r="E12" t="str">
            <v>EPS</v>
          </cell>
          <cell r="F12" t="str">
            <v>ANN</v>
          </cell>
          <cell r="G12">
            <v>1</v>
          </cell>
          <cell r="H12">
            <v>15</v>
          </cell>
          <cell r="I12">
            <v>3.6</v>
          </cell>
          <cell r="J12">
            <v>3.63</v>
          </cell>
          <cell r="K12">
            <v>1</v>
          </cell>
          <cell r="L12">
            <v>20081231</v>
          </cell>
          <cell r="M12">
            <v>3.63</v>
          </cell>
          <cell r="N12">
            <v>20090205</v>
          </cell>
        </row>
        <row r="13">
          <cell r="A13" t="str">
            <v>ED</v>
          </cell>
          <cell r="B13" t="str">
            <v>ED</v>
          </cell>
          <cell r="C13" t="str">
            <v>CONSOLIDATED EDI</v>
          </cell>
          <cell r="D13">
            <v>20081218</v>
          </cell>
          <cell r="E13" t="str">
            <v>EPS</v>
          </cell>
          <cell r="F13" t="str">
            <v>ANN</v>
          </cell>
          <cell r="G13">
            <v>1</v>
          </cell>
          <cell r="H13">
            <v>9</v>
          </cell>
          <cell r="I13">
            <v>3</v>
          </cell>
          <cell r="J13">
            <v>3</v>
          </cell>
          <cell r="K13">
            <v>1</v>
          </cell>
          <cell r="L13">
            <v>20081231</v>
          </cell>
          <cell r="M13">
            <v>3</v>
          </cell>
          <cell r="N13">
            <v>20090122</v>
          </cell>
        </row>
        <row r="14">
          <cell r="A14" t="str">
            <v>EDE</v>
          </cell>
          <cell r="B14" t="str">
            <v>EDE</v>
          </cell>
          <cell r="C14" t="str">
            <v>EMPIRE DIST ELEC</v>
          </cell>
          <cell r="D14">
            <v>20081218</v>
          </cell>
          <cell r="E14" t="str">
            <v>EPS</v>
          </cell>
          <cell r="F14" t="str">
            <v>ANN</v>
          </cell>
          <cell r="G14">
            <v>1</v>
          </cell>
          <cell r="H14">
            <v>4</v>
          </cell>
          <cell r="I14">
            <v>1.24</v>
          </cell>
          <cell r="J14">
            <v>1.22</v>
          </cell>
          <cell r="K14">
            <v>1</v>
          </cell>
          <cell r="L14">
            <v>20081231</v>
          </cell>
          <cell r="M14">
            <v>1.17</v>
          </cell>
          <cell r="N14">
            <v>20090205</v>
          </cell>
        </row>
        <row r="15">
          <cell r="A15" t="str">
            <v>FPL</v>
          </cell>
          <cell r="B15" t="str">
            <v>FPL</v>
          </cell>
          <cell r="C15" t="str">
            <v>FPL GROUP</v>
          </cell>
          <cell r="D15">
            <v>20081218</v>
          </cell>
          <cell r="E15" t="str">
            <v>EPS</v>
          </cell>
          <cell r="F15" t="str">
            <v>ANN</v>
          </cell>
          <cell r="G15">
            <v>1</v>
          </cell>
          <cell r="H15">
            <v>17</v>
          </cell>
          <cell r="I15">
            <v>0.96</v>
          </cell>
          <cell r="J15">
            <v>0.96</v>
          </cell>
          <cell r="K15">
            <v>1</v>
          </cell>
          <cell r="L15">
            <v>20081231</v>
          </cell>
          <cell r="M15">
            <v>0.96</v>
          </cell>
          <cell r="N15">
            <v>20090127</v>
          </cell>
        </row>
        <row r="16">
          <cell r="A16" t="str">
            <v>HE</v>
          </cell>
          <cell r="B16" t="str">
            <v>HE</v>
          </cell>
          <cell r="C16" t="str">
            <v>HAWAIIAN ELEC</v>
          </cell>
          <cell r="D16">
            <v>20081218</v>
          </cell>
          <cell r="E16" t="str">
            <v>EPS</v>
          </cell>
          <cell r="F16" t="str">
            <v>ANN</v>
          </cell>
          <cell r="G16">
            <v>1</v>
          </cell>
          <cell r="H16">
            <v>4</v>
          </cell>
          <cell r="I16">
            <v>1.69</v>
          </cell>
          <cell r="J16">
            <v>1.69</v>
          </cell>
          <cell r="K16">
            <v>1</v>
          </cell>
          <cell r="L16">
            <v>20081231</v>
          </cell>
          <cell r="M16">
            <v>1.49</v>
          </cell>
          <cell r="N16">
            <v>20090219</v>
          </cell>
        </row>
        <row r="17">
          <cell r="A17" t="str">
            <v>CNP</v>
          </cell>
          <cell r="B17" t="str">
            <v>HOU</v>
          </cell>
          <cell r="C17" t="str">
            <v>CENTERPOINT ENER</v>
          </cell>
          <cell r="D17">
            <v>20081218</v>
          </cell>
          <cell r="E17" t="str">
            <v>EPS</v>
          </cell>
          <cell r="F17" t="str">
            <v>ANN</v>
          </cell>
          <cell r="G17">
            <v>1</v>
          </cell>
          <cell r="H17">
            <v>6</v>
          </cell>
          <cell r="I17">
            <v>1.28</v>
          </cell>
          <cell r="J17">
            <v>1.26</v>
          </cell>
          <cell r="K17">
            <v>1</v>
          </cell>
          <cell r="L17">
            <v>20081231</v>
          </cell>
          <cell r="M17">
            <v>1.3</v>
          </cell>
          <cell r="N17">
            <v>20090225</v>
          </cell>
        </row>
        <row r="18">
          <cell r="A18" t="str">
            <v>IDA</v>
          </cell>
          <cell r="B18" t="str">
            <v>IDA</v>
          </cell>
          <cell r="C18" t="str">
            <v>IDACORP INC.</v>
          </cell>
          <cell r="D18">
            <v>20081218</v>
          </cell>
          <cell r="E18" t="str">
            <v>EPS</v>
          </cell>
          <cell r="F18" t="str">
            <v>ANN</v>
          </cell>
          <cell r="G18">
            <v>1</v>
          </cell>
          <cell r="H18">
            <v>3</v>
          </cell>
          <cell r="I18">
            <v>2.25</v>
          </cell>
          <cell r="J18">
            <v>2.27</v>
          </cell>
          <cell r="K18">
            <v>1</v>
          </cell>
          <cell r="L18">
            <v>20081231</v>
          </cell>
          <cell r="M18">
            <v>2.17</v>
          </cell>
          <cell r="N18">
            <v>20090219</v>
          </cell>
        </row>
        <row r="19">
          <cell r="A19" t="str">
            <v>WR</v>
          </cell>
          <cell r="B19" t="str">
            <v>KAN</v>
          </cell>
          <cell r="C19" t="str">
            <v>WESTAR ENERGY</v>
          </cell>
          <cell r="D19">
            <v>20081218</v>
          </cell>
          <cell r="E19" t="str">
            <v>EPS</v>
          </cell>
          <cell r="F19" t="str">
            <v>ANN</v>
          </cell>
          <cell r="G19">
            <v>1</v>
          </cell>
          <cell r="H19">
            <v>3</v>
          </cell>
          <cell r="I19">
            <v>1.4</v>
          </cell>
          <cell r="J19">
            <v>1.42</v>
          </cell>
          <cell r="K19">
            <v>1</v>
          </cell>
          <cell r="L19">
            <v>20081231</v>
          </cell>
          <cell r="M19">
            <v>1.7</v>
          </cell>
          <cell r="N19">
            <v>20090227</v>
          </cell>
        </row>
        <row r="20">
          <cell r="A20" t="str">
            <v>GXP</v>
          </cell>
          <cell r="B20" t="str">
            <v>KLT</v>
          </cell>
          <cell r="C20" t="str">
            <v>GREAT PLAINS</v>
          </cell>
          <cell r="D20">
            <v>20081218</v>
          </cell>
          <cell r="E20" t="str">
            <v>EPS</v>
          </cell>
          <cell r="F20" t="str">
            <v>ANN</v>
          </cell>
          <cell r="G20">
            <v>1</v>
          </cell>
          <cell r="H20">
            <v>4</v>
          </cell>
          <cell r="I20">
            <v>1.57</v>
          </cell>
          <cell r="J20">
            <v>1.52</v>
          </cell>
          <cell r="K20">
            <v>1</v>
          </cell>
          <cell r="L20">
            <v>20081231</v>
          </cell>
          <cell r="M20">
            <v>1.37</v>
          </cell>
          <cell r="N20">
            <v>20090210</v>
          </cell>
        </row>
        <row r="21">
          <cell r="A21" t="str">
            <v>ALE</v>
          </cell>
          <cell r="B21" t="str">
            <v>MPL</v>
          </cell>
          <cell r="C21" t="str">
            <v>ALLETE INC</v>
          </cell>
          <cell r="D21">
            <v>20081218</v>
          </cell>
          <cell r="E21" t="str">
            <v>EPS</v>
          </cell>
          <cell r="F21" t="str">
            <v>ANN</v>
          </cell>
          <cell r="G21">
            <v>1</v>
          </cell>
          <cell r="H21">
            <v>2</v>
          </cell>
          <cell r="I21">
            <v>2.78</v>
          </cell>
          <cell r="J21">
            <v>2.78</v>
          </cell>
          <cell r="K21">
            <v>1</v>
          </cell>
          <cell r="L21">
            <v>20081231</v>
          </cell>
          <cell r="M21">
            <v>2.82</v>
          </cell>
          <cell r="N21">
            <v>20090213</v>
          </cell>
        </row>
        <row r="22">
          <cell r="A22" t="str">
            <v>ETR</v>
          </cell>
          <cell r="B22" t="str">
            <v>MSU</v>
          </cell>
          <cell r="C22" t="str">
            <v>ENTERGY CP</v>
          </cell>
          <cell r="D22">
            <v>20081218</v>
          </cell>
          <cell r="E22" t="str">
            <v>EPS</v>
          </cell>
          <cell r="F22" t="str">
            <v>ANN</v>
          </cell>
          <cell r="G22">
            <v>1</v>
          </cell>
          <cell r="H22">
            <v>13</v>
          </cell>
          <cell r="I22">
            <v>6.7</v>
          </cell>
          <cell r="J22">
            <v>6.63</v>
          </cell>
          <cell r="K22">
            <v>1</v>
          </cell>
          <cell r="L22">
            <v>20081231</v>
          </cell>
          <cell r="M22">
            <v>6.51</v>
          </cell>
          <cell r="N22">
            <v>20090203</v>
          </cell>
        </row>
        <row r="23">
          <cell r="A23" t="str">
            <v>XEL</v>
          </cell>
          <cell r="B23" t="str">
            <v>NSP</v>
          </cell>
          <cell r="C23" t="str">
            <v>XCEL ENERGY INC</v>
          </cell>
          <cell r="D23">
            <v>20081218</v>
          </cell>
          <cell r="E23" t="str">
            <v>EPS</v>
          </cell>
          <cell r="F23" t="str">
            <v>ANN</v>
          </cell>
          <cell r="G23">
            <v>1</v>
          </cell>
          <cell r="H23">
            <v>9</v>
          </cell>
          <cell r="I23">
            <v>1.46</v>
          </cell>
          <cell r="J23">
            <v>1.46</v>
          </cell>
          <cell r="K23">
            <v>1</v>
          </cell>
          <cell r="L23">
            <v>20081231</v>
          </cell>
          <cell r="M23">
            <v>1.45</v>
          </cell>
          <cell r="N23">
            <v>20090129</v>
          </cell>
        </row>
        <row r="24">
          <cell r="A24" t="str">
            <v>NU</v>
          </cell>
          <cell r="B24" t="str">
            <v>NU</v>
          </cell>
          <cell r="C24" t="str">
            <v>NORTHEAST UTILS</v>
          </cell>
          <cell r="D24">
            <v>20081218</v>
          </cell>
          <cell r="E24" t="str">
            <v>EPS</v>
          </cell>
          <cell r="F24" t="str">
            <v>ANN</v>
          </cell>
          <cell r="G24">
            <v>1</v>
          </cell>
          <cell r="H24">
            <v>8</v>
          </cell>
          <cell r="I24">
            <v>1.85</v>
          </cell>
          <cell r="J24">
            <v>1.85</v>
          </cell>
          <cell r="K24">
            <v>1</v>
          </cell>
          <cell r="L24">
            <v>20081231</v>
          </cell>
          <cell r="M24">
            <v>1.86</v>
          </cell>
          <cell r="N24">
            <v>20090217</v>
          </cell>
        </row>
        <row r="25">
          <cell r="A25" t="str">
            <v>NWE</v>
          </cell>
          <cell r="B25" t="str">
            <v>NWPS</v>
          </cell>
          <cell r="C25" t="str">
            <v>NORTHWESTERN CP</v>
          </cell>
          <cell r="D25">
            <v>20081218</v>
          </cell>
          <cell r="E25" t="str">
            <v>EPS</v>
          </cell>
          <cell r="F25" t="str">
            <v>ANN</v>
          </cell>
          <cell r="G25">
            <v>1</v>
          </cell>
          <cell r="H25">
            <v>2</v>
          </cell>
          <cell r="I25">
            <v>1.78</v>
          </cell>
          <cell r="J25">
            <v>1.78</v>
          </cell>
          <cell r="K25">
            <v>1</v>
          </cell>
          <cell r="L25">
            <v>20081231</v>
          </cell>
          <cell r="M25">
            <v>1.77</v>
          </cell>
          <cell r="N25">
            <v>20090213</v>
          </cell>
        </row>
        <row r="26">
          <cell r="A26" t="str">
            <v>FE</v>
          </cell>
          <cell r="B26" t="str">
            <v>OEC</v>
          </cell>
          <cell r="C26" t="str">
            <v>FIRSTENERGY CORP</v>
          </cell>
          <cell r="D26">
            <v>20081218</v>
          </cell>
          <cell r="E26" t="str">
            <v>EPS</v>
          </cell>
          <cell r="F26" t="str">
            <v>ANN</v>
          </cell>
          <cell r="G26">
            <v>1</v>
          </cell>
          <cell r="H26">
            <v>10</v>
          </cell>
          <cell r="I26">
            <v>4.32</v>
          </cell>
          <cell r="J26">
            <v>4.32</v>
          </cell>
          <cell r="K26">
            <v>1</v>
          </cell>
          <cell r="L26">
            <v>20081231</v>
          </cell>
          <cell r="M26">
            <v>4.57</v>
          </cell>
          <cell r="N26">
            <v>20090224</v>
          </cell>
        </row>
        <row r="27">
          <cell r="A27" t="str">
            <v>OGE</v>
          </cell>
          <cell r="B27" t="str">
            <v>OGE</v>
          </cell>
          <cell r="C27" t="str">
            <v>OGE ENERGY CORP</v>
          </cell>
          <cell r="D27">
            <v>20081218</v>
          </cell>
          <cell r="E27" t="str">
            <v>EPS</v>
          </cell>
          <cell r="F27" t="str">
            <v>ANN</v>
          </cell>
          <cell r="G27">
            <v>1</v>
          </cell>
          <cell r="H27">
            <v>2</v>
          </cell>
          <cell r="I27">
            <v>1.27</v>
          </cell>
          <cell r="J27">
            <v>1.27</v>
          </cell>
          <cell r="K27">
            <v>1</v>
          </cell>
          <cell r="L27">
            <v>20081231</v>
          </cell>
          <cell r="M27">
            <v>1.2450000000000001</v>
          </cell>
          <cell r="N27">
            <v>20090213</v>
          </cell>
        </row>
        <row r="28">
          <cell r="A28" t="str">
            <v>OTTR</v>
          </cell>
          <cell r="B28" t="str">
            <v>OTTR</v>
          </cell>
          <cell r="C28" t="str">
            <v>OTTER TAIL CORP.</v>
          </cell>
          <cell r="D28">
            <v>20081218</v>
          </cell>
          <cell r="E28" t="str">
            <v>EPS</v>
          </cell>
          <cell r="F28" t="str">
            <v>ANN</v>
          </cell>
          <cell r="G28">
            <v>1</v>
          </cell>
          <cell r="H28">
            <v>2</v>
          </cell>
          <cell r="I28">
            <v>1.1499999999999999</v>
          </cell>
          <cell r="J28">
            <v>1.1499999999999999</v>
          </cell>
          <cell r="K28">
            <v>1</v>
          </cell>
          <cell r="L28">
            <v>20081231</v>
          </cell>
          <cell r="M28">
            <v>1.0900000000000001</v>
          </cell>
          <cell r="N28">
            <v>20090202</v>
          </cell>
        </row>
        <row r="29">
          <cell r="A29" t="str">
            <v>PCG</v>
          </cell>
          <cell r="B29" t="str">
            <v>PCG</v>
          </cell>
          <cell r="C29" t="str">
            <v>P G &amp; E CORP</v>
          </cell>
          <cell r="D29">
            <v>20081218</v>
          </cell>
          <cell r="E29" t="str">
            <v>EPS</v>
          </cell>
          <cell r="F29" t="str">
            <v>ANN</v>
          </cell>
          <cell r="G29">
            <v>1</v>
          </cell>
          <cell r="H29">
            <v>12</v>
          </cell>
          <cell r="I29">
            <v>2.95</v>
          </cell>
          <cell r="J29">
            <v>2.94</v>
          </cell>
          <cell r="K29">
            <v>1</v>
          </cell>
          <cell r="L29">
            <v>20081231</v>
          </cell>
          <cell r="M29">
            <v>2.95</v>
          </cell>
          <cell r="N29">
            <v>20090224</v>
          </cell>
        </row>
        <row r="30">
          <cell r="A30" t="str">
            <v>EXC</v>
          </cell>
          <cell r="B30" t="str">
            <v>PE</v>
          </cell>
          <cell r="C30" t="str">
            <v>EXELON CORP</v>
          </cell>
          <cell r="D30">
            <v>20081218</v>
          </cell>
          <cell r="E30" t="str">
            <v>EPS</v>
          </cell>
          <cell r="F30" t="str">
            <v>ANN</v>
          </cell>
          <cell r="G30">
            <v>1</v>
          </cell>
          <cell r="H30">
            <v>16</v>
          </cell>
          <cell r="I30">
            <v>4.16</v>
          </cell>
          <cell r="J30">
            <v>4.18</v>
          </cell>
          <cell r="K30">
            <v>1</v>
          </cell>
          <cell r="L30">
            <v>20081231</v>
          </cell>
          <cell r="M30">
            <v>4.2</v>
          </cell>
          <cell r="N30">
            <v>20090122</v>
          </cell>
        </row>
        <row r="31">
          <cell r="A31" t="str">
            <v>PEG</v>
          </cell>
          <cell r="B31" t="str">
            <v>PEG</v>
          </cell>
          <cell r="C31" t="str">
            <v>PUB SVC ENTERS</v>
          </cell>
          <cell r="D31">
            <v>20081218</v>
          </cell>
          <cell r="E31" t="str">
            <v>EPS</v>
          </cell>
          <cell r="F31" t="str">
            <v>ANN</v>
          </cell>
          <cell r="G31">
            <v>1</v>
          </cell>
          <cell r="H31">
            <v>7</v>
          </cell>
          <cell r="I31">
            <v>2.92</v>
          </cell>
          <cell r="J31">
            <v>2.94</v>
          </cell>
          <cell r="K31">
            <v>1</v>
          </cell>
          <cell r="L31">
            <v>20081231</v>
          </cell>
          <cell r="M31">
            <v>2.92</v>
          </cell>
          <cell r="N31">
            <v>20090203</v>
          </cell>
        </row>
        <row r="32">
          <cell r="A32" t="str">
            <v>PNM</v>
          </cell>
          <cell r="B32" t="str">
            <v>PNM</v>
          </cell>
          <cell r="C32" t="str">
            <v>PNM RESOURCES</v>
          </cell>
          <cell r="D32">
            <v>20081218</v>
          </cell>
          <cell r="E32" t="str">
            <v>EPS</v>
          </cell>
          <cell r="F32" t="str">
            <v>ANN</v>
          </cell>
          <cell r="G32">
            <v>1</v>
          </cell>
          <cell r="H32">
            <v>6</v>
          </cell>
          <cell r="I32">
            <v>0.14000000000000001</v>
          </cell>
          <cell r="J32">
            <v>0.15</v>
          </cell>
          <cell r="K32">
            <v>1</v>
          </cell>
          <cell r="L32">
            <v>20081231</v>
          </cell>
          <cell r="M32">
            <v>0.12</v>
          </cell>
          <cell r="N32">
            <v>20090206</v>
          </cell>
        </row>
        <row r="33">
          <cell r="A33" t="str">
            <v>POM</v>
          </cell>
          <cell r="B33" t="str">
            <v>POM</v>
          </cell>
          <cell r="C33" t="str">
            <v>PEPCO HOLDINGS</v>
          </cell>
          <cell r="D33">
            <v>20081218</v>
          </cell>
          <cell r="E33" t="str">
            <v>EPS</v>
          </cell>
          <cell r="F33" t="str">
            <v>ANN</v>
          </cell>
          <cell r="G33">
            <v>1</v>
          </cell>
          <cell r="H33">
            <v>9</v>
          </cell>
          <cell r="I33">
            <v>1.9</v>
          </cell>
          <cell r="J33">
            <v>1.91</v>
          </cell>
          <cell r="K33">
            <v>1</v>
          </cell>
          <cell r="L33">
            <v>20081231</v>
          </cell>
          <cell r="M33">
            <v>1.93</v>
          </cell>
          <cell r="N33">
            <v>20090302</v>
          </cell>
        </row>
        <row r="34">
          <cell r="A34" t="str">
            <v>POR</v>
          </cell>
          <cell r="B34" t="str">
            <v>PORO</v>
          </cell>
          <cell r="C34" t="str">
            <v>PORTLAND GENERAL</v>
          </cell>
          <cell r="D34">
            <v>20081218</v>
          </cell>
          <cell r="E34" t="str">
            <v>EPS</v>
          </cell>
          <cell r="F34" t="str">
            <v>ANN</v>
          </cell>
          <cell r="G34">
            <v>1</v>
          </cell>
          <cell r="H34">
            <v>3</v>
          </cell>
          <cell r="I34">
            <v>1.75</v>
          </cell>
          <cell r="J34">
            <v>1.64</v>
          </cell>
          <cell r="K34">
            <v>1</v>
          </cell>
          <cell r="L34">
            <v>20081231</v>
          </cell>
          <cell r="M34">
            <v>1.71</v>
          </cell>
          <cell r="N34">
            <v>20090225</v>
          </cell>
        </row>
        <row r="35">
          <cell r="A35" t="str">
            <v>PPL</v>
          </cell>
          <cell r="B35" t="str">
            <v>PPL</v>
          </cell>
          <cell r="C35" t="str">
            <v>PP&amp;L CORP</v>
          </cell>
          <cell r="D35">
            <v>20081218</v>
          </cell>
          <cell r="E35" t="str">
            <v>EPS</v>
          </cell>
          <cell r="F35" t="str">
            <v>ANN</v>
          </cell>
          <cell r="G35">
            <v>1</v>
          </cell>
          <cell r="H35">
            <v>10</v>
          </cell>
          <cell r="I35">
            <v>2</v>
          </cell>
          <cell r="J35">
            <v>2.08</v>
          </cell>
          <cell r="K35">
            <v>1</v>
          </cell>
          <cell r="L35">
            <v>20081231</v>
          </cell>
          <cell r="M35">
            <v>2.02</v>
          </cell>
          <cell r="N35">
            <v>20090204</v>
          </cell>
        </row>
        <row r="36">
          <cell r="A36" t="str">
            <v>PSD</v>
          </cell>
          <cell r="B36" t="str">
            <v>PSD</v>
          </cell>
          <cell r="C36" t="str">
            <v>PUGET ENERGY INC</v>
          </cell>
          <cell r="D36">
            <v>20081218</v>
          </cell>
          <cell r="E36" t="str">
            <v>EPS</v>
          </cell>
          <cell r="F36" t="str">
            <v>ANN</v>
          </cell>
          <cell r="G36">
            <v>1</v>
          </cell>
          <cell r="H36">
            <v>3</v>
          </cell>
          <cell r="I36">
            <v>1.65</v>
          </cell>
          <cell r="J36">
            <v>1.62</v>
          </cell>
          <cell r="K36">
            <v>1</v>
          </cell>
          <cell r="L36">
            <v>20081231</v>
          </cell>
        </row>
        <row r="37">
          <cell r="A37" t="str">
            <v>EIX</v>
          </cell>
          <cell r="B37" t="str">
            <v>SCE</v>
          </cell>
          <cell r="C37" t="str">
            <v>EDISON INTL</v>
          </cell>
          <cell r="D37">
            <v>20081218</v>
          </cell>
          <cell r="E37" t="str">
            <v>EPS</v>
          </cell>
          <cell r="F37" t="str">
            <v>ANN</v>
          </cell>
          <cell r="G37">
            <v>1</v>
          </cell>
          <cell r="H37">
            <v>11</v>
          </cell>
          <cell r="I37">
            <v>3.8</v>
          </cell>
          <cell r="J37">
            <v>3.84</v>
          </cell>
          <cell r="K37">
            <v>1</v>
          </cell>
          <cell r="L37">
            <v>20081231</v>
          </cell>
          <cell r="M37">
            <v>3.84</v>
          </cell>
          <cell r="N37">
            <v>20090302</v>
          </cell>
        </row>
        <row r="38">
          <cell r="A38" t="str">
            <v>SCG</v>
          </cell>
          <cell r="B38" t="str">
            <v>SCG</v>
          </cell>
          <cell r="C38" t="str">
            <v>SCANA CP</v>
          </cell>
          <cell r="D38">
            <v>20081218</v>
          </cell>
          <cell r="E38" t="str">
            <v>EPS</v>
          </cell>
          <cell r="F38" t="str">
            <v>ANN</v>
          </cell>
          <cell r="G38">
            <v>1</v>
          </cell>
          <cell r="H38">
            <v>4</v>
          </cell>
          <cell r="I38">
            <v>3</v>
          </cell>
          <cell r="J38">
            <v>2.93</v>
          </cell>
          <cell r="K38">
            <v>1</v>
          </cell>
          <cell r="L38">
            <v>20081231</v>
          </cell>
          <cell r="M38">
            <v>2.95</v>
          </cell>
          <cell r="N38">
            <v>20090212</v>
          </cell>
        </row>
        <row r="39">
          <cell r="A39" t="str">
            <v>SRE</v>
          </cell>
          <cell r="B39" t="str">
            <v>SDO</v>
          </cell>
          <cell r="C39" t="str">
            <v>SEMPRA ENERGY</v>
          </cell>
          <cell r="D39">
            <v>20081218</v>
          </cell>
          <cell r="E39" t="str">
            <v>EPS</v>
          </cell>
          <cell r="F39" t="str">
            <v>ANN</v>
          </cell>
          <cell r="G39">
            <v>1</v>
          </cell>
          <cell r="H39">
            <v>9</v>
          </cell>
          <cell r="I39">
            <v>3.99</v>
          </cell>
          <cell r="J39">
            <v>3.92</v>
          </cell>
          <cell r="K39">
            <v>1</v>
          </cell>
          <cell r="L39">
            <v>20081231</v>
          </cell>
          <cell r="M39">
            <v>4.43</v>
          </cell>
          <cell r="N39">
            <v>20090224</v>
          </cell>
        </row>
        <row r="40">
          <cell r="A40" t="str">
            <v>VVC</v>
          </cell>
          <cell r="B40" t="str">
            <v>SIG</v>
          </cell>
          <cell r="C40" t="str">
            <v>VECTREN CORP</v>
          </cell>
          <cell r="D40">
            <v>20081218</v>
          </cell>
          <cell r="E40" t="str">
            <v>EPS</v>
          </cell>
          <cell r="F40" t="str">
            <v>ANN</v>
          </cell>
          <cell r="G40">
            <v>1</v>
          </cell>
          <cell r="H40">
            <v>6</v>
          </cell>
          <cell r="I40">
            <v>1.7</v>
          </cell>
          <cell r="J40">
            <v>1.7</v>
          </cell>
          <cell r="K40">
            <v>1</v>
          </cell>
          <cell r="L40">
            <v>20081231</v>
          </cell>
          <cell r="M40">
            <v>1.63</v>
          </cell>
          <cell r="N40">
            <v>20090218</v>
          </cell>
        </row>
        <row r="41">
          <cell r="A41" t="str">
            <v>SO</v>
          </cell>
          <cell r="B41" t="str">
            <v>SO</v>
          </cell>
          <cell r="C41" t="str">
            <v>SOUTHN CO</v>
          </cell>
          <cell r="D41">
            <v>20081218</v>
          </cell>
          <cell r="E41" t="str">
            <v>EPS</v>
          </cell>
          <cell r="F41" t="str">
            <v>ANN</v>
          </cell>
          <cell r="G41">
            <v>1</v>
          </cell>
          <cell r="H41">
            <v>14</v>
          </cell>
          <cell r="I41">
            <v>2.36</v>
          </cell>
          <cell r="J41">
            <v>2.36</v>
          </cell>
          <cell r="K41">
            <v>1</v>
          </cell>
          <cell r="L41">
            <v>20081231</v>
          </cell>
          <cell r="M41">
            <v>2.37</v>
          </cell>
          <cell r="N41">
            <v>20090128</v>
          </cell>
        </row>
        <row r="42">
          <cell r="A42" t="str">
            <v>TE</v>
          </cell>
          <cell r="B42" t="str">
            <v>TE</v>
          </cell>
          <cell r="C42" t="str">
            <v>TECO ENERGY INC</v>
          </cell>
          <cell r="D42">
            <v>20081218</v>
          </cell>
          <cell r="E42" t="str">
            <v>EPS</v>
          </cell>
          <cell r="F42" t="str">
            <v>ANN</v>
          </cell>
          <cell r="G42">
            <v>1</v>
          </cell>
          <cell r="H42">
            <v>15</v>
          </cell>
          <cell r="I42">
            <v>0.84</v>
          </cell>
          <cell r="J42">
            <v>0.85</v>
          </cell>
          <cell r="K42">
            <v>1</v>
          </cell>
          <cell r="L42">
            <v>20081231</v>
          </cell>
          <cell r="M42">
            <v>0.86</v>
          </cell>
          <cell r="N42">
            <v>20090206</v>
          </cell>
        </row>
        <row r="43">
          <cell r="A43" t="str">
            <v>AEE</v>
          </cell>
          <cell r="B43" t="str">
            <v>UEP</v>
          </cell>
          <cell r="C43" t="str">
            <v>AMEREN CP</v>
          </cell>
          <cell r="D43">
            <v>20081218</v>
          </cell>
          <cell r="E43" t="str">
            <v>EPS</v>
          </cell>
          <cell r="F43" t="str">
            <v>ANN</v>
          </cell>
          <cell r="G43">
            <v>1</v>
          </cell>
          <cell r="H43">
            <v>7</v>
          </cell>
          <cell r="I43">
            <v>2.9</v>
          </cell>
          <cell r="J43">
            <v>2.92</v>
          </cell>
          <cell r="K43">
            <v>1</v>
          </cell>
          <cell r="L43">
            <v>20081231</v>
          </cell>
          <cell r="M43">
            <v>2.95</v>
          </cell>
          <cell r="N43">
            <v>20090213</v>
          </cell>
        </row>
        <row r="44">
          <cell r="A44" t="str">
            <v>UIL</v>
          </cell>
          <cell r="B44" t="str">
            <v>UIL</v>
          </cell>
          <cell r="C44" t="str">
            <v>UIL HOLDING CORP</v>
          </cell>
          <cell r="D44">
            <v>20081218</v>
          </cell>
          <cell r="E44" t="str">
            <v>EPS</v>
          </cell>
          <cell r="F44" t="str">
            <v>ANN</v>
          </cell>
          <cell r="G44">
            <v>1</v>
          </cell>
          <cell r="H44">
            <v>1</v>
          </cell>
          <cell r="I44">
            <v>1.9</v>
          </cell>
          <cell r="J44">
            <v>1.9</v>
          </cell>
          <cell r="K44">
            <v>1</v>
          </cell>
          <cell r="L44">
            <v>20081231</v>
          </cell>
          <cell r="M44">
            <v>1.9</v>
          </cell>
          <cell r="N44">
            <v>20090218</v>
          </cell>
        </row>
        <row r="45">
          <cell r="A45" t="str">
            <v>WEC</v>
          </cell>
          <cell r="B45" t="str">
            <v>WPC</v>
          </cell>
          <cell r="C45" t="str">
            <v>WISCONSIN ENERGY</v>
          </cell>
          <cell r="D45">
            <v>20081218</v>
          </cell>
          <cell r="E45" t="str">
            <v>EPS</v>
          </cell>
          <cell r="F45" t="str">
            <v>ANN</v>
          </cell>
          <cell r="G45">
            <v>1</v>
          </cell>
          <cell r="H45">
            <v>11</v>
          </cell>
          <cell r="I45">
            <v>1.45</v>
          </cell>
          <cell r="J45">
            <v>1.44</v>
          </cell>
          <cell r="K45">
            <v>1</v>
          </cell>
          <cell r="L45">
            <v>20081231</v>
          </cell>
          <cell r="M45">
            <v>1.5149999999999999</v>
          </cell>
          <cell r="N45">
            <v>20090203</v>
          </cell>
        </row>
        <row r="46">
          <cell r="A46" t="str">
            <v>LNT</v>
          </cell>
          <cell r="B46" t="str">
            <v>WPL</v>
          </cell>
          <cell r="C46" t="str">
            <v>ALLIANT ENER</v>
          </cell>
          <cell r="D46">
            <v>20081218</v>
          </cell>
          <cell r="E46" t="str">
            <v>EPS</v>
          </cell>
          <cell r="F46" t="str">
            <v>ANN</v>
          </cell>
          <cell r="G46">
            <v>1</v>
          </cell>
          <cell r="H46">
            <v>4</v>
          </cell>
          <cell r="I46">
            <v>1.31</v>
          </cell>
          <cell r="J46">
            <v>1.31</v>
          </cell>
          <cell r="K46">
            <v>1</v>
          </cell>
          <cell r="L46">
            <v>20081231</v>
          </cell>
          <cell r="M46">
            <v>1.2150000000000001</v>
          </cell>
          <cell r="N46">
            <v>20090205</v>
          </cell>
        </row>
        <row r="47">
          <cell r="A47" t="str">
            <v>AVA</v>
          </cell>
          <cell r="B47" t="str">
            <v>WWP</v>
          </cell>
          <cell r="C47" t="str">
            <v>AVISTA CORP</v>
          </cell>
          <cell r="D47">
            <v>20081218</v>
          </cell>
          <cell r="E47" t="str">
            <v>EPS</v>
          </cell>
          <cell r="F47" t="str">
            <v>ANN</v>
          </cell>
          <cell r="G47">
            <v>1</v>
          </cell>
          <cell r="H47">
            <v>5</v>
          </cell>
          <cell r="I47">
            <v>1.4</v>
          </cell>
          <cell r="J47">
            <v>1.41</v>
          </cell>
          <cell r="K47">
            <v>1</v>
          </cell>
          <cell r="L47">
            <v>20081231</v>
          </cell>
          <cell r="M47">
            <v>1.36</v>
          </cell>
          <cell r="N47">
            <v>20090218</v>
          </cell>
        </row>
        <row r="48">
          <cell r="A48" t="str">
            <v>PPL</v>
          </cell>
          <cell r="B48" t="str">
            <v>@1XJ</v>
          </cell>
          <cell r="C48" t="str">
            <v>PUMPKIN PATCH LT</v>
          </cell>
          <cell r="D48">
            <v>20081218</v>
          </cell>
          <cell r="E48" t="str">
            <v>EPS</v>
          </cell>
          <cell r="F48" t="str">
            <v>ANN</v>
          </cell>
          <cell r="G48">
            <v>1</v>
          </cell>
          <cell r="H48">
            <v>4</v>
          </cell>
          <cell r="I48">
            <v>7.6999999999999999E-2</v>
          </cell>
          <cell r="J48">
            <v>7.3999999999999996E-2</v>
          </cell>
          <cell r="K48">
            <v>0</v>
          </cell>
          <cell r="L48">
            <v>20090731</v>
          </cell>
          <cell r="M48">
            <v>0.111</v>
          </cell>
          <cell r="N48">
            <v>20090923</v>
          </cell>
        </row>
        <row r="49">
          <cell r="A49" t="str">
            <v>PPL</v>
          </cell>
          <cell r="B49" t="str">
            <v>@1Z1</v>
          </cell>
          <cell r="C49" t="str">
            <v>PPL</v>
          </cell>
          <cell r="D49">
            <v>20081218</v>
          </cell>
          <cell r="E49" t="str">
            <v>EPS</v>
          </cell>
          <cell r="F49" t="str">
            <v>ANN</v>
          </cell>
          <cell r="G49">
            <v>1</v>
          </cell>
          <cell r="H49">
            <v>2</v>
          </cell>
          <cell r="I49">
            <v>8.65</v>
          </cell>
          <cell r="J49">
            <v>8.65</v>
          </cell>
          <cell r="K49">
            <v>0</v>
          </cell>
          <cell r="L49">
            <v>20090630</v>
          </cell>
          <cell r="N49">
            <v>20090824</v>
          </cell>
        </row>
        <row r="50">
          <cell r="A50" t="str">
            <v>CNP</v>
          </cell>
          <cell r="B50" t="str">
            <v>@3QP</v>
          </cell>
          <cell r="C50" t="str">
            <v>CONAFI PRESTITO</v>
          </cell>
          <cell r="D50">
            <v>20081218</v>
          </cell>
          <cell r="E50" t="str">
            <v>EPS</v>
          </cell>
          <cell r="F50" t="str">
            <v>ANN</v>
          </cell>
          <cell r="G50">
            <v>1</v>
          </cell>
          <cell r="H50">
            <v>2</v>
          </cell>
          <cell r="I50">
            <v>-0.03</v>
          </cell>
          <cell r="J50">
            <v>-0.03</v>
          </cell>
          <cell r="K50">
            <v>0</v>
          </cell>
          <cell r="L50">
            <v>20081231</v>
          </cell>
          <cell r="M50">
            <v>-4.4999999999999998E-2</v>
          </cell>
          <cell r="N50">
            <v>20090326</v>
          </cell>
        </row>
        <row r="51">
          <cell r="A51" t="str">
            <v>IDA</v>
          </cell>
          <cell r="B51" t="str">
            <v>@5W2</v>
          </cell>
          <cell r="C51" t="str">
            <v>IDATECH PLC</v>
          </cell>
          <cell r="D51">
            <v>20081218</v>
          </cell>
          <cell r="E51" t="str">
            <v>EPS</v>
          </cell>
          <cell r="F51" t="str">
            <v>ANN</v>
          </cell>
          <cell r="G51">
            <v>1</v>
          </cell>
          <cell r="H51">
            <v>1</v>
          </cell>
          <cell r="I51">
            <v>-22.15</v>
          </cell>
          <cell r="J51">
            <v>-22.15</v>
          </cell>
          <cell r="K51">
            <v>0</v>
          </cell>
          <cell r="L51">
            <v>20081231</v>
          </cell>
          <cell r="M51">
            <v>-29.710999999999999</v>
          </cell>
          <cell r="N51">
            <v>20090330</v>
          </cell>
        </row>
        <row r="52">
          <cell r="A52" t="str">
            <v>IDA</v>
          </cell>
          <cell r="B52" t="str">
            <v>@5W2</v>
          </cell>
          <cell r="C52" t="str">
            <v>IDATECH PLC</v>
          </cell>
          <cell r="D52">
            <v>20081218</v>
          </cell>
          <cell r="E52" t="str">
            <v>EPS</v>
          </cell>
          <cell r="F52" t="str">
            <v>ANN</v>
          </cell>
          <cell r="G52">
            <v>1</v>
          </cell>
          <cell r="H52">
            <v>1</v>
          </cell>
          <cell r="I52">
            <v>-22.15</v>
          </cell>
          <cell r="J52">
            <v>-22.15</v>
          </cell>
          <cell r="K52">
            <v>0</v>
          </cell>
          <cell r="L52">
            <v>20081231</v>
          </cell>
          <cell r="M52">
            <v>-0.43</v>
          </cell>
          <cell r="N52">
            <v>20090330</v>
          </cell>
        </row>
        <row r="53">
          <cell r="A53" t="str">
            <v>DPL</v>
          </cell>
          <cell r="B53" t="str">
            <v>@6OD</v>
          </cell>
          <cell r="C53" t="str">
            <v>DOMINION PETROLE</v>
          </cell>
          <cell r="D53">
            <v>20081218</v>
          </cell>
          <cell r="E53" t="str">
            <v>EPS</v>
          </cell>
          <cell r="F53" t="str">
            <v>ANN</v>
          </cell>
          <cell r="G53">
            <v>1</v>
          </cell>
          <cell r="H53">
            <v>2</v>
          </cell>
          <cell r="I53">
            <v>-0.04</v>
          </cell>
          <cell r="J53">
            <v>-0.04</v>
          </cell>
          <cell r="K53">
            <v>0</v>
          </cell>
          <cell r="L53">
            <v>20081231</v>
          </cell>
          <cell r="M53">
            <v>-4.8000000000000001E-2</v>
          </cell>
          <cell r="N53">
            <v>20090818</v>
          </cell>
        </row>
        <row r="54">
          <cell r="A54" t="str">
            <v>AGR</v>
          </cell>
          <cell r="B54" t="str">
            <v>@8FV</v>
          </cell>
          <cell r="C54" t="str">
            <v>AGR GROUP</v>
          </cell>
          <cell r="D54">
            <v>20081218</v>
          </cell>
          <cell r="E54" t="str">
            <v>EPS</v>
          </cell>
          <cell r="F54" t="str">
            <v>ANN</v>
          </cell>
          <cell r="G54">
            <v>1</v>
          </cell>
          <cell r="H54">
            <v>1</v>
          </cell>
          <cell r="I54">
            <v>2.2799999999999998</v>
          </cell>
          <cell r="J54">
            <v>2.2799999999999998</v>
          </cell>
          <cell r="K54">
            <v>0</v>
          </cell>
          <cell r="L54">
            <v>20081231</v>
          </cell>
          <cell r="M54">
            <v>-0.1081</v>
          </cell>
          <cell r="N54">
            <v>20090226</v>
          </cell>
        </row>
        <row r="55">
          <cell r="A55" t="str">
            <v>CNP</v>
          </cell>
          <cell r="B55" t="str">
            <v>@8PG</v>
          </cell>
          <cell r="C55" t="str">
            <v>CENTRO PROPERTIE</v>
          </cell>
          <cell r="D55">
            <v>20081218</v>
          </cell>
          <cell r="E55" t="str">
            <v>EPS</v>
          </cell>
          <cell r="F55" t="str">
            <v>ANN</v>
          </cell>
          <cell r="G55">
            <v>1</v>
          </cell>
          <cell r="H55">
            <v>2</v>
          </cell>
          <cell r="I55">
            <v>0.253</v>
          </cell>
          <cell r="J55">
            <v>0.253</v>
          </cell>
          <cell r="K55">
            <v>0</v>
          </cell>
          <cell r="L55">
            <v>20090630</v>
          </cell>
          <cell r="M55">
            <v>0.25900000000000001</v>
          </cell>
          <cell r="N55">
            <v>20090827</v>
          </cell>
        </row>
        <row r="56">
          <cell r="A56" t="str">
            <v>AGR</v>
          </cell>
          <cell r="B56" t="str">
            <v>@A7S</v>
          </cell>
          <cell r="C56" t="str">
            <v>AGROB ST</v>
          </cell>
          <cell r="D56">
            <v>20081218</v>
          </cell>
          <cell r="E56" t="str">
            <v>EPS</v>
          </cell>
          <cell r="F56" t="str">
            <v>ANN</v>
          </cell>
          <cell r="G56">
            <v>1</v>
          </cell>
          <cell r="H56">
            <v>1</v>
          </cell>
          <cell r="I56">
            <v>0.33</v>
          </cell>
          <cell r="J56">
            <v>0.33</v>
          </cell>
          <cell r="K56">
            <v>0</v>
          </cell>
          <cell r="L56">
            <v>20081231</v>
          </cell>
        </row>
        <row r="57">
          <cell r="A57" t="str">
            <v>AGR</v>
          </cell>
          <cell r="B57" t="str">
            <v>@AR7</v>
          </cell>
          <cell r="C57" t="str">
            <v>AGRANA VZ</v>
          </cell>
          <cell r="D57">
            <v>20081218</v>
          </cell>
          <cell r="E57" t="str">
            <v>EPS</v>
          </cell>
          <cell r="F57" t="str">
            <v>ANN</v>
          </cell>
          <cell r="G57">
            <v>1</v>
          </cell>
          <cell r="H57">
            <v>5</v>
          </cell>
          <cell r="I57">
            <v>-0.09</v>
          </cell>
          <cell r="J57">
            <v>0.06</v>
          </cell>
          <cell r="K57">
            <v>0</v>
          </cell>
          <cell r="L57">
            <v>20090228</v>
          </cell>
          <cell r="M57">
            <v>-0.2039</v>
          </cell>
          <cell r="N57">
            <v>20090520</v>
          </cell>
        </row>
        <row r="58">
          <cell r="A58" t="str">
            <v>CNP</v>
          </cell>
          <cell r="B58" t="str">
            <v>@CN0</v>
          </cell>
          <cell r="C58" t="str">
            <v>CNP ASSURANCES</v>
          </cell>
          <cell r="D58">
            <v>20081218</v>
          </cell>
          <cell r="E58" t="str">
            <v>EPS</v>
          </cell>
          <cell r="F58" t="str">
            <v>ANN</v>
          </cell>
          <cell r="G58">
            <v>1</v>
          </cell>
          <cell r="H58">
            <v>13</v>
          </cell>
          <cell r="I58">
            <v>1.97</v>
          </cell>
          <cell r="J58">
            <v>1.93</v>
          </cell>
          <cell r="K58">
            <v>0</v>
          </cell>
          <cell r="L58">
            <v>20081231</v>
          </cell>
          <cell r="M58">
            <v>1.2250000000000001</v>
          </cell>
          <cell r="N58">
            <v>20090225</v>
          </cell>
        </row>
        <row r="59">
          <cell r="A59" t="str">
            <v>SO</v>
          </cell>
          <cell r="B59" t="str">
            <v>@DAM</v>
          </cell>
          <cell r="C59" t="str">
            <v>SOMFY</v>
          </cell>
          <cell r="D59">
            <v>20081218</v>
          </cell>
          <cell r="E59" t="str">
            <v>EPS</v>
          </cell>
          <cell r="F59" t="str">
            <v>ANN</v>
          </cell>
          <cell r="G59">
            <v>1</v>
          </cell>
          <cell r="H59">
            <v>6</v>
          </cell>
          <cell r="I59">
            <v>2.4900000000000002</v>
          </cell>
          <cell r="J59">
            <v>2.5</v>
          </cell>
          <cell r="K59">
            <v>0</v>
          </cell>
          <cell r="L59">
            <v>20081231</v>
          </cell>
          <cell r="M59">
            <v>2.0044</v>
          </cell>
          <cell r="N59">
            <v>20090226</v>
          </cell>
        </row>
        <row r="60">
          <cell r="A60" t="str">
            <v>DTE</v>
          </cell>
          <cell r="B60" t="str">
            <v>@DT</v>
          </cell>
          <cell r="C60" t="str">
            <v>DEUTSCHE TELEKOM</v>
          </cell>
          <cell r="D60">
            <v>20081218</v>
          </cell>
          <cell r="E60" t="str">
            <v>EPS</v>
          </cell>
          <cell r="F60" t="str">
            <v>ANN</v>
          </cell>
          <cell r="G60">
            <v>1</v>
          </cell>
          <cell r="H60">
            <v>38</v>
          </cell>
          <cell r="I60">
            <v>0.73</v>
          </cell>
          <cell r="J60">
            <v>0.74</v>
          </cell>
          <cell r="K60">
            <v>0</v>
          </cell>
          <cell r="L60">
            <v>20081231</v>
          </cell>
          <cell r="M60">
            <v>0.78600000000000003</v>
          </cell>
          <cell r="N60">
            <v>20090227</v>
          </cell>
        </row>
        <row r="61">
          <cell r="A61" t="str">
            <v>EDE</v>
          </cell>
          <cell r="B61" t="str">
            <v>@E2L</v>
          </cell>
          <cell r="C61" t="str">
            <v>EDEGEL</v>
          </cell>
          <cell r="D61">
            <v>20081218</v>
          </cell>
          <cell r="E61" t="str">
            <v>EPS</v>
          </cell>
          <cell r="F61" t="str">
            <v>ANN</v>
          </cell>
          <cell r="G61">
            <v>1</v>
          </cell>
          <cell r="H61">
            <v>1</v>
          </cell>
          <cell r="I61">
            <v>7.0000000000000007E-2</v>
          </cell>
          <cell r="J61">
            <v>7.0000000000000007E-2</v>
          </cell>
          <cell r="K61">
            <v>0</v>
          </cell>
          <cell r="L61">
            <v>20081231</v>
          </cell>
          <cell r="M61">
            <v>1.54E-2</v>
          </cell>
          <cell r="N61">
            <v>20090323</v>
          </cell>
        </row>
        <row r="62">
          <cell r="A62" t="str">
            <v>EDE</v>
          </cell>
          <cell r="B62" t="str">
            <v>@E2L</v>
          </cell>
          <cell r="C62" t="str">
            <v>EDEGEL</v>
          </cell>
          <cell r="D62">
            <v>20081218</v>
          </cell>
          <cell r="E62" t="str">
            <v>EPS</v>
          </cell>
          <cell r="F62" t="str">
            <v>ANN</v>
          </cell>
          <cell r="G62">
            <v>1</v>
          </cell>
          <cell r="H62">
            <v>1</v>
          </cell>
          <cell r="I62">
            <v>7.0000000000000007E-2</v>
          </cell>
          <cell r="J62">
            <v>7.0000000000000007E-2</v>
          </cell>
          <cell r="K62">
            <v>0</v>
          </cell>
          <cell r="L62">
            <v>20081231</v>
          </cell>
          <cell r="M62">
            <v>4.4299999999999999E-2</v>
          </cell>
          <cell r="N62">
            <v>20090323</v>
          </cell>
        </row>
        <row r="63">
          <cell r="A63" t="str">
            <v>CMS</v>
          </cell>
          <cell r="B63" t="str">
            <v>@HMD</v>
          </cell>
          <cell r="C63" t="str">
            <v>CAHYA MATA SARA.</v>
          </cell>
          <cell r="D63">
            <v>20081218</v>
          </cell>
          <cell r="E63" t="str">
            <v>EPS</v>
          </cell>
          <cell r="F63" t="str">
            <v>ANN</v>
          </cell>
          <cell r="G63">
            <v>1</v>
          </cell>
          <cell r="H63">
            <v>1</v>
          </cell>
          <cell r="I63">
            <v>0.05</v>
          </cell>
          <cell r="J63">
            <v>0.05</v>
          </cell>
          <cell r="K63">
            <v>0</v>
          </cell>
          <cell r="L63">
            <v>20081231</v>
          </cell>
          <cell r="M63">
            <v>8.5599999999999996E-2</v>
          </cell>
          <cell r="N63">
            <v>20090302</v>
          </cell>
        </row>
        <row r="64">
          <cell r="A64" t="str">
            <v>PGN</v>
          </cell>
          <cell r="B64" t="str">
            <v>@J5W</v>
          </cell>
          <cell r="C64" t="str">
            <v>POLISH OIL &amp; GAS</v>
          </cell>
          <cell r="D64">
            <v>20081218</v>
          </cell>
          <cell r="E64" t="str">
            <v>EPS</v>
          </cell>
          <cell r="F64" t="str">
            <v>ANN</v>
          </cell>
          <cell r="G64">
            <v>1</v>
          </cell>
          <cell r="H64">
            <v>7</v>
          </cell>
          <cell r="I64">
            <v>0.23</v>
          </cell>
          <cell r="J64">
            <v>0.21</v>
          </cell>
          <cell r="K64">
            <v>0</v>
          </cell>
          <cell r="L64">
            <v>20081231</v>
          </cell>
          <cell r="M64">
            <v>0.16</v>
          </cell>
          <cell r="N64">
            <v>20090302</v>
          </cell>
        </row>
        <row r="65">
          <cell r="A65" t="str">
            <v>NST</v>
          </cell>
          <cell r="B65" t="str">
            <v>@NST</v>
          </cell>
          <cell r="C65" t="str">
            <v>NEW STRAITS TIME</v>
          </cell>
          <cell r="D65">
            <v>20081218</v>
          </cell>
          <cell r="E65" t="str">
            <v>EPS</v>
          </cell>
          <cell r="F65" t="str">
            <v>ANN</v>
          </cell>
          <cell r="G65">
            <v>1</v>
          </cell>
          <cell r="H65">
            <v>6</v>
          </cell>
          <cell r="I65">
            <v>0.154</v>
          </cell>
          <cell r="J65">
            <v>0.151</v>
          </cell>
          <cell r="K65">
            <v>0</v>
          </cell>
          <cell r="L65">
            <v>20081231</v>
          </cell>
          <cell r="M65">
            <v>0.16089999999999999</v>
          </cell>
          <cell r="N65">
            <v>20090302</v>
          </cell>
        </row>
        <row r="66">
          <cell r="A66" t="str">
            <v>SRE</v>
          </cell>
          <cell r="B66" t="str">
            <v>@O5S</v>
          </cell>
          <cell r="C66" t="str">
            <v>SALHIA REAL ESTA</v>
          </cell>
          <cell r="D66">
            <v>20081218</v>
          </cell>
          <cell r="E66" t="str">
            <v>EPS</v>
          </cell>
          <cell r="F66" t="str">
            <v>ANN</v>
          </cell>
          <cell r="G66">
            <v>1</v>
          </cell>
          <cell r="H66">
            <v>1</v>
          </cell>
          <cell r="I66">
            <v>4.7E-2</v>
          </cell>
          <cell r="J66">
            <v>4.7E-2</v>
          </cell>
          <cell r="K66">
            <v>0</v>
          </cell>
          <cell r="L66">
            <v>20081231</v>
          </cell>
          <cell r="N66">
            <v>20090331</v>
          </cell>
        </row>
        <row r="67">
          <cell r="A67" t="str">
            <v>POM</v>
          </cell>
          <cell r="B67" t="str">
            <v>@PO8</v>
          </cell>
          <cell r="C67" t="str">
            <v>PLASTIC OMNIUM</v>
          </cell>
          <cell r="D67">
            <v>20081218</v>
          </cell>
          <cell r="E67" t="str">
            <v>EPS</v>
          </cell>
          <cell r="F67" t="str">
            <v>ANN</v>
          </cell>
          <cell r="G67">
            <v>1</v>
          </cell>
          <cell r="H67">
            <v>6</v>
          </cell>
          <cell r="I67">
            <v>0.17</v>
          </cell>
          <cell r="J67">
            <v>0.17</v>
          </cell>
          <cell r="K67">
            <v>0</v>
          </cell>
          <cell r="L67">
            <v>20081231</v>
          </cell>
          <cell r="M67">
            <v>-0.38919999999999999</v>
          </cell>
          <cell r="N67">
            <v>20090317</v>
          </cell>
        </row>
        <row r="68">
          <cell r="A68" t="str">
            <v>PGN</v>
          </cell>
          <cell r="B68" t="str">
            <v>@QPA</v>
          </cell>
          <cell r="C68" t="str">
            <v>PARAGON</v>
          </cell>
          <cell r="D68">
            <v>20081218</v>
          </cell>
          <cell r="E68" t="str">
            <v>EPS</v>
          </cell>
          <cell r="F68" t="str">
            <v>ANN</v>
          </cell>
          <cell r="G68">
            <v>1</v>
          </cell>
          <cell r="H68">
            <v>1</v>
          </cell>
          <cell r="I68">
            <v>0.08</v>
          </cell>
          <cell r="J68">
            <v>0.08</v>
          </cell>
          <cell r="K68">
            <v>0</v>
          </cell>
          <cell r="L68">
            <v>20081231</v>
          </cell>
          <cell r="M68">
            <v>-2.27</v>
          </cell>
          <cell r="N68">
            <v>20090317</v>
          </cell>
        </row>
        <row r="69">
          <cell r="A69" t="str">
            <v>SO</v>
          </cell>
          <cell r="B69" t="str">
            <v>@SGF</v>
          </cell>
          <cell r="C69" t="str">
            <v>SOGEFI</v>
          </cell>
          <cell r="D69">
            <v>20081218</v>
          </cell>
          <cell r="E69" t="str">
            <v>EPS</v>
          </cell>
          <cell r="F69" t="str">
            <v>ANN</v>
          </cell>
          <cell r="G69">
            <v>1</v>
          </cell>
          <cell r="H69">
            <v>9</v>
          </cell>
          <cell r="I69">
            <v>0.33</v>
          </cell>
          <cell r="J69">
            <v>0.34</v>
          </cell>
          <cell r="K69">
            <v>0</v>
          </cell>
          <cell r="L69">
            <v>20081231</v>
          </cell>
          <cell r="M69">
            <v>0.245</v>
          </cell>
          <cell r="N69">
            <v>20090226</v>
          </cell>
        </row>
        <row r="70">
          <cell r="A70" t="str">
            <v>DTE</v>
          </cell>
          <cell r="B70" t="str">
            <v>@UIU</v>
          </cell>
          <cell r="C70" t="str">
            <v>DATONG PLC</v>
          </cell>
          <cell r="D70">
            <v>20081218</v>
          </cell>
          <cell r="E70" t="str">
            <v>EPS</v>
          </cell>
          <cell r="F70" t="str">
            <v>ANN</v>
          </cell>
          <cell r="G70">
            <v>1</v>
          </cell>
          <cell r="H70">
            <v>1</v>
          </cell>
          <cell r="I70">
            <v>11.6</v>
          </cell>
          <cell r="J70">
            <v>11.6</v>
          </cell>
          <cell r="K70">
            <v>0</v>
          </cell>
          <cell r="L70">
            <v>20090331</v>
          </cell>
          <cell r="N70">
            <v>20090909</v>
          </cell>
        </row>
        <row r="71">
          <cell r="A71" t="str">
            <v>AGR</v>
          </cell>
          <cell r="B71" t="str">
            <v>@V2M</v>
          </cell>
          <cell r="C71" t="str">
            <v>ASSURA GROUP</v>
          </cell>
          <cell r="D71">
            <v>20081218</v>
          </cell>
          <cell r="E71" t="str">
            <v>EPS</v>
          </cell>
          <cell r="F71" t="str">
            <v>ANN</v>
          </cell>
          <cell r="G71">
            <v>1</v>
          </cell>
          <cell r="H71">
            <v>1</v>
          </cell>
          <cell r="I71">
            <v>-9.44</v>
          </cell>
          <cell r="J71">
            <v>-9.44</v>
          </cell>
          <cell r="K71">
            <v>0</v>
          </cell>
          <cell r="L71">
            <v>20090331</v>
          </cell>
          <cell r="M71">
            <v>-38.619599999999998</v>
          </cell>
          <cell r="N71">
            <v>20090630</v>
          </cell>
        </row>
        <row r="72">
          <cell r="A72" t="str">
            <v>SRE</v>
          </cell>
          <cell r="B72" t="str">
            <v>@VRU</v>
          </cell>
          <cell r="C72" t="str">
            <v>SIRIUS REAL ESTA</v>
          </cell>
          <cell r="D72">
            <v>20081218</v>
          </cell>
          <cell r="E72" t="str">
            <v>EPS</v>
          </cell>
          <cell r="F72" t="str">
            <v>ANN</v>
          </cell>
          <cell r="G72">
            <v>1</v>
          </cell>
          <cell r="H72">
            <v>1</v>
          </cell>
          <cell r="I72">
            <v>0.04</v>
          </cell>
          <cell r="J72">
            <v>0.04</v>
          </cell>
          <cell r="K72">
            <v>0</v>
          </cell>
          <cell r="L72">
            <v>20090331</v>
          </cell>
          <cell r="M72">
            <v>-1.6E-2</v>
          </cell>
          <cell r="N72">
            <v>20090608</v>
          </cell>
        </row>
        <row r="73">
          <cell r="A73" t="str">
            <v>CIN</v>
          </cell>
          <cell r="B73" t="str">
            <v>@W1E</v>
          </cell>
          <cell r="C73" t="str">
            <v>CINTRA CONCESION</v>
          </cell>
          <cell r="D73">
            <v>20081218</v>
          </cell>
          <cell r="E73" t="str">
            <v>EPS</v>
          </cell>
          <cell r="F73" t="str">
            <v>ANN</v>
          </cell>
          <cell r="G73">
            <v>1</v>
          </cell>
          <cell r="H73">
            <v>25</v>
          </cell>
          <cell r="I73">
            <v>-0.09</v>
          </cell>
          <cell r="J73">
            <v>-0.1</v>
          </cell>
          <cell r="K73">
            <v>0</v>
          </cell>
          <cell r="L73">
            <v>20081231</v>
          </cell>
          <cell r="M73">
            <v>-8.5000000000000006E-2</v>
          </cell>
          <cell r="N73">
            <v>20090225</v>
          </cell>
        </row>
        <row r="74">
          <cell r="A74" t="str">
            <v>CMS</v>
          </cell>
          <cell r="B74" t="str">
            <v>@XJM</v>
          </cell>
          <cell r="C74" t="str">
            <v>COMMUNISIS PLC</v>
          </cell>
          <cell r="D74">
            <v>20081218</v>
          </cell>
          <cell r="E74" t="str">
            <v>EPS</v>
          </cell>
          <cell r="F74" t="str">
            <v>ANN</v>
          </cell>
          <cell r="G74">
            <v>1</v>
          </cell>
          <cell r="H74">
            <v>2</v>
          </cell>
          <cell r="I74">
            <v>6.27</v>
          </cell>
          <cell r="J74">
            <v>6.27</v>
          </cell>
          <cell r="K74">
            <v>0</v>
          </cell>
          <cell r="L74">
            <v>20081231</v>
          </cell>
          <cell r="M74">
            <v>6.2016999999999998</v>
          </cell>
          <cell r="N74">
            <v>20090226</v>
          </cell>
        </row>
        <row r="75">
          <cell r="A75" t="str">
            <v>HE</v>
          </cell>
          <cell r="B75" t="str">
            <v>HES1</v>
          </cell>
          <cell r="C75" t="str">
            <v>HANWEI ENERGY</v>
          </cell>
          <cell r="D75">
            <v>20081218</v>
          </cell>
          <cell r="E75" t="str">
            <v>EPS</v>
          </cell>
          <cell r="F75" t="str">
            <v>ANN</v>
          </cell>
          <cell r="G75">
            <v>1</v>
          </cell>
          <cell r="H75">
            <v>5</v>
          </cell>
          <cell r="I75">
            <v>0.21</v>
          </cell>
          <cell r="J75">
            <v>0.18</v>
          </cell>
          <cell r="K75">
            <v>0</v>
          </cell>
          <cell r="L75">
            <v>20081231</v>
          </cell>
          <cell r="M75">
            <v>0.13</v>
          </cell>
          <cell r="N75">
            <v>20090401</v>
          </cell>
        </row>
        <row r="76">
          <cell r="A76" t="str">
            <v>PCG</v>
          </cell>
          <cell r="B76" t="str">
            <v>PCG1</v>
          </cell>
          <cell r="C76" t="str">
            <v>POWERCOMM INC</v>
          </cell>
          <cell r="D76">
            <v>20081218</v>
          </cell>
          <cell r="E76" t="str">
            <v>EPS</v>
          </cell>
          <cell r="F76" t="str">
            <v>ANN</v>
          </cell>
          <cell r="G76">
            <v>1</v>
          </cell>
          <cell r="H76">
            <v>1</v>
          </cell>
          <cell r="I76">
            <v>0.04</v>
          </cell>
          <cell r="J76">
            <v>0.04</v>
          </cell>
          <cell r="K76">
            <v>0</v>
          </cell>
          <cell r="L76">
            <v>20090331</v>
          </cell>
          <cell r="M76">
            <v>-0.15</v>
          </cell>
          <cell r="N76">
            <v>20090626</v>
          </cell>
        </row>
        <row r="77">
          <cell r="A77" t="str">
            <v>POM</v>
          </cell>
          <cell r="B77" t="str">
            <v>POM1</v>
          </cell>
          <cell r="C77" t="str">
            <v>POLYMET MINING C</v>
          </cell>
          <cell r="D77">
            <v>20081218</v>
          </cell>
          <cell r="E77" t="str">
            <v>EPS</v>
          </cell>
          <cell r="F77" t="str">
            <v>ANN</v>
          </cell>
          <cell r="G77">
            <v>1</v>
          </cell>
          <cell r="H77">
            <v>1</v>
          </cell>
          <cell r="I77">
            <v>-0.1</v>
          </cell>
          <cell r="J77">
            <v>-0.1</v>
          </cell>
          <cell r="K77">
            <v>0</v>
          </cell>
          <cell r="L77">
            <v>20090131</v>
          </cell>
          <cell r="M77">
            <v>-0.3</v>
          </cell>
          <cell r="N77">
            <v>20090501</v>
          </cell>
        </row>
        <row r="78">
          <cell r="A78" t="str">
            <v>PSD</v>
          </cell>
          <cell r="B78" t="str">
            <v>PSD3</v>
          </cell>
          <cell r="C78" t="str">
            <v>PULSE DATA INC</v>
          </cell>
          <cell r="D78">
            <v>20081218</v>
          </cell>
          <cell r="E78" t="str">
            <v>EPS</v>
          </cell>
          <cell r="F78" t="str">
            <v>ANN</v>
          </cell>
          <cell r="G78">
            <v>1</v>
          </cell>
          <cell r="H78">
            <v>3</v>
          </cell>
          <cell r="I78">
            <v>0.11</v>
          </cell>
          <cell r="J78">
            <v>0.1</v>
          </cell>
          <cell r="K78">
            <v>0</v>
          </cell>
          <cell r="L78">
            <v>20081231</v>
          </cell>
          <cell r="M78">
            <v>0.02</v>
          </cell>
          <cell r="N78">
            <v>20090323</v>
          </cell>
        </row>
        <row r="79">
          <cell r="A79" t="str">
            <v>SO</v>
          </cell>
          <cell r="B79" t="str">
            <v>SOCA</v>
          </cell>
          <cell r="C79" t="str">
            <v>SOFTCHOICE CORP</v>
          </cell>
          <cell r="D79">
            <v>20081218</v>
          </cell>
          <cell r="E79" t="str">
            <v>EPS</v>
          </cell>
          <cell r="F79" t="str">
            <v>ANN</v>
          </cell>
          <cell r="G79">
            <v>1</v>
          </cell>
          <cell r="H79">
            <v>3</v>
          </cell>
          <cell r="I79">
            <v>0.69</v>
          </cell>
          <cell r="J79">
            <v>0.72</v>
          </cell>
          <cell r="K79">
            <v>0</v>
          </cell>
          <cell r="L79">
            <v>20081231</v>
          </cell>
          <cell r="M79">
            <v>-0.82</v>
          </cell>
          <cell r="N79">
            <v>20090211</v>
          </cell>
        </row>
        <row r="80">
          <cell r="A80" t="str">
            <v>SO</v>
          </cell>
          <cell r="B80" t="str">
            <v>SOCA</v>
          </cell>
          <cell r="C80" t="str">
            <v>SOFTCHOICE CORP</v>
          </cell>
          <cell r="D80">
            <v>20081218</v>
          </cell>
          <cell r="E80" t="str">
            <v>EPS</v>
          </cell>
          <cell r="F80" t="str">
            <v>ANN</v>
          </cell>
          <cell r="G80">
            <v>1</v>
          </cell>
          <cell r="H80">
            <v>3</v>
          </cell>
          <cell r="I80">
            <v>0.69</v>
          </cell>
          <cell r="J80">
            <v>0.72</v>
          </cell>
          <cell r="K80">
            <v>0</v>
          </cell>
          <cell r="L80">
            <v>20081231</v>
          </cell>
          <cell r="M80">
            <v>-0.88</v>
          </cell>
          <cell r="N80">
            <v>20090211</v>
          </cell>
        </row>
        <row r="81">
          <cell r="A81" t="str">
            <v>WPS</v>
          </cell>
          <cell r="B81" t="str">
            <v>WPS1</v>
          </cell>
          <cell r="C81" t="str">
            <v>WELLPOINT SYSTEM</v>
          </cell>
          <cell r="D81">
            <v>20081218</v>
          </cell>
          <cell r="E81" t="str">
            <v>EPS</v>
          </cell>
          <cell r="F81" t="str">
            <v>ANN</v>
          </cell>
          <cell r="G81">
            <v>1</v>
          </cell>
          <cell r="H81">
            <v>1</v>
          </cell>
          <cell r="I81">
            <v>-0.05</v>
          </cell>
          <cell r="J81">
            <v>-0.05</v>
          </cell>
          <cell r="K81">
            <v>0</v>
          </cell>
          <cell r="L81">
            <v>20081231</v>
          </cell>
          <cell r="M81">
            <v>-0.56000000000000005</v>
          </cell>
          <cell r="N81">
            <v>20090427</v>
          </cell>
        </row>
      </sheetData>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RDS"/>
    </sheetNames>
    <sheetDataSet>
      <sheetData sheetId="0">
        <row r="1">
          <cell r="A1" t="str">
            <v>OFTIC</v>
          </cell>
          <cell r="B1" t="str">
            <v>IBES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USFIRM=0 if from .INT file and USFIRM=1 if from .US file</v>
          </cell>
          <cell r="M1" t="str">
            <v>Forecast Period End Date (SAS Format)</v>
          </cell>
          <cell r="N1" t="str">
            <v>Actual Value, from the Detail Actuals File</v>
          </cell>
          <cell r="O1" t="str">
            <v>Announce date of the Actual, from the Detail Actuals File</v>
          </cell>
        </row>
        <row r="2">
          <cell r="A2" t="str">
            <v>PNW</v>
          </cell>
          <cell r="B2" t="str">
            <v>AZP</v>
          </cell>
          <cell r="C2" t="str">
            <v>PINNACLE WST CAP</v>
          </cell>
          <cell r="D2">
            <v>20081218</v>
          </cell>
          <cell r="E2" t="str">
            <v>EPS</v>
          </cell>
          <cell r="F2" t="str">
            <v>LTG</v>
          </cell>
          <cell r="G2">
            <v>0</v>
          </cell>
          <cell r="H2">
            <v>3</v>
          </cell>
          <cell r="I2">
            <v>4.51</v>
          </cell>
          <cell r="J2">
            <v>4.5</v>
          </cell>
          <cell r="K2">
            <v>1.5</v>
          </cell>
          <cell r="L2">
            <v>1</v>
          </cell>
        </row>
        <row r="3">
          <cell r="A3" t="str">
            <v>CEG</v>
          </cell>
          <cell r="B3" t="str">
            <v>BGE</v>
          </cell>
          <cell r="C3" t="str">
            <v>CONSTELLATION EN</v>
          </cell>
          <cell r="D3">
            <v>20081218</v>
          </cell>
          <cell r="E3" t="str">
            <v>EPS</v>
          </cell>
          <cell r="F3" t="str">
            <v>LTG</v>
          </cell>
          <cell r="G3">
            <v>0</v>
          </cell>
          <cell r="H3">
            <v>2</v>
          </cell>
          <cell r="I3">
            <v>13.9</v>
          </cell>
          <cell r="J3">
            <v>13.9</v>
          </cell>
          <cell r="K3">
            <v>1.27</v>
          </cell>
          <cell r="L3">
            <v>1</v>
          </cell>
        </row>
        <row r="4">
          <cell r="A4" t="str">
            <v>BKH</v>
          </cell>
          <cell r="B4" t="str">
            <v>BHP</v>
          </cell>
          <cell r="C4" t="str">
            <v>BLACK HILLS CP</v>
          </cell>
          <cell r="D4">
            <v>20081218</v>
          </cell>
          <cell r="E4" t="str">
            <v>EPS</v>
          </cell>
          <cell r="F4" t="str">
            <v>LTG</v>
          </cell>
          <cell r="G4">
            <v>0</v>
          </cell>
          <cell r="H4">
            <v>1</v>
          </cell>
          <cell r="I4">
            <v>7</v>
          </cell>
          <cell r="J4">
            <v>7</v>
          </cell>
          <cell r="L4">
            <v>1</v>
          </cell>
        </row>
        <row r="5">
          <cell r="A5" t="str">
            <v>NST</v>
          </cell>
          <cell r="B5" t="str">
            <v>BSE</v>
          </cell>
          <cell r="C5" t="str">
            <v>NSTAR</v>
          </cell>
          <cell r="D5">
            <v>20081218</v>
          </cell>
          <cell r="E5" t="str">
            <v>EPS</v>
          </cell>
          <cell r="F5" t="str">
            <v>LTG</v>
          </cell>
          <cell r="G5">
            <v>0</v>
          </cell>
          <cell r="H5">
            <v>2</v>
          </cell>
          <cell r="I5">
            <v>7</v>
          </cell>
          <cell r="J5">
            <v>7</v>
          </cell>
          <cell r="K5">
            <v>1.41</v>
          </cell>
          <cell r="L5">
            <v>1</v>
          </cell>
        </row>
        <row r="6">
          <cell r="A6" t="str">
            <v>CMS</v>
          </cell>
          <cell r="B6" t="str">
            <v>CMS</v>
          </cell>
          <cell r="C6" t="str">
            <v>CMS ENERGY CORP</v>
          </cell>
          <cell r="D6">
            <v>20081218</v>
          </cell>
          <cell r="E6" t="str">
            <v>EPS</v>
          </cell>
          <cell r="F6" t="str">
            <v>LTG</v>
          </cell>
          <cell r="G6">
            <v>0</v>
          </cell>
          <cell r="H6">
            <v>3</v>
          </cell>
          <cell r="I6">
            <v>7</v>
          </cell>
          <cell r="J6">
            <v>7</v>
          </cell>
          <cell r="K6">
            <v>1</v>
          </cell>
          <cell r="L6">
            <v>1</v>
          </cell>
        </row>
        <row r="7">
          <cell r="A7" t="str">
            <v>CNL</v>
          </cell>
          <cell r="B7" t="str">
            <v>CNL</v>
          </cell>
          <cell r="C7" t="str">
            <v>CLECO CORP</v>
          </cell>
          <cell r="D7">
            <v>20081218</v>
          </cell>
          <cell r="E7" t="str">
            <v>EPS</v>
          </cell>
          <cell r="F7" t="str">
            <v>LTG</v>
          </cell>
          <cell r="G7">
            <v>0</v>
          </cell>
          <cell r="H7">
            <v>1</v>
          </cell>
          <cell r="I7">
            <v>14.26</v>
          </cell>
          <cell r="J7">
            <v>14.26</v>
          </cell>
          <cell r="L7">
            <v>1</v>
          </cell>
        </row>
        <row r="8">
          <cell r="A8" t="str">
            <v>PGN</v>
          </cell>
          <cell r="B8" t="str">
            <v>CPL</v>
          </cell>
          <cell r="C8" t="str">
            <v>PROGRESS ENERGY</v>
          </cell>
          <cell r="D8">
            <v>20081218</v>
          </cell>
          <cell r="E8" t="str">
            <v>EPS</v>
          </cell>
          <cell r="F8" t="str">
            <v>LTG</v>
          </cell>
          <cell r="G8">
            <v>0</v>
          </cell>
          <cell r="H8">
            <v>5</v>
          </cell>
          <cell r="I8">
            <v>5</v>
          </cell>
          <cell r="J8">
            <v>5.96</v>
          </cell>
          <cell r="K8">
            <v>2.84</v>
          </cell>
          <cell r="L8">
            <v>1</v>
          </cell>
        </row>
        <row r="9">
          <cell r="A9" t="str">
            <v>D</v>
          </cell>
          <cell r="B9" t="str">
            <v>D</v>
          </cell>
          <cell r="C9" t="str">
            <v>DOMINION RES INC</v>
          </cell>
          <cell r="D9">
            <v>20081218</v>
          </cell>
          <cell r="E9" t="str">
            <v>EPS</v>
          </cell>
          <cell r="F9" t="str">
            <v>LTG</v>
          </cell>
          <cell r="G9">
            <v>0</v>
          </cell>
          <cell r="H9">
            <v>5</v>
          </cell>
          <cell r="I9">
            <v>7</v>
          </cell>
          <cell r="J9">
            <v>8.16</v>
          </cell>
          <cell r="K9">
            <v>3.58</v>
          </cell>
          <cell r="L9">
            <v>1</v>
          </cell>
        </row>
        <row r="10">
          <cell r="A10" t="str">
            <v>DPL</v>
          </cell>
          <cell r="B10" t="str">
            <v>DPL</v>
          </cell>
          <cell r="C10" t="str">
            <v>DPL INC</v>
          </cell>
          <cell r="D10">
            <v>20081218</v>
          </cell>
          <cell r="E10" t="str">
            <v>EPS</v>
          </cell>
          <cell r="F10" t="str">
            <v>LTG</v>
          </cell>
          <cell r="G10">
            <v>0</v>
          </cell>
          <cell r="H10">
            <v>3</v>
          </cell>
          <cell r="I10">
            <v>10</v>
          </cell>
          <cell r="J10">
            <v>10.33</v>
          </cell>
          <cell r="K10">
            <v>6.51</v>
          </cell>
          <cell r="L10">
            <v>1</v>
          </cell>
        </row>
        <row r="11">
          <cell r="A11" t="str">
            <v>DTE</v>
          </cell>
          <cell r="B11" t="str">
            <v>DTE</v>
          </cell>
          <cell r="C11" t="str">
            <v>DTE ENERGY</v>
          </cell>
          <cell r="D11">
            <v>20081218</v>
          </cell>
          <cell r="E11" t="str">
            <v>EPS</v>
          </cell>
          <cell r="F11" t="str">
            <v>LTG</v>
          </cell>
          <cell r="G11">
            <v>0</v>
          </cell>
          <cell r="H11">
            <v>1</v>
          </cell>
          <cell r="I11">
            <v>6</v>
          </cell>
          <cell r="J11">
            <v>6</v>
          </cell>
          <cell r="L11">
            <v>1</v>
          </cell>
        </row>
        <row r="12">
          <cell r="A12" t="str">
            <v>DUK</v>
          </cell>
          <cell r="B12" t="str">
            <v>DUK</v>
          </cell>
          <cell r="C12" t="str">
            <v>DUKE ENERGY CORP</v>
          </cell>
          <cell r="D12">
            <v>20081218</v>
          </cell>
          <cell r="E12" t="str">
            <v>EPS</v>
          </cell>
          <cell r="F12" t="str">
            <v>LTG</v>
          </cell>
          <cell r="G12">
            <v>0</v>
          </cell>
          <cell r="H12">
            <v>6</v>
          </cell>
          <cell r="I12">
            <v>4.87</v>
          </cell>
          <cell r="J12">
            <v>4.46</v>
          </cell>
          <cell r="K12">
            <v>1.36</v>
          </cell>
          <cell r="L12">
            <v>1</v>
          </cell>
        </row>
        <row r="13">
          <cell r="A13" t="str">
            <v>ED</v>
          </cell>
          <cell r="B13" t="str">
            <v>ED</v>
          </cell>
          <cell r="C13" t="str">
            <v>CONSOLIDATED EDI</v>
          </cell>
          <cell r="D13">
            <v>20081218</v>
          </cell>
          <cell r="E13" t="str">
            <v>EPS</v>
          </cell>
          <cell r="F13" t="str">
            <v>LTG</v>
          </cell>
          <cell r="G13">
            <v>0</v>
          </cell>
          <cell r="H13">
            <v>4</v>
          </cell>
          <cell r="I13">
            <v>2.5</v>
          </cell>
          <cell r="J13">
            <v>2.3199999999999998</v>
          </cell>
          <cell r="K13">
            <v>1.59</v>
          </cell>
          <cell r="L13">
            <v>1</v>
          </cell>
        </row>
        <row r="14">
          <cell r="A14" t="str">
            <v>FPL</v>
          </cell>
          <cell r="B14" t="str">
            <v>FPL</v>
          </cell>
          <cell r="C14" t="str">
            <v>FPL GROUP</v>
          </cell>
          <cell r="D14">
            <v>20081218</v>
          </cell>
          <cell r="E14" t="str">
            <v>EPS</v>
          </cell>
          <cell r="F14" t="str">
            <v>LTG</v>
          </cell>
          <cell r="G14">
            <v>0</v>
          </cell>
          <cell r="H14">
            <v>6</v>
          </cell>
          <cell r="I14">
            <v>10</v>
          </cell>
          <cell r="J14">
            <v>9.73</v>
          </cell>
          <cell r="K14">
            <v>0.86</v>
          </cell>
          <cell r="L14">
            <v>1</v>
          </cell>
        </row>
        <row r="15">
          <cell r="A15" t="str">
            <v>HE</v>
          </cell>
          <cell r="B15" t="str">
            <v>HE</v>
          </cell>
          <cell r="C15" t="str">
            <v>HAWAIIAN ELEC</v>
          </cell>
          <cell r="D15">
            <v>20081218</v>
          </cell>
          <cell r="E15" t="str">
            <v>EPS</v>
          </cell>
          <cell r="F15" t="str">
            <v>LTG</v>
          </cell>
          <cell r="G15">
            <v>0</v>
          </cell>
          <cell r="H15">
            <v>2</v>
          </cell>
          <cell r="I15">
            <v>5.25</v>
          </cell>
          <cell r="J15">
            <v>5.25</v>
          </cell>
          <cell r="K15">
            <v>3.89</v>
          </cell>
          <cell r="L15">
            <v>1</v>
          </cell>
        </row>
        <row r="16">
          <cell r="A16" t="str">
            <v>CNP</v>
          </cell>
          <cell r="B16" t="str">
            <v>HOU</v>
          </cell>
          <cell r="C16" t="str">
            <v>CENTERPOINT ENER</v>
          </cell>
          <cell r="D16">
            <v>20081218</v>
          </cell>
          <cell r="E16" t="str">
            <v>EPS</v>
          </cell>
          <cell r="F16" t="str">
            <v>LTG</v>
          </cell>
          <cell r="G16">
            <v>0</v>
          </cell>
          <cell r="H16">
            <v>1</v>
          </cell>
          <cell r="I16">
            <v>18</v>
          </cell>
          <cell r="J16">
            <v>18</v>
          </cell>
          <cell r="L16">
            <v>1</v>
          </cell>
        </row>
        <row r="17">
          <cell r="A17" t="str">
            <v>IDA</v>
          </cell>
          <cell r="B17" t="str">
            <v>IDA</v>
          </cell>
          <cell r="C17" t="str">
            <v>IDACORP INC.</v>
          </cell>
          <cell r="D17">
            <v>20081218</v>
          </cell>
          <cell r="E17" t="str">
            <v>EPS</v>
          </cell>
          <cell r="F17" t="str">
            <v>LTG</v>
          </cell>
          <cell r="G17">
            <v>0</v>
          </cell>
          <cell r="H17">
            <v>1</v>
          </cell>
          <cell r="I17">
            <v>5</v>
          </cell>
          <cell r="J17">
            <v>5</v>
          </cell>
          <cell r="L17">
            <v>1</v>
          </cell>
        </row>
        <row r="18">
          <cell r="A18" t="str">
            <v>WR</v>
          </cell>
          <cell r="B18" t="str">
            <v>KAN</v>
          </cell>
          <cell r="C18" t="str">
            <v>WESTAR ENERGY</v>
          </cell>
          <cell r="D18">
            <v>20081218</v>
          </cell>
          <cell r="E18" t="str">
            <v>EPS</v>
          </cell>
          <cell r="F18" t="str">
            <v>LTG</v>
          </cell>
          <cell r="G18">
            <v>0</v>
          </cell>
          <cell r="H18">
            <v>3</v>
          </cell>
          <cell r="I18">
            <v>4</v>
          </cell>
          <cell r="J18">
            <v>4.4400000000000004</v>
          </cell>
          <cell r="K18">
            <v>1.39</v>
          </cell>
          <cell r="L18">
            <v>1</v>
          </cell>
        </row>
        <row r="19">
          <cell r="A19" t="str">
            <v>GXP</v>
          </cell>
          <cell r="B19" t="str">
            <v>KLT</v>
          </cell>
          <cell r="C19" t="str">
            <v>GREAT PLAINS</v>
          </cell>
          <cell r="D19">
            <v>20081218</v>
          </cell>
          <cell r="E19" t="str">
            <v>EPS</v>
          </cell>
          <cell r="F19" t="str">
            <v>LTG</v>
          </cell>
          <cell r="G19">
            <v>0</v>
          </cell>
          <cell r="H19">
            <v>2</v>
          </cell>
          <cell r="I19">
            <v>7.65</v>
          </cell>
          <cell r="J19">
            <v>7.65</v>
          </cell>
          <cell r="K19">
            <v>1.21</v>
          </cell>
          <cell r="L19">
            <v>1</v>
          </cell>
        </row>
        <row r="20">
          <cell r="A20" t="str">
            <v>ALE</v>
          </cell>
          <cell r="B20" t="str">
            <v>MPL</v>
          </cell>
          <cell r="C20" t="str">
            <v>ALLETE INC</v>
          </cell>
          <cell r="D20">
            <v>20081218</v>
          </cell>
          <cell r="E20" t="str">
            <v>EPS</v>
          </cell>
          <cell r="F20" t="str">
            <v>LTG</v>
          </cell>
          <cell r="G20">
            <v>0</v>
          </cell>
          <cell r="H20">
            <v>1</v>
          </cell>
          <cell r="I20">
            <v>5</v>
          </cell>
          <cell r="J20">
            <v>5</v>
          </cell>
          <cell r="L20">
            <v>1</v>
          </cell>
        </row>
        <row r="21">
          <cell r="A21" t="str">
            <v>ETR</v>
          </cell>
          <cell r="B21" t="str">
            <v>MSU</v>
          </cell>
          <cell r="C21" t="str">
            <v>ENTERGY CP</v>
          </cell>
          <cell r="D21">
            <v>20081218</v>
          </cell>
          <cell r="E21" t="str">
            <v>EPS</v>
          </cell>
          <cell r="F21" t="str">
            <v>LTG</v>
          </cell>
          <cell r="G21">
            <v>0</v>
          </cell>
          <cell r="H21">
            <v>5</v>
          </cell>
          <cell r="I21">
            <v>10</v>
          </cell>
          <cell r="J21">
            <v>10.42</v>
          </cell>
          <cell r="K21">
            <v>2.92</v>
          </cell>
          <cell r="L21">
            <v>1</v>
          </cell>
        </row>
        <row r="22">
          <cell r="A22" t="str">
            <v>XEL</v>
          </cell>
          <cell r="B22" t="str">
            <v>NSP</v>
          </cell>
          <cell r="C22" t="str">
            <v>XCEL ENERGY INC</v>
          </cell>
          <cell r="D22">
            <v>20081218</v>
          </cell>
          <cell r="E22" t="str">
            <v>EPS</v>
          </cell>
          <cell r="F22" t="str">
            <v>LTG</v>
          </cell>
          <cell r="G22">
            <v>0</v>
          </cell>
          <cell r="H22">
            <v>3</v>
          </cell>
          <cell r="I22">
            <v>7</v>
          </cell>
          <cell r="J22">
            <v>6.87</v>
          </cell>
          <cell r="K22">
            <v>0.81</v>
          </cell>
          <cell r="L22">
            <v>1</v>
          </cell>
        </row>
        <row r="23">
          <cell r="A23" t="str">
            <v>NU</v>
          </cell>
          <cell r="B23" t="str">
            <v>NU</v>
          </cell>
          <cell r="C23" t="str">
            <v>NORTHEAST UTILS</v>
          </cell>
          <cell r="D23">
            <v>20081218</v>
          </cell>
          <cell r="E23" t="str">
            <v>EPS</v>
          </cell>
          <cell r="F23" t="str">
            <v>LTG</v>
          </cell>
          <cell r="G23">
            <v>0</v>
          </cell>
          <cell r="H23">
            <v>4</v>
          </cell>
          <cell r="I23">
            <v>6.5</v>
          </cell>
          <cell r="J23">
            <v>6.72</v>
          </cell>
          <cell r="K23">
            <v>2.79</v>
          </cell>
          <cell r="L23">
            <v>1</v>
          </cell>
        </row>
        <row r="24">
          <cell r="A24" t="str">
            <v>FE</v>
          </cell>
          <cell r="B24" t="str">
            <v>OEC</v>
          </cell>
          <cell r="C24" t="str">
            <v>FIRSTENERGY CORP</v>
          </cell>
          <cell r="D24">
            <v>20081218</v>
          </cell>
          <cell r="E24" t="str">
            <v>EPS</v>
          </cell>
          <cell r="F24" t="str">
            <v>LTG</v>
          </cell>
          <cell r="G24">
            <v>0</v>
          </cell>
          <cell r="H24">
            <v>3</v>
          </cell>
          <cell r="I24">
            <v>10</v>
          </cell>
          <cell r="J24">
            <v>9.33</v>
          </cell>
          <cell r="K24">
            <v>1.1499999999999999</v>
          </cell>
          <cell r="L24">
            <v>1</v>
          </cell>
        </row>
        <row r="25">
          <cell r="A25" t="str">
            <v>OTTR</v>
          </cell>
          <cell r="B25" t="str">
            <v>OTTR</v>
          </cell>
          <cell r="C25" t="str">
            <v>OTTER TAIL CORP.</v>
          </cell>
          <cell r="D25">
            <v>20081218</v>
          </cell>
          <cell r="E25" t="str">
            <v>EPS</v>
          </cell>
          <cell r="F25" t="str">
            <v>LTG</v>
          </cell>
          <cell r="G25">
            <v>0</v>
          </cell>
          <cell r="H25">
            <v>2</v>
          </cell>
          <cell r="I25">
            <v>8.5</v>
          </cell>
          <cell r="J25">
            <v>8.5</v>
          </cell>
          <cell r="K25">
            <v>4.95</v>
          </cell>
          <cell r="L25">
            <v>1</v>
          </cell>
        </row>
        <row r="26">
          <cell r="A26" t="str">
            <v>PCG</v>
          </cell>
          <cell r="B26" t="str">
            <v>PCG</v>
          </cell>
          <cell r="C26" t="str">
            <v>P G &amp; E CORP</v>
          </cell>
          <cell r="D26">
            <v>20081218</v>
          </cell>
          <cell r="E26" t="str">
            <v>EPS</v>
          </cell>
          <cell r="F26" t="str">
            <v>LTG</v>
          </cell>
          <cell r="G26">
            <v>0</v>
          </cell>
          <cell r="H26">
            <v>6</v>
          </cell>
          <cell r="I26">
            <v>7.34</v>
          </cell>
          <cell r="J26">
            <v>7.2</v>
          </cell>
          <cell r="K26">
            <v>0.81</v>
          </cell>
          <cell r="L26">
            <v>1</v>
          </cell>
        </row>
        <row r="27">
          <cell r="A27" t="str">
            <v>EXC</v>
          </cell>
          <cell r="B27" t="str">
            <v>PE</v>
          </cell>
          <cell r="C27" t="str">
            <v>EXELON CORP</v>
          </cell>
          <cell r="D27">
            <v>20081218</v>
          </cell>
          <cell r="E27" t="str">
            <v>EPS</v>
          </cell>
          <cell r="F27" t="str">
            <v>LTG</v>
          </cell>
          <cell r="G27">
            <v>0</v>
          </cell>
          <cell r="H27">
            <v>5</v>
          </cell>
          <cell r="I27">
            <v>8</v>
          </cell>
          <cell r="J27">
            <v>8.44</v>
          </cell>
          <cell r="K27">
            <v>3.01</v>
          </cell>
          <cell r="L27">
            <v>1</v>
          </cell>
        </row>
        <row r="28">
          <cell r="A28" t="str">
            <v>PEG</v>
          </cell>
          <cell r="B28" t="str">
            <v>PEG</v>
          </cell>
          <cell r="C28" t="str">
            <v>PUB SVC ENTERS</v>
          </cell>
          <cell r="D28">
            <v>20081218</v>
          </cell>
          <cell r="E28" t="str">
            <v>EPS</v>
          </cell>
          <cell r="F28" t="str">
            <v>LTG</v>
          </cell>
          <cell r="G28">
            <v>0</v>
          </cell>
          <cell r="H28">
            <v>1</v>
          </cell>
          <cell r="I28">
            <v>3</v>
          </cell>
          <cell r="J28">
            <v>3</v>
          </cell>
          <cell r="L28">
            <v>1</v>
          </cell>
        </row>
        <row r="29">
          <cell r="A29" t="str">
            <v>PNM</v>
          </cell>
          <cell r="B29" t="str">
            <v>PNM</v>
          </cell>
          <cell r="C29" t="str">
            <v>PNM RESOURCES</v>
          </cell>
          <cell r="D29">
            <v>20081218</v>
          </cell>
          <cell r="E29" t="str">
            <v>EPS</v>
          </cell>
          <cell r="F29" t="str">
            <v>LTG</v>
          </cell>
          <cell r="G29">
            <v>0</v>
          </cell>
          <cell r="H29">
            <v>4</v>
          </cell>
          <cell r="I29">
            <v>7.5</v>
          </cell>
          <cell r="J29">
            <v>13.5</v>
          </cell>
          <cell r="K29">
            <v>13.87</v>
          </cell>
          <cell r="L29">
            <v>1</v>
          </cell>
        </row>
        <row r="30">
          <cell r="A30" t="str">
            <v>POM</v>
          </cell>
          <cell r="B30" t="str">
            <v>POM</v>
          </cell>
          <cell r="C30" t="str">
            <v>PEPCO HOLDINGS</v>
          </cell>
          <cell r="D30">
            <v>20081218</v>
          </cell>
          <cell r="E30" t="str">
            <v>EPS</v>
          </cell>
          <cell r="F30" t="str">
            <v>LTG</v>
          </cell>
          <cell r="G30">
            <v>0</v>
          </cell>
          <cell r="H30">
            <v>2</v>
          </cell>
          <cell r="I30">
            <v>4</v>
          </cell>
          <cell r="J30">
            <v>4</v>
          </cell>
          <cell r="K30">
            <v>2.83</v>
          </cell>
          <cell r="L30">
            <v>1</v>
          </cell>
        </row>
        <row r="31">
          <cell r="A31" t="str">
            <v>POR</v>
          </cell>
          <cell r="B31" t="str">
            <v>PORO</v>
          </cell>
          <cell r="C31" t="str">
            <v>PORTLAND GENERAL</v>
          </cell>
          <cell r="D31">
            <v>20081218</v>
          </cell>
          <cell r="E31" t="str">
            <v>EPS</v>
          </cell>
          <cell r="F31" t="str">
            <v>LTG</v>
          </cell>
          <cell r="G31">
            <v>0</v>
          </cell>
          <cell r="H31">
            <v>3</v>
          </cell>
          <cell r="I31">
            <v>4.67</v>
          </cell>
          <cell r="J31">
            <v>5.89</v>
          </cell>
          <cell r="K31">
            <v>2.71</v>
          </cell>
          <cell r="L31">
            <v>1</v>
          </cell>
        </row>
        <row r="32">
          <cell r="A32" t="str">
            <v>PPL</v>
          </cell>
          <cell r="B32" t="str">
            <v>PPL</v>
          </cell>
          <cell r="C32" t="str">
            <v>PP&amp;L CORP</v>
          </cell>
          <cell r="D32">
            <v>20081218</v>
          </cell>
          <cell r="E32" t="str">
            <v>EPS</v>
          </cell>
          <cell r="F32" t="str">
            <v>LTG</v>
          </cell>
          <cell r="G32">
            <v>0</v>
          </cell>
          <cell r="H32">
            <v>3</v>
          </cell>
          <cell r="I32">
            <v>12</v>
          </cell>
          <cell r="J32">
            <v>12.33</v>
          </cell>
          <cell r="K32">
            <v>2.52</v>
          </cell>
          <cell r="L32">
            <v>1</v>
          </cell>
        </row>
        <row r="33">
          <cell r="A33" t="str">
            <v>PSD</v>
          </cell>
          <cell r="B33" t="str">
            <v>PSD</v>
          </cell>
          <cell r="C33" t="str">
            <v>PUGET ENERGY INC</v>
          </cell>
          <cell r="D33">
            <v>20081218</v>
          </cell>
          <cell r="E33" t="str">
            <v>EPS</v>
          </cell>
          <cell r="F33" t="str">
            <v>LTG</v>
          </cell>
          <cell r="G33">
            <v>0</v>
          </cell>
          <cell r="H33">
            <v>2</v>
          </cell>
          <cell r="I33">
            <v>6</v>
          </cell>
          <cell r="J33">
            <v>6</v>
          </cell>
          <cell r="K33">
            <v>2.83</v>
          </cell>
          <cell r="L33">
            <v>1</v>
          </cell>
        </row>
        <row r="34">
          <cell r="A34" t="str">
            <v>EIX</v>
          </cell>
          <cell r="B34" t="str">
            <v>SCE</v>
          </cell>
          <cell r="C34" t="str">
            <v>EDISON INTL</v>
          </cell>
          <cell r="D34">
            <v>20081218</v>
          </cell>
          <cell r="E34" t="str">
            <v>EPS</v>
          </cell>
          <cell r="F34" t="str">
            <v>LTG</v>
          </cell>
          <cell r="G34">
            <v>0</v>
          </cell>
          <cell r="H34">
            <v>3</v>
          </cell>
          <cell r="I34">
            <v>7</v>
          </cell>
          <cell r="J34">
            <v>6.64</v>
          </cell>
          <cell r="K34">
            <v>0.62</v>
          </cell>
          <cell r="L34">
            <v>1</v>
          </cell>
        </row>
        <row r="35">
          <cell r="A35" t="str">
            <v>SCG</v>
          </cell>
          <cell r="B35" t="str">
            <v>SCG</v>
          </cell>
          <cell r="C35" t="str">
            <v>SCANA CP</v>
          </cell>
          <cell r="D35">
            <v>20081218</v>
          </cell>
          <cell r="E35" t="str">
            <v>EPS</v>
          </cell>
          <cell r="F35" t="str">
            <v>LTG</v>
          </cell>
          <cell r="G35">
            <v>0</v>
          </cell>
          <cell r="H35">
            <v>2</v>
          </cell>
          <cell r="I35">
            <v>5.01</v>
          </cell>
          <cell r="J35">
            <v>5.01</v>
          </cell>
          <cell r="K35">
            <v>0.02</v>
          </cell>
          <cell r="L35">
            <v>1</v>
          </cell>
        </row>
        <row r="36">
          <cell r="A36" t="str">
            <v>SRE</v>
          </cell>
          <cell r="B36" t="str">
            <v>SDO</v>
          </cell>
          <cell r="C36" t="str">
            <v>SEMPRA ENERGY</v>
          </cell>
          <cell r="D36">
            <v>20081218</v>
          </cell>
          <cell r="E36" t="str">
            <v>EPS</v>
          </cell>
          <cell r="F36" t="str">
            <v>LTG</v>
          </cell>
          <cell r="G36">
            <v>0</v>
          </cell>
          <cell r="H36">
            <v>4</v>
          </cell>
          <cell r="I36">
            <v>6.59</v>
          </cell>
          <cell r="J36">
            <v>6.99</v>
          </cell>
          <cell r="K36">
            <v>2.04</v>
          </cell>
          <cell r="L36">
            <v>1</v>
          </cell>
        </row>
        <row r="37">
          <cell r="A37" t="str">
            <v>VVC</v>
          </cell>
          <cell r="B37" t="str">
            <v>SIG</v>
          </cell>
          <cell r="C37" t="str">
            <v>VECTREN CORP</v>
          </cell>
          <cell r="D37">
            <v>20081218</v>
          </cell>
          <cell r="E37" t="str">
            <v>EPS</v>
          </cell>
          <cell r="F37" t="str">
            <v>LTG</v>
          </cell>
          <cell r="G37">
            <v>0</v>
          </cell>
          <cell r="H37">
            <v>3</v>
          </cell>
          <cell r="I37">
            <v>6</v>
          </cell>
          <cell r="J37">
            <v>5.67</v>
          </cell>
          <cell r="K37">
            <v>0.57999999999999996</v>
          </cell>
          <cell r="L37">
            <v>1</v>
          </cell>
        </row>
        <row r="38">
          <cell r="A38" t="str">
            <v>SO</v>
          </cell>
          <cell r="B38" t="str">
            <v>SO</v>
          </cell>
          <cell r="C38" t="str">
            <v>SOUTHN CO</v>
          </cell>
          <cell r="D38">
            <v>20081218</v>
          </cell>
          <cell r="E38" t="str">
            <v>EPS</v>
          </cell>
          <cell r="F38" t="str">
            <v>LTG</v>
          </cell>
          <cell r="G38">
            <v>0</v>
          </cell>
          <cell r="H38">
            <v>6</v>
          </cell>
          <cell r="I38">
            <v>5.76</v>
          </cell>
          <cell r="J38">
            <v>5.59</v>
          </cell>
          <cell r="K38">
            <v>0.47</v>
          </cell>
          <cell r="L38">
            <v>1</v>
          </cell>
        </row>
        <row r="39">
          <cell r="A39" t="str">
            <v>TE</v>
          </cell>
          <cell r="B39" t="str">
            <v>TE</v>
          </cell>
          <cell r="C39" t="str">
            <v>TECO ENERGY INC</v>
          </cell>
          <cell r="D39">
            <v>20081218</v>
          </cell>
          <cell r="E39" t="str">
            <v>EPS</v>
          </cell>
          <cell r="F39" t="str">
            <v>LTG</v>
          </cell>
          <cell r="G39">
            <v>0</v>
          </cell>
          <cell r="H39">
            <v>6</v>
          </cell>
          <cell r="I39">
            <v>9.0500000000000007</v>
          </cell>
          <cell r="J39">
            <v>7.68</v>
          </cell>
          <cell r="K39">
            <v>3.83</v>
          </cell>
          <cell r="L39">
            <v>1</v>
          </cell>
        </row>
        <row r="40">
          <cell r="A40" t="str">
            <v>AEE</v>
          </cell>
          <cell r="B40" t="str">
            <v>UEP</v>
          </cell>
          <cell r="C40" t="str">
            <v>AMEREN CP</v>
          </cell>
          <cell r="D40">
            <v>20081218</v>
          </cell>
          <cell r="E40" t="str">
            <v>EPS</v>
          </cell>
          <cell r="F40" t="str">
            <v>LTG</v>
          </cell>
          <cell r="G40">
            <v>0</v>
          </cell>
          <cell r="H40">
            <v>2</v>
          </cell>
          <cell r="I40">
            <v>4</v>
          </cell>
          <cell r="J40">
            <v>4</v>
          </cell>
          <cell r="K40">
            <v>1.41</v>
          </cell>
          <cell r="L40">
            <v>1</v>
          </cell>
        </row>
        <row r="41">
          <cell r="A41" t="str">
            <v>WEC</v>
          </cell>
          <cell r="B41" t="str">
            <v>WPC</v>
          </cell>
          <cell r="C41" t="str">
            <v>WISCONSIN ENERGY</v>
          </cell>
          <cell r="D41">
            <v>20081218</v>
          </cell>
          <cell r="E41" t="str">
            <v>EPS</v>
          </cell>
          <cell r="F41" t="str">
            <v>LTG</v>
          </cell>
          <cell r="G41">
            <v>0</v>
          </cell>
          <cell r="H41">
            <v>4</v>
          </cell>
          <cell r="I41">
            <v>9.85</v>
          </cell>
          <cell r="J41">
            <v>9.36</v>
          </cell>
          <cell r="K41">
            <v>3.28</v>
          </cell>
          <cell r="L41">
            <v>1</v>
          </cell>
        </row>
        <row r="42">
          <cell r="A42" t="str">
            <v>LNT</v>
          </cell>
          <cell r="B42" t="str">
            <v>WPL</v>
          </cell>
          <cell r="C42" t="str">
            <v>ALLIANT ENER</v>
          </cell>
          <cell r="D42">
            <v>20081218</v>
          </cell>
          <cell r="E42" t="str">
            <v>EPS</v>
          </cell>
          <cell r="F42" t="str">
            <v>LTG</v>
          </cell>
          <cell r="G42">
            <v>0</v>
          </cell>
          <cell r="H42">
            <v>2</v>
          </cell>
          <cell r="I42">
            <v>6.1</v>
          </cell>
          <cell r="J42">
            <v>6.1</v>
          </cell>
          <cell r="K42">
            <v>1.56</v>
          </cell>
          <cell r="L42">
            <v>1</v>
          </cell>
        </row>
        <row r="43">
          <cell r="A43" t="str">
            <v>AVA</v>
          </cell>
          <cell r="B43" t="str">
            <v>WWP</v>
          </cell>
          <cell r="C43" t="str">
            <v>AVISTA CORP</v>
          </cell>
          <cell r="D43">
            <v>20081218</v>
          </cell>
          <cell r="E43" t="str">
            <v>EPS</v>
          </cell>
          <cell r="F43" t="str">
            <v>LTG</v>
          </cell>
          <cell r="G43">
            <v>0</v>
          </cell>
          <cell r="H43">
            <v>1</v>
          </cell>
          <cell r="I43">
            <v>5</v>
          </cell>
          <cell r="J43">
            <v>5</v>
          </cell>
          <cell r="L43">
            <v>1</v>
          </cell>
        </row>
        <row r="44">
          <cell r="A44" t="str">
            <v>PPL</v>
          </cell>
          <cell r="B44" t="str">
            <v>@1XJ</v>
          </cell>
          <cell r="C44" t="str">
            <v>PUMPKIN PATCH LT</v>
          </cell>
          <cell r="D44">
            <v>20081218</v>
          </cell>
          <cell r="E44" t="str">
            <v>EPS</v>
          </cell>
          <cell r="F44" t="str">
            <v>LTG</v>
          </cell>
          <cell r="G44">
            <v>0</v>
          </cell>
          <cell r="H44">
            <v>2</v>
          </cell>
          <cell r="I44">
            <v>13.5</v>
          </cell>
          <cell r="J44">
            <v>13.5</v>
          </cell>
          <cell r="K44">
            <v>4.95</v>
          </cell>
          <cell r="L44">
            <v>0</v>
          </cell>
        </row>
        <row r="45">
          <cell r="A45" t="str">
            <v>PPL</v>
          </cell>
          <cell r="B45" t="str">
            <v>@1Z1</v>
          </cell>
          <cell r="C45" t="str">
            <v>PPL</v>
          </cell>
          <cell r="D45">
            <v>20081218</v>
          </cell>
          <cell r="E45" t="str">
            <v>EPS</v>
          </cell>
          <cell r="F45" t="str">
            <v>LTG</v>
          </cell>
          <cell r="G45">
            <v>0</v>
          </cell>
          <cell r="H45">
            <v>1</v>
          </cell>
          <cell r="I45">
            <v>21.42</v>
          </cell>
          <cell r="J45">
            <v>21.42</v>
          </cell>
          <cell r="L45">
            <v>0</v>
          </cell>
        </row>
        <row r="46">
          <cell r="A46" t="str">
            <v>CNP</v>
          </cell>
          <cell r="B46" t="str">
            <v>@8PG</v>
          </cell>
          <cell r="C46" t="str">
            <v>CENTRO PROPERTIE</v>
          </cell>
          <cell r="D46">
            <v>20081218</v>
          </cell>
          <cell r="E46" t="str">
            <v>EPS</v>
          </cell>
          <cell r="F46" t="str">
            <v>LTG</v>
          </cell>
          <cell r="G46">
            <v>0</v>
          </cell>
          <cell r="H46">
            <v>1</v>
          </cell>
          <cell r="I46">
            <v>3</v>
          </cell>
          <cell r="J46">
            <v>3</v>
          </cell>
          <cell r="L46">
            <v>0</v>
          </cell>
        </row>
        <row r="47">
          <cell r="A47" t="str">
            <v>CNP</v>
          </cell>
          <cell r="B47" t="str">
            <v>@CN0</v>
          </cell>
          <cell r="C47" t="str">
            <v>CNP ASSURANCES</v>
          </cell>
          <cell r="D47">
            <v>20081218</v>
          </cell>
          <cell r="E47" t="str">
            <v>EPS</v>
          </cell>
          <cell r="F47" t="str">
            <v>LTG</v>
          </cell>
          <cell r="G47">
            <v>0</v>
          </cell>
          <cell r="H47">
            <v>3</v>
          </cell>
          <cell r="I47">
            <v>2.5099999999999998</v>
          </cell>
          <cell r="J47">
            <v>2.5</v>
          </cell>
          <cell r="K47">
            <v>0.5</v>
          </cell>
          <cell r="L47">
            <v>0</v>
          </cell>
        </row>
        <row r="48">
          <cell r="A48" t="str">
            <v>SO</v>
          </cell>
          <cell r="B48" t="str">
            <v>@DAM</v>
          </cell>
          <cell r="C48" t="str">
            <v>SOMFY</v>
          </cell>
          <cell r="D48">
            <v>20081218</v>
          </cell>
          <cell r="E48" t="str">
            <v>EPS</v>
          </cell>
          <cell r="F48" t="str">
            <v>LTG</v>
          </cell>
          <cell r="G48">
            <v>0</v>
          </cell>
          <cell r="H48">
            <v>1</v>
          </cell>
          <cell r="I48">
            <v>1.45</v>
          </cell>
          <cell r="J48">
            <v>1.45</v>
          </cell>
          <cell r="L48">
            <v>0</v>
          </cell>
        </row>
        <row r="49">
          <cell r="A49" t="str">
            <v>DTE</v>
          </cell>
          <cell r="B49" t="str">
            <v>@DT</v>
          </cell>
          <cell r="C49" t="str">
            <v>DEUTSCHE TELEKOM</v>
          </cell>
          <cell r="D49">
            <v>20081218</v>
          </cell>
          <cell r="E49" t="str">
            <v>EPS</v>
          </cell>
          <cell r="F49" t="str">
            <v>LTG</v>
          </cell>
          <cell r="G49">
            <v>0</v>
          </cell>
          <cell r="H49">
            <v>3</v>
          </cell>
          <cell r="I49">
            <v>18</v>
          </cell>
          <cell r="J49">
            <v>29.04</v>
          </cell>
          <cell r="K49">
            <v>27.85</v>
          </cell>
          <cell r="L49">
            <v>0</v>
          </cell>
        </row>
        <row r="50">
          <cell r="A50" t="str">
            <v>POM</v>
          </cell>
          <cell r="B50" t="str">
            <v>@PO8</v>
          </cell>
          <cell r="C50" t="str">
            <v>PLASTIC OMNIUM</v>
          </cell>
          <cell r="D50">
            <v>20081218</v>
          </cell>
          <cell r="E50" t="str">
            <v>EPS</v>
          </cell>
          <cell r="F50" t="str">
            <v>LTG</v>
          </cell>
          <cell r="G50">
            <v>0</v>
          </cell>
          <cell r="H50">
            <v>1</v>
          </cell>
          <cell r="I50">
            <v>3</v>
          </cell>
          <cell r="J50">
            <v>3</v>
          </cell>
          <cell r="L50">
            <v>0</v>
          </cell>
        </row>
        <row r="51">
          <cell r="A51" t="str">
            <v>CIN</v>
          </cell>
          <cell r="B51" t="str">
            <v>@W1E</v>
          </cell>
          <cell r="C51" t="str">
            <v>CINTRA CONCESION</v>
          </cell>
          <cell r="D51">
            <v>20081218</v>
          </cell>
          <cell r="E51" t="str">
            <v>EPS</v>
          </cell>
          <cell r="F51" t="str">
            <v>LTG</v>
          </cell>
          <cell r="G51">
            <v>0</v>
          </cell>
          <cell r="H51">
            <v>2</v>
          </cell>
          <cell r="I51">
            <v>10</v>
          </cell>
          <cell r="J51">
            <v>10</v>
          </cell>
          <cell r="K51">
            <v>0</v>
          </cell>
          <cell r="L51">
            <v>0</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RDS"/>
    </sheetNames>
    <sheetDataSet>
      <sheetData sheetId="0">
        <row r="1">
          <cell r="B1" t="str">
            <v>Official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Forecast Period End Date (SAS Format)</v>
          </cell>
          <cell r="M1" t="str">
            <v>Actual Value, from the Detail Actuals File</v>
          </cell>
          <cell r="N1" t="str">
            <v>Announce date of the Actual, from the Detail Actuals File</v>
          </cell>
        </row>
        <row r="2">
          <cell r="B2" t="str">
            <v>ATG</v>
          </cell>
          <cell r="C2" t="str">
            <v>AGL RESOURCES</v>
          </cell>
          <cell r="D2">
            <v>20081218</v>
          </cell>
          <cell r="E2" t="str">
            <v>EPS</v>
          </cell>
          <cell r="F2" t="str">
            <v>ANN</v>
          </cell>
          <cell r="G2">
            <v>1</v>
          </cell>
          <cell r="H2">
            <v>4</v>
          </cell>
          <cell r="I2">
            <v>2.79</v>
          </cell>
          <cell r="J2">
            <v>2.79</v>
          </cell>
          <cell r="K2">
            <v>0.01</v>
          </cell>
          <cell r="L2">
            <v>20081231</v>
          </cell>
          <cell r="M2">
            <v>2.71</v>
          </cell>
          <cell r="N2">
            <v>20090205</v>
          </cell>
        </row>
        <row r="3">
          <cell r="B3" t="str">
            <v>CPK</v>
          </cell>
          <cell r="C3" t="str">
            <v>CHESAPEAKE UTIL</v>
          </cell>
          <cell r="D3">
            <v>20081218</v>
          </cell>
          <cell r="E3" t="str">
            <v>EPS</v>
          </cell>
          <cell r="F3" t="str">
            <v>ANN</v>
          </cell>
          <cell r="G3">
            <v>1</v>
          </cell>
          <cell r="H3">
            <v>2</v>
          </cell>
          <cell r="I3">
            <v>1.31</v>
          </cell>
          <cell r="J3">
            <v>1.31</v>
          </cell>
          <cell r="K3">
            <v>0.02</v>
          </cell>
          <cell r="L3">
            <v>20081231</v>
          </cell>
          <cell r="M3">
            <v>1.32</v>
          </cell>
          <cell r="N3">
            <v>20090309</v>
          </cell>
        </row>
        <row r="4">
          <cell r="B4" t="str">
            <v>ATO</v>
          </cell>
          <cell r="C4" t="str">
            <v>ATMOS ENERGY CP</v>
          </cell>
          <cell r="D4">
            <v>20081218</v>
          </cell>
          <cell r="E4" t="str">
            <v>EPS</v>
          </cell>
          <cell r="F4" t="str">
            <v>ANN</v>
          </cell>
          <cell r="G4">
            <v>1</v>
          </cell>
          <cell r="H4">
            <v>10</v>
          </cell>
          <cell r="I4">
            <v>2.08</v>
          </cell>
          <cell r="J4">
            <v>2.08</v>
          </cell>
          <cell r="K4">
            <v>0.03</v>
          </cell>
          <cell r="L4">
            <v>20090930</v>
          </cell>
          <cell r="M4">
            <v>1.97</v>
          </cell>
          <cell r="N4">
            <v>20091110</v>
          </cell>
        </row>
        <row r="5">
          <cell r="B5" t="str">
            <v>GAS</v>
          </cell>
          <cell r="C5" t="str">
            <v>NICOR INC</v>
          </cell>
          <cell r="D5">
            <v>20081218</v>
          </cell>
          <cell r="E5" t="str">
            <v>EPS</v>
          </cell>
          <cell r="F5" t="str">
            <v>ANN</v>
          </cell>
          <cell r="G5">
            <v>1</v>
          </cell>
          <cell r="H5">
            <v>3</v>
          </cell>
          <cell r="I5">
            <v>2.36</v>
          </cell>
          <cell r="J5">
            <v>2.29</v>
          </cell>
          <cell r="K5">
            <v>0.16</v>
          </cell>
          <cell r="L5">
            <v>20081231</v>
          </cell>
          <cell r="M5">
            <v>2.5099999999999998</v>
          </cell>
          <cell r="N5">
            <v>20090225</v>
          </cell>
        </row>
        <row r="6">
          <cell r="B6" t="str">
            <v>LG</v>
          </cell>
          <cell r="C6" t="str">
            <v>LACLEDE GROUP</v>
          </cell>
          <cell r="D6">
            <v>20081218</v>
          </cell>
          <cell r="E6" t="str">
            <v>EPS</v>
          </cell>
          <cell r="F6" t="str">
            <v>ANN</v>
          </cell>
          <cell r="G6">
            <v>1</v>
          </cell>
          <cell r="H6">
            <v>2</v>
          </cell>
          <cell r="I6">
            <v>2.4300000000000002</v>
          </cell>
          <cell r="J6">
            <v>2.4300000000000002</v>
          </cell>
          <cell r="K6">
            <v>0.11</v>
          </cell>
          <cell r="L6">
            <v>20090930</v>
          </cell>
          <cell r="M6">
            <v>2.93</v>
          </cell>
          <cell r="N6">
            <v>20091030</v>
          </cell>
        </row>
        <row r="7">
          <cell r="B7" t="str">
            <v>NI</v>
          </cell>
          <cell r="C7" t="str">
            <v>NISOURCE INC</v>
          </cell>
          <cell r="D7">
            <v>20081218</v>
          </cell>
          <cell r="E7" t="str">
            <v>EPS</v>
          </cell>
          <cell r="F7" t="str">
            <v>ANN</v>
          </cell>
          <cell r="G7">
            <v>1</v>
          </cell>
          <cell r="H7">
            <v>9</v>
          </cell>
          <cell r="I7">
            <v>1.25</v>
          </cell>
          <cell r="J7">
            <v>1.24</v>
          </cell>
          <cell r="K7">
            <v>0.03</v>
          </cell>
          <cell r="L7">
            <v>20081231</v>
          </cell>
          <cell r="M7">
            <v>1.26</v>
          </cell>
          <cell r="N7">
            <v>20090204</v>
          </cell>
        </row>
        <row r="8">
          <cell r="B8" t="str">
            <v>NJR</v>
          </cell>
          <cell r="C8" t="str">
            <v>NEW JERSEY RES</v>
          </cell>
          <cell r="D8">
            <v>20081218</v>
          </cell>
          <cell r="E8" t="str">
            <v>EPS</v>
          </cell>
          <cell r="F8" t="str">
            <v>ANN</v>
          </cell>
          <cell r="G8">
            <v>1</v>
          </cell>
          <cell r="H8">
            <v>5</v>
          </cell>
          <cell r="I8">
            <v>1.18</v>
          </cell>
          <cell r="J8">
            <v>1.17</v>
          </cell>
          <cell r="K8">
            <v>0.01</v>
          </cell>
          <cell r="L8">
            <v>20090930</v>
          </cell>
          <cell r="M8">
            <v>1.1850000000000001</v>
          </cell>
          <cell r="N8">
            <v>20091201</v>
          </cell>
        </row>
        <row r="9">
          <cell r="B9" t="str">
            <v>NWN</v>
          </cell>
          <cell r="C9" t="str">
            <v>NW NATURAL GAS</v>
          </cell>
          <cell r="D9">
            <v>20081218</v>
          </cell>
          <cell r="E9" t="str">
            <v>EPS</v>
          </cell>
          <cell r="F9" t="str">
            <v>ANN</v>
          </cell>
          <cell r="G9">
            <v>1</v>
          </cell>
          <cell r="H9">
            <v>3</v>
          </cell>
          <cell r="I9">
            <v>2.4700000000000002</v>
          </cell>
          <cell r="J9">
            <v>2.5099999999999998</v>
          </cell>
          <cell r="K9">
            <v>0.1</v>
          </cell>
          <cell r="L9">
            <v>20081231</v>
          </cell>
          <cell r="M9">
            <v>2.58</v>
          </cell>
          <cell r="N9">
            <v>20090212</v>
          </cell>
        </row>
        <row r="10">
          <cell r="B10" t="str">
            <v>PEC</v>
          </cell>
          <cell r="C10" t="str">
            <v>PIKE ELECTRIC</v>
          </cell>
          <cell r="D10">
            <v>20081218</v>
          </cell>
          <cell r="E10" t="str">
            <v>EPS</v>
          </cell>
          <cell r="F10" t="str">
            <v>ANN</v>
          </cell>
          <cell r="G10">
            <v>1</v>
          </cell>
          <cell r="H10">
            <v>5</v>
          </cell>
          <cell r="I10">
            <v>0.92</v>
          </cell>
          <cell r="J10">
            <v>0.92</v>
          </cell>
          <cell r="K10">
            <v>0.03</v>
          </cell>
          <cell r="L10">
            <v>20090630</v>
          </cell>
          <cell r="M10">
            <v>0.94</v>
          </cell>
          <cell r="N10">
            <v>20090901</v>
          </cell>
        </row>
        <row r="11">
          <cell r="B11" t="str">
            <v>PNY</v>
          </cell>
          <cell r="C11" t="str">
            <v>PIEDMONT NAT GAS</v>
          </cell>
          <cell r="D11">
            <v>20081218</v>
          </cell>
          <cell r="E11" t="str">
            <v>EPS</v>
          </cell>
          <cell r="F11" t="str">
            <v>ANN</v>
          </cell>
          <cell r="G11">
            <v>1</v>
          </cell>
          <cell r="H11">
            <v>6</v>
          </cell>
          <cell r="I11">
            <v>1.55</v>
          </cell>
          <cell r="J11">
            <v>1.55</v>
          </cell>
          <cell r="K11">
            <v>0.02</v>
          </cell>
          <cell r="L11">
            <v>20081031</v>
          </cell>
          <cell r="M11">
            <v>1.49</v>
          </cell>
          <cell r="N11">
            <v>20081229</v>
          </cell>
        </row>
        <row r="12">
          <cell r="B12" t="str">
            <v>SJI</v>
          </cell>
          <cell r="C12" t="str">
            <v>SO JERSEY INDS</v>
          </cell>
          <cell r="D12">
            <v>20081218</v>
          </cell>
          <cell r="E12" t="str">
            <v>EPS</v>
          </cell>
          <cell r="F12" t="str">
            <v>ANN</v>
          </cell>
          <cell r="G12">
            <v>1</v>
          </cell>
          <cell r="H12">
            <v>4</v>
          </cell>
          <cell r="I12">
            <v>1.1499999999999999</v>
          </cell>
          <cell r="J12">
            <v>1.1499999999999999</v>
          </cell>
          <cell r="K12">
            <v>0.01</v>
          </cell>
          <cell r="L12">
            <v>20081231</v>
          </cell>
          <cell r="M12">
            <v>1.135</v>
          </cell>
          <cell r="N12">
            <v>20090226</v>
          </cell>
        </row>
        <row r="13">
          <cell r="B13" t="str">
            <v>SR</v>
          </cell>
          <cell r="C13" t="str">
            <v>STD REGISTER CO</v>
          </cell>
          <cell r="D13">
            <v>20081218</v>
          </cell>
          <cell r="E13" t="str">
            <v>EPS</v>
          </cell>
          <cell r="F13" t="str">
            <v>ANN</v>
          </cell>
          <cell r="G13">
            <v>1</v>
          </cell>
          <cell r="H13">
            <v>1</v>
          </cell>
          <cell r="I13">
            <v>1.5</v>
          </cell>
          <cell r="J13">
            <v>1.5</v>
          </cell>
          <cell r="L13">
            <v>20081231</v>
          </cell>
          <cell r="M13">
            <v>3.2</v>
          </cell>
          <cell r="N13">
            <v>20090220</v>
          </cell>
        </row>
        <row r="14">
          <cell r="B14" t="str">
            <v>SWX</v>
          </cell>
          <cell r="C14" t="str">
            <v>SOUTHWEST GAS</v>
          </cell>
          <cell r="D14">
            <v>20081218</v>
          </cell>
          <cell r="E14" t="str">
            <v>EPS</v>
          </cell>
          <cell r="F14" t="str">
            <v>ANN</v>
          </cell>
          <cell r="G14">
            <v>1</v>
          </cell>
          <cell r="H14">
            <v>4</v>
          </cell>
          <cell r="I14">
            <v>1.95</v>
          </cell>
          <cell r="J14">
            <v>1.92</v>
          </cell>
          <cell r="K14">
            <v>0.1</v>
          </cell>
          <cell r="L14">
            <v>20081231</v>
          </cell>
          <cell r="M14">
            <v>1.39</v>
          </cell>
          <cell r="N14">
            <v>20090226</v>
          </cell>
        </row>
        <row r="15">
          <cell r="B15" t="str">
            <v>WGL</v>
          </cell>
          <cell r="C15" t="str">
            <v>WGL HOLDING INC</v>
          </cell>
          <cell r="D15">
            <v>20081218</v>
          </cell>
          <cell r="E15" t="str">
            <v>EPS</v>
          </cell>
          <cell r="F15" t="str">
            <v>ANN</v>
          </cell>
          <cell r="G15">
            <v>1</v>
          </cell>
          <cell r="H15">
            <v>4</v>
          </cell>
          <cell r="I15">
            <v>2.34</v>
          </cell>
          <cell r="J15">
            <v>2.33</v>
          </cell>
          <cell r="K15">
            <v>0.03</v>
          </cell>
          <cell r="L15">
            <v>20090930</v>
          </cell>
          <cell r="M15">
            <v>2.5299999999999998</v>
          </cell>
          <cell r="N15">
            <v>20091112</v>
          </cell>
        </row>
      </sheetData>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5r079ro3nobg43"/>
    </sheetNames>
    <sheetDataSet>
      <sheetData sheetId="0">
        <row r="1">
          <cell r="B1" t="str">
            <v>Official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Forecast Period End Date (SAS Format)</v>
          </cell>
          <cell r="M1" t="str">
            <v>Actual Value, from the Detail Actuals File</v>
          </cell>
          <cell r="N1" t="str">
            <v>Announce date of the Actual, from the Detail Actuals File</v>
          </cell>
        </row>
        <row r="2">
          <cell r="B2" t="str">
            <v>ATG</v>
          </cell>
          <cell r="C2" t="str">
            <v>AGL RESOURCES</v>
          </cell>
          <cell r="D2">
            <v>39800</v>
          </cell>
          <cell r="E2" t="str">
            <v>EPS</v>
          </cell>
          <cell r="F2" t="str">
            <v>LTG</v>
          </cell>
          <cell r="G2" t="str">
            <v>0</v>
          </cell>
          <cell r="H2">
            <v>2</v>
          </cell>
          <cell r="I2">
            <v>4.25</v>
          </cell>
          <cell r="J2">
            <v>4.25</v>
          </cell>
          <cell r="K2">
            <v>0.35</v>
          </cell>
        </row>
        <row r="3">
          <cell r="B3" t="str">
            <v>CPK</v>
          </cell>
          <cell r="C3" t="str">
            <v>CHESAPEAKE UTIL</v>
          </cell>
          <cell r="D3">
            <v>39800</v>
          </cell>
          <cell r="E3" t="str">
            <v>EPS</v>
          </cell>
          <cell r="F3" t="str">
            <v>LTG</v>
          </cell>
          <cell r="G3" t="str">
            <v>0</v>
          </cell>
          <cell r="H3">
            <v>2</v>
          </cell>
          <cell r="I3">
            <v>5.0999999999999996</v>
          </cell>
          <cell r="J3">
            <v>5.0999999999999996</v>
          </cell>
          <cell r="K3">
            <v>1.27</v>
          </cell>
        </row>
        <row r="4">
          <cell r="B4" t="str">
            <v>ATO</v>
          </cell>
          <cell r="C4" t="str">
            <v>ATMOS ENERGY CP</v>
          </cell>
          <cell r="D4">
            <v>39800</v>
          </cell>
          <cell r="E4" t="str">
            <v>EPS</v>
          </cell>
          <cell r="F4" t="str">
            <v>LTG</v>
          </cell>
          <cell r="G4" t="str">
            <v>0</v>
          </cell>
          <cell r="H4">
            <v>2</v>
          </cell>
          <cell r="I4">
            <v>5</v>
          </cell>
          <cell r="J4">
            <v>5</v>
          </cell>
          <cell r="K4">
            <v>0</v>
          </cell>
        </row>
        <row r="5">
          <cell r="B5" t="str">
            <v>GAS</v>
          </cell>
          <cell r="C5" t="str">
            <v>NICOR INC</v>
          </cell>
          <cell r="D5">
            <v>39800</v>
          </cell>
          <cell r="E5" t="str">
            <v>EPS</v>
          </cell>
          <cell r="F5" t="str">
            <v>LTG</v>
          </cell>
          <cell r="G5" t="str">
            <v>0</v>
          </cell>
          <cell r="H5">
            <v>2</v>
          </cell>
          <cell r="I5">
            <v>2.85</v>
          </cell>
          <cell r="J5">
            <v>2.85</v>
          </cell>
          <cell r="K5">
            <v>0.21</v>
          </cell>
        </row>
        <row r="6">
          <cell r="B6" t="str">
            <v>NI</v>
          </cell>
          <cell r="C6" t="str">
            <v>NISOURCE INC</v>
          </cell>
          <cell r="D6">
            <v>39800</v>
          </cell>
          <cell r="E6" t="str">
            <v>EPS</v>
          </cell>
          <cell r="F6" t="str">
            <v>LTG</v>
          </cell>
          <cell r="G6" t="str">
            <v>0</v>
          </cell>
          <cell r="H6">
            <v>4</v>
          </cell>
          <cell r="I6">
            <v>3</v>
          </cell>
          <cell r="J6">
            <v>3</v>
          </cell>
          <cell r="K6">
            <v>0.82</v>
          </cell>
        </row>
        <row r="7">
          <cell r="B7" t="str">
            <v>NJR</v>
          </cell>
          <cell r="C7" t="str">
            <v>NEW JERSEY RES</v>
          </cell>
          <cell r="D7">
            <v>39800</v>
          </cell>
          <cell r="E7" t="str">
            <v>EPS</v>
          </cell>
          <cell r="F7" t="str">
            <v>LTG</v>
          </cell>
          <cell r="G7" t="str">
            <v>0</v>
          </cell>
          <cell r="H7">
            <v>1</v>
          </cell>
          <cell r="I7">
            <v>6</v>
          </cell>
          <cell r="J7">
            <v>6</v>
          </cell>
        </row>
        <row r="8">
          <cell r="B8" t="str">
            <v>NWN</v>
          </cell>
          <cell r="C8" t="str">
            <v>NW NATURAL GAS</v>
          </cell>
          <cell r="D8">
            <v>39800</v>
          </cell>
          <cell r="E8" t="str">
            <v>EPS</v>
          </cell>
          <cell r="F8" t="str">
            <v>LTG</v>
          </cell>
          <cell r="G8" t="str">
            <v>0</v>
          </cell>
          <cell r="H8">
            <v>2</v>
          </cell>
          <cell r="I8">
            <v>4.75</v>
          </cell>
          <cell r="J8">
            <v>4.75</v>
          </cell>
          <cell r="K8">
            <v>1.77</v>
          </cell>
        </row>
        <row r="9">
          <cell r="B9" t="str">
            <v>PEC</v>
          </cell>
          <cell r="C9" t="str">
            <v>PIKE ELECTRIC</v>
          </cell>
          <cell r="D9">
            <v>39800</v>
          </cell>
          <cell r="E9" t="str">
            <v>EPS</v>
          </cell>
          <cell r="F9" t="str">
            <v>LTG</v>
          </cell>
          <cell r="G9" t="str">
            <v>0</v>
          </cell>
          <cell r="H9">
            <v>1</v>
          </cell>
          <cell r="I9">
            <v>13</v>
          </cell>
          <cell r="J9">
            <v>13</v>
          </cell>
        </row>
        <row r="10">
          <cell r="B10" t="str">
            <v>PNY</v>
          </cell>
          <cell r="C10" t="str">
            <v>PIEDMONT NAT GAS</v>
          </cell>
          <cell r="D10">
            <v>39800</v>
          </cell>
          <cell r="E10" t="str">
            <v>EPS</v>
          </cell>
          <cell r="F10" t="str">
            <v>LTG</v>
          </cell>
          <cell r="G10" t="str">
            <v>0</v>
          </cell>
          <cell r="H10">
            <v>3</v>
          </cell>
          <cell r="I10">
            <v>6.6</v>
          </cell>
          <cell r="J10">
            <v>7.87</v>
          </cell>
          <cell r="K10">
            <v>3.67</v>
          </cell>
        </row>
        <row r="11">
          <cell r="B11" t="str">
            <v>SJI</v>
          </cell>
          <cell r="C11" t="str">
            <v>SO JERSEY INDS</v>
          </cell>
          <cell r="D11">
            <v>39800</v>
          </cell>
          <cell r="E11" t="str">
            <v>EPS</v>
          </cell>
          <cell r="F11" t="str">
            <v>LTG</v>
          </cell>
          <cell r="G11" t="str">
            <v>0</v>
          </cell>
          <cell r="H11">
            <v>1</v>
          </cell>
          <cell r="I11">
            <v>7</v>
          </cell>
          <cell r="J11">
            <v>7</v>
          </cell>
        </row>
        <row r="12">
          <cell r="B12" t="str">
            <v>SWX</v>
          </cell>
          <cell r="C12" t="str">
            <v>SOUTHWEST GAS</v>
          </cell>
          <cell r="D12">
            <v>39800</v>
          </cell>
          <cell r="E12" t="str">
            <v>EPS</v>
          </cell>
          <cell r="F12" t="str">
            <v>LTG</v>
          </cell>
          <cell r="G12" t="str">
            <v>0</v>
          </cell>
          <cell r="H12">
            <v>2</v>
          </cell>
          <cell r="I12">
            <v>6</v>
          </cell>
          <cell r="J12">
            <v>6</v>
          </cell>
          <cell r="K12">
            <v>0</v>
          </cell>
        </row>
        <row r="13">
          <cell r="B13" t="str">
            <v>WGL</v>
          </cell>
          <cell r="C13" t="str">
            <v>WGL HOLDING INC</v>
          </cell>
          <cell r="D13">
            <v>39800</v>
          </cell>
          <cell r="E13" t="str">
            <v>EPS</v>
          </cell>
          <cell r="F13" t="str">
            <v>LTG</v>
          </cell>
          <cell r="G13" t="str">
            <v>0</v>
          </cell>
          <cell r="H13">
            <v>1</v>
          </cell>
          <cell r="I13">
            <v>4</v>
          </cell>
          <cell r="J13">
            <v>4</v>
          </cell>
        </row>
        <row r="14">
          <cell r="B14" t="str">
            <v>LG</v>
          </cell>
          <cell r="C14" t="str">
            <v>LACLEDE GROUP</v>
          </cell>
          <cell r="D14">
            <v>39583</v>
          </cell>
          <cell r="E14" t="str">
            <v>EPS</v>
          </cell>
          <cell r="F14" t="str">
            <v>LTG</v>
          </cell>
          <cell r="G14" t="str">
            <v>0</v>
          </cell>
          <cell r="H14">
            <v>1</v>
          </cell>
          <cell r="I14">
            <v>3.5</v>
          </cell>
          <cell r="J14">
            <v>3.5</v>
          </cell>
        </row>
      </sheetData>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RDS"/>
    </sheetNames>
    <sheetDataSet>
      <sheetData sheetId="0">
        <row r="1">
          <cell r="A1" t="str">
            <v>OFTIC</v>
          </cell>
          <cell r="B1" t="str">
            <v>IBES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USFIRM=0 if from .INT file and USFIRM=1 if from .US file</v>
          </cell>
          <cell r="L1" t="str">
            <v>Forecast Period End Date (SAS Format)</v>
          </cell>
          <cell r="M1" t="str">
            <v>Actual Value, from the Detail Actuals File</v>
          </cell>
          <cell r="N1" t="str">
            <v>Announce date of the Actual, from the Detail Actuals File</v>
          </cell>
        </row>
        <row r="2">
          <cell r="A2" t="str">
            <v>PNW</v>
          </cell>
          <cell r="B2" t="str">
            <v>AZP</v>
          </cell>
          <cell r="C2" t="str">
            <v>PINNACLE WST CAP</v>
          </cell>
          <cell r="D2">
            <v>20071220</v>
          </cell>
          <cell r="E2" t="str">
            <v>EPS</v>
          </cell>
          <cell r="F2" t="str">
            <v>ANN</v>
          </cell>
          <cell r="G2">
            <v>1</v>
          </cell>
          <cell r="H2">
            <v>7</v>
          </cell>
          <cell r="I2">
            <v>2.85</v>
          </cell>
          <cell r="J2">
            <v>2.85</v>
          </cell>
          <cell r="K2">
            <v>1</v>
          </cell>
          <cell r="L2">
            <v>20071231</v>
          </cell>
          <cell r="M2">
            <v>2.96</v>
          </cell>
          <cell r="N2">
            <v>20080130</v>
          </cell>
        </row>
        <row r="3">
          <cell r="A3" t="str">
            <v>CEG</v>
          </cell>
          <cell r="B3" t="str">
            <v>BGE</v>
          </cell>
          <cell r="C3" t="str">
            <v>CONSTELLATION EN</v>
          </cell>
          <cell r="D3">
            <v>20071220</v>
          </cell>
          <cell r="E3" t="str">
            <v>EPS</v>
          </cell>
          <cell r="F3" t="str">
            <v>ANN</v>
          </cell>
          <cell r="G3">
            <v>1</v>
          </cell>
          <cell r="H3">
            <v>7</v>
          </cell>
          <cell r="I3">
            <v>4.5599999999999996</v>
          </cell>
          <cell r="J3">
            <v>4.58</v>
          </cell>
          <cell r="K3">
            <v>1</v>
          </cell>
          <cell r="L3">
            <v>20071231</v>
          </cell>
          <cell r="M3">
            <v>4.5999999999999996</v>
          </cell>
          <cell r="N3">
            <v>20080130</v>
          </cell>
        </row>
        <row r="4">
          <cell r="A4" t="str">
            <v>BKH</v>
          </cell>
          <cell r="B4" t="str">
            <v>BHP</v>
          </cell>
          <cell r="C4" t="str">
            <v>BLACK HILLS CP</v>
          </cell>
          <cell r="D4">
            <v>20071220</v>
          </cell>
          <cell r="E4" t="str">
            <v>EPS</v>
          </cell>
          <cell r="F4" t="str">
            <v>ANN</v>
          </cell>
          <cell r="G4">
            <v>1</v>
          </cell>
          <cell r="H4">
            <v>2</v>
          </cell>
          <cell r="I4">
            <v>2.56</v>
          </cell>
          <cell r="J4">
            <v>2.56</v>
          </cell>
          <cell r="K4">
            <v>1</v>
          </cell>
          <cell r="L4">
            <v>20071231</v>
          </cell>
          <cell r="M4">
            <v>2.68</v>
          </cell>
          <cell r="N4">
            <v>20080207</v>
          </cell>
        </row>
        <row r="5">
          <cell r="A5" t="str">
            <v>NST</v>
          </cell>
          <cell r="B5" t="str">
            <v>BSE</v>
          </cell>
          <cell r="C5" t="str">
            <v>NSTAR</v>
          </cell>
          <cell r="D5">
            <v>20071220</v>
          </cell>
          <cell r="E5" t="str">
            <v>EPS</v>
          </cell>
          <cell r="F5" t="str">
            <v>ANN</v>
          </cell>
          <cell r="G5">
            <v>1</v>
          </cell>
          <cell r="H5">
            <v>7</v>
          </cell>
          <cell r="I5">
            <v>2.1</v>
          </cell>
          <cell r="J5">
            <v>2.11</v>
          </cell>
          <cell r="K5">
            <v>1</v>
          </cell>
          <cell r="L5">
            <v>20071231</v>
          </cell>
          <cell r="M5">
            <v>2.0699999999999998</v>
          </cell>
          <cell r="N5">
            <v>20080124</v>
          </cell>
        </row>
        <row r="6">
          <cell r="A6" t="str">
            <v>CMS</v>
          </cell>
          <cell r="B6" t="str">
            <v>CMS</v>
          </cell>
          <cell r="C6" t="str">
            <v>CMS ENERGY CORP</v>
          </cell>
          <cell r="D6">
            <v>20071220</v>
          </cell>
          <cell r="E6" t="str">
            <v>EPS</v>
          </cell>
          <cell r="F6" t="str">
            <v>ANN</v>
          </cell>
          <cell r="G6">
            <v>1</v>
          </cell>
          <cell r="H6">
            <v>12</v>
          </cell>
          <cell r="I6">
            <v>0.8</v>
          </cell>
          <cell r="J6">
            <v>0.81</v>
          </cell>
          <cell r="K6">
            <v>1</v>
          </cell>
          <cell r="L6">
            <v>20071231</v>
          </cell>
          <cell r="M6">
            <v>0.89</v>
          </cell>
          <cell r="N6">
            <v>20080221</v>
          </cell>
        </row>
        <row r="7">
          <cell r="A7" t="str">
            <v>CNL</v>
          </cell>
          <cell r="B7" t="str">
            <v>CNL</v>
          </cell>
          <cell r="C7" t="str">
            <v>CLECO CORP</v>
          </cell>
          <cell r="D7">
            <v>20071220</v>
          </cell>
          <cell r="E7" t="str">
            <v>EPS</v>
          </cell>
          <cell r="F7" t="str">
            <v>ANN</v>
          </cell>
          <cell r="G7">
            <v>1</v>
          </cell>
          <cell r="H7">
            <v>7</v>
          </cell>
          <cell r="I7">
            <v>1.33</v>
          </cell>
          <cell r="J7">
            <v>1.32</v>
          </cell>
          <cell r="K7">
            <v>1</v>
          </cell>
          <cell r="L7">
            <v>20071231</v>
          </cell>
          <cell r="M7">
            <v>1.32</v>
          </cell>
          <cell r="N7">
            <v>20080227</v>
          </cell>
        </row>
        <row r="8">
          <cell r="A8" t="str">
            <v>PGN</v>
          </cell>
          <cell r="B8" t="str">
            <v>CPL</v>
          </cell>
          <cell r="C8" t="str">
            <v>PROGRESS ENERGY</v>
          </cell>
          <cell r="D8">
            <v>20071220</v>
          </cell>
          <cell r="E8" t="str">
            <v>EPS</v>
          </cell>
          <cell r="F8" t="str">
            <v>ANN</v>
          </cell>
          <cell r="G8">
            <v>1</v>
          </cell>
          <cell r="H8">
            <v>5</v>
          </cell>
          <cell r="I8">
            <v>2.8</v>
          </cell>
          <cell r="J8">
            <v>2.78</v>
          </cell>
          <cell r="K8">
            <v>1</v>
          </cell>
          <cell r="L8">
            <v>20071231</v>
          </cell>
          <cell r="M8">
            <v>2.81</v>
          </cell>
          <cell r="N8">
            <v>20080214</v>
          </cell>
        </row>
        <row r="9">
          <cell r="A9" t="str">
            <v>CV</v>
          </cell>
          <cell r="B9" t="str">
            <v>CV</v>
          </cell>
          <cell r="C9" t="str">
            <v>CENT VT PUB SVC</v>
          </cell>
          <cell r="D9">
            <v>20071220</v>
          </cell>
          <cell r="E9" t="str">
            <v>EPS</v>
          </cell>
          <cell r="F9" t="str">
            <v>ANN</v>
          </cell>
          <cell r="G9">
            <v>1</v>
          </cell>
          <cell r="H9">
            <v>1</v>
          </cell>
          <cell r="I9">
            <v>1.5</v>
          </cell>
          <cell r="J9">
            <v>1.5</v>
          </cell>
          <cell r="K9">
            <v>1</v>
          </cell>
          <cell r="L9">
            <v>20071231</v>
          </cell>
          <cell r="M9">
            <v>1.49</v>
          </cell>
          <cell r="N9">
            <v>20080311</v>
          </cell>
        </row>
        <row r="10">
          <cell r="A10" t="str">
            <v>D</v>
          </cell>
          <cell r="B10" t="str">
            <v>D</v>
          </cell>
          <cell r="C10" t="str">
            <v>DOMINION RES INC</v>
          </cell>
          <cell r="D10">
            <v>20071220</v>
          </cell>
          <cell r="E10" t="str">
            <v>EPS</v>
          </cell>
          <cell r="F10" t="str">
            <v>ANN</v>
          </cell>
          <cell r="G10">
            <v>1</v>
          </cell>
          <cell r="H10">
            <v>13</v>
          </cell>
          <cell r="I10">
            <v>2.63</v>
          </cell>
          <cell r="J10">
            <v>2.71</v>
          </cell>
          <cell r="K10">
            <v>1</v>
          </cell>
          <cell r="L10">
            <v>20071231</v>
          </cell>
          <cell r="M10">
            <v>2.56</v>
          </cell>
          <cell r="N10">
            <v>20080130</v>
          </cell>
        </row>
        <row r="11">
          <cell r="A11" t="str">
            <v>DPL</v>
          </cell>
          <cell r="B11" t="str">
            <v>DPL</v>
          </cell>
          <cell r="C11" t="str">
            <v>DPL INC</v>
          </cell>
          <cell r="D11">
            <v>20071220</v>
          </cell>
          <cell r="E11" t="str">
            <v>EPS</v>
          </cell>
          <cell r="F11" t="str">
            <v>ANN</v>
          </cell>
          <cell r="G11">
            <v>1</v>
          </cell>
          <cell r="H11">
            <v>7</v>
          </cell>
          <cell r="I11">
            <v>1.58</v>
          </cell>
          <cell r="J11">
            <v>1.57</v>
          </cell>
          <cell r="K11">
            <v>1</v>
          </cell>
          <cell r="L11">
            <v>20071231</v>
          </cell>
          <cell r="M11">
            <v>1.53</v>
          </cell>
          <cell r="N11">
            <v>20080221</v>
          </cell>
        </row>
        <row r="12">
          <cell r="A12" t="str">
            <v>DTE</v>
          </cell>
          <cell r="B12" t="str">
            <v>DTE</v>
          </cell>
          <cell r="C12" t="str">
            <v>DTE ENERGY</v>
          </cell>
          <cell r="D12">
            <v>20071220</v>
          </cell>
          <cell r="E12" t="str">
            <v>EPS</v>
          </cell>
          <cell r="F12" t="str">
            <v>ANN</v>
          </cell>
          <cell r="G12">
            <v>1</v>
          </cell>
          <cell r="H12">
            <v>8</v>
          </cell>
          <cell r="I12">
            <v>2.6</v>
          </cell>
          <cell r="J12">
            <v>2.63</v>
          </cell>
          <cell r="K12">
            <v>1</v>
          </cell>
          <cell r="L12">
            <v>20071231</v>
          </cell>
          <cell r="M12">
            <v>2.82</v>
          </cell>
          <cell r="N12">
            <v>20080221</v>
          </cell>
        </row>
        <row r="13">
          <cell r="A13" t="str">
            <v>DUK</v>
          </cell>
          <cell r="B13" t="str">
            <v>DUK</v>
          </cell>
          <cell r="C13" t="str">
            <v>DUKE ENERGY CORP</v>
          </cell>
          <cell r="D13">
            <v>20071220</v>
          </cell>
          <cell r="E13" t="str">
            <v>EPS</v>
          </cell>
          <cell r="F13" t="str">
            <v>ANN</v>
          </cell>
          <cell r="G13">
            <v>1</v>
          </cell>
          <cell r="H13">
            <v>14</v>
          </cell>
          <cell r="I13">
            <v>3.68</v>
          </cell>
          <cell r="J13">
            <v>3.67</v>
          </cell>
          <cell r="K13">
            <v>1</v>
          </cell>
          <cell r="L13">
            <v>20071231</v>
          </cell>
          <cell r="M13">
            <v>3.75</v>
          </cell>
          <cell r="N13">
            <v>20080205</v>
          </cell>
        </row>
        <row r="14">
          <cell r="A14" t="str">
            <v>ED</v>
          </cell>
          <cell r="B14" t="str">
            <v>ED</v>
          </cell>
          <cell r="C14" t="str">
            <v>CONSOLIDATED EDI</v>
          </cell>
          <cell r="D14">
            <v>20071220</v>
          </cell>
          <cell r="E14" t="str">
            <v>EPS</v>
          </cell>
          <cell r="F14" t="str">
            <v>ANN</v>
          </cell>
          <cell r="G14">
            <v>1</v>
          </cell>
          <cell r="H14">
            <v>9</v>
          </cell>
          <cell r="I14">
            <v>3.3</v>
          </cell>
          <cell r="J14">
            <v>3.28</v>
          </cell>
          <cell r="K14">
            <v>1</v>
          </cell>
          <cell r="L14">
            <v>20071231</v>
          </cell>
          <cell r="M14">
            <v>3.45</v>
          </cell>
          <cell r="N14">
            <v>20080124</v>
          </cell>
        </row>
        <row r="15">
          <cell r="A15" t="str">
            <v>EDE</v>
          </cell>
          <cell r="B15" t="str">
            <v>EDE</v>
          </cell>
          <cell r="C15" t="str">
            <v>EMPIRE DIST ELEC</v>
          </cell>
          <cell r="D15">
            <v>20071220</v>
          </cell>
          <cell r="E15" t="str">
            <v>EPS</v>
          </cell>
          <cell r="F15" t="str">
            <v>ANN</v>
          </cell>
          <cell r="G15">
            <v>1</v>
          </cell>
          <cell r="H15">
            <v>3</v>
          </cell>
          <cell r="I15">
            <v>1.1499999999999999</v>
          </cell>
          <cell r="J15">
            <v>1.08</v>
          </cell>
          <cell r="K15">
            <v>1</v>
          </cell>
          <cell r="L15">
            <v>20071231</v>
          </cell>
          <cell r="M15">
            <v>1.0900000000000001</v>
          </cell>
          <cell r="N15">
            <v>20080131</v>
          </cell>
        </row>
        <row r="16">
          <cell r="A16" t="str">
            <v>FPL</v>
          </cell>
          <cell r="B16" t="str">
            <v>FPL</v>
          </cell>
          <cell r="C16" t="str">
            <v>FPL GROUP</v>
          </cell>
          <cell r="D16">
            <v>20071220</v>
          </cell>
          <cell r="E16" t="str">
            <v>EPS</v>
          </cell>
          <cell r="F16" t="str">
            <v>ANN</v>
          </cell>
          <cell r="G16">
            <v>1</v>
          </cell>
          <cell r="H16">
            <v>15</v>
          </cell>
          <cell r="I16">
            <v>0.86</v>
          </cell>
          <cell r="J16">
            <v>0.86</v>
          </cell>
          <cell r="K16">
            <v>1</v>
          </cell>
          <cell r="L16">
            <v>20071231</v>
          </cell>
          <cell r="M16">
            <v>0.87</v>
          </cell>
          <cell r="N16">
            <v>20080128</v>
          </cell>
        </row>
        <row r="17">
          <cell r="A17" t="str">
            <v>HE</v>
          </cell>
          <cell r="B17" t="str">
            <v>HE</v>
          </cell>
          <cell r="C17" t="str">
            <v>HAWAIIAN ELEC</v>
          </cell>
          <cell r="D17">
            <v>20071220</v>
          </cell>
          <cell r="E17" t="str">
            <v>EPS</v>
          </cell>
          <cell r="F17" t="str">
            <v>ANN</v>
          </cell>
          <cell r="G17">
            <v>1</v>
          </cell>
          <cell r="H17">
            <v>3</v>
          </cell>
          <cell r="I17">
            <v>0.96</v>
          </cell>
          <cell r="J17">
            <v>0.99</v>
          </cell>
          <cell r="K17">
            <v>1</v>
          </cell>
          <cell r="L17">
            <v>20071231</v>
          </cell>
          <cell r="M17">
            <v>1.05</v>
          </cell>
          <cell r="N17">
            <v>20080221</v>
          </cell>
        </row>
        <row r="18">
          <cell r="A18" t="str">
            <v>CNP</v>
          </cell>
          <cell r="B18" t="str">
            <v>HOU</v>
          </cell>
          <cell r="C18" t="str">
            <v>CENTERPOINT ENER</v>
          </cell>
          <cell r="D18">
            <v>20071220</v>
          </cell>
          <cell r="E18" t="str">
            <v>EPS</v>
          </cell>
          <cell r="F18" t="str">
            <v>ANN</v>
          </cell>
          <cell r="G18">
            <v>1</v>
          </cell>
          <cell r="H18">
            <v>4</v>
          </cell>
          <cell r="I18">
            <v>1.1100000000000001</v>
          </cell>
          <cell r="J18">
            <v>1.1299999999999999</v>
          </cell>
          <cell r="K18">
            <v>1</v>
          </cell>
          <cell r="L18">
            <v>20071231</v>
          </cell>
          <cell r="M18">
            <v>1.17</v>
          </cell>
          <cell r="N18">
            <v>20080228</v>
          </cell>
        </row>
        <row r="19">
          <cell r="A19" t="str">
            <v>IDA</v>
          </cell>
          <cell r="B19" t="str">
            <v>IDA</v>
          </cell>
          <cell r="C19" t="str">
            <v>IDACORP INC.</v>
          </cell>
          <cell r="D19">
            <v>20071220</v>
          </cell>
          <cell r="E19" t="str">
            <v>EPS</v>
          </cell>
          <cell r="F19" t="str">
            <v>ANN</v>
          </cell>
          <cell r="G19">
            <v>1</v>
          </cell>
          <cell r="H19">
            <v>5</v>
          </cell>
          <cell r="I19">
            <v>1.8</v>
          </cell>
          <cell r="J19">
            <v>1.84</v>
          </cell>
          <cell r="K19">
            <v>1</v>
          </cell>
          <cell r="L19">
            <v>20071231</v>
          </cell>
          <cell r="M19">
            <v>1.86</v>
          </cell>
          <cell r="N19">
            <v>20080214</v>
          </cell>
        </row>
        <row r="20">
          <cell r="A20" t="str">
            <v>WR</v>
          </cell>
          <cell r="B20" t="str">
            <v>KAN</v>
          </cell>
          <cell r="C20" t="str">
            <v>WESTAR ENERGY</v>
          </cell>
          <cell r="D20">
            <v>20071220</v>
          </cell>
          <cell r="E20" t="str">
            <v>EPS</v>
          </cell>
          <cell r="F20" t="str">
            <v>ANN</v>
          </cell>
          <cell r="G20">
            <v>1</v>
          </cell>
          <cell r="H20">
            <v>6</v>
          </cell>
          <cell r="I20">
            <v>1.79</v>
          </cell>
          <cell r="J20">
            <v>1.79</v>
          </cell>
          <cell r="K20">
            <v>1</v>
          </cell>
          <cell r="L20">
            <v>20071231</v>
          </cell>
          <cell r="M20">
            <v>1.85</v>
          </cell>
          <cell r="N20">
            <v>20080229</v>
          </cell>
        </row>
        <row r="21">
          <cell r="A21" t="str">
            <v>GXP</v>
          </cell>
          <cell r="B21" t="str">
            <v>KLT</v>
          </cell>
          <cell r="C21" t="str">
            <v>GREAT PLAINS</v>
          </cell>
          <cell r="D21">
            <v>20071220</v>
          </cell>
          <cell r="E21" t="str">
            <v>EPS</v>
          </cell>
          <cell r="F21" t="str">
            <v>ANN</v>
          </cell>
          <cell r="G21">
            <v>1</v>
          </cell>
          <cell r="H21">
            <v>5</v>
          </cell>
          <cell r="I21">
            <v>1.66</v>
          </cell>
          <cell r="J21">
            <v>1.66</v>
          </cell>
          <cell r="K21">
            <v>1</v>
          </cell>
          <cell r="L21">
            <v>20071231</v>
          </cell>
          <cell r="M21">
            <v>1.57</v>
          </cell>
          <cell r="N21">
            <v>20080206</v>
          </cell>
        </row>
        <row r="22">
          <cell r="A22" t="str">
            <v>ALE</v>
          </cell>
          <cell r="B22" t="str">
            <v>MPL</v>
          </cell>
          <cell r="C22" t="str">
            <v>ALLETE INC</v>
          </cell>
          <cell r="D22">
            <v>20071220</v>
          </cell>
          <cell r="E22" t="str">
            <v>EPS</v>
          </cell>
          <cell r="F22" t="str">
            <v>ANN</v>
          </cell>
          <cell r="G22">
            <v>1</v>
          </cell>
          <cell r="H22">
            <v>4</v>
          </cell>
          <cell r="I22">
            <v>2.99</v>
          </cell>
          <cell r="J22">
            <v>2.98</v>
          </cell>
          <cell r="K22">
            <v>1</v>
          </cell>
          <cell r="L22">
            <v>20071231</v>
          </cell>
          <cell r="M22">
            <v>3.08</v>
          </cell>
          <cell r="N22">
            <v>20080215</v>
          </cell>
        </row>
        <row r="23">
          <cell r="A23" t="str">
            <v>ETR</v>
          </cell>
          <cell r="B23" t="str">
            <v>MSU</v>
          </cell>
          <cell r="C23" t="str">
            <v>ENTERGY CP</v>
          </cell>
          <cell r="D23">
            <v>20071220</v>
          </cell>
          <cell r="E23" t="str">
            <v>EPS</v>
          </cell>
          <cell r="F23" t="str">
            <v>ANN</v>
          </cell>
          <cell r="G23">
            <v>1</v>
          </cell>
          <cell r="H23">
            <v>11</v>
          </cell>
          <cell r="I23">
            <v>5.65</v>
          </cell>
          <cell r="J23">
            <v>5.67</v>
          </cell>
          <cell r="K23">
            <v>1</v>
          </cell>
          <cell r="L23">
            <v>20071231</v>
          </cell>
          <cell r="M23">
            <v>5.76</v>
          </cell>
          <cell r="N23">
            <v>20080129</v>
          </cell>
        </row>
        <row r="24">
          <cell r="A24" t="str">
            <v>EAS</v>
          </cell>
          <cell r="B24" t="str">
            <v>NGE</v>
          </cell>
          <cell r="C24" t="str">
            <v>ENERGY EAST CORP</v>
          </cell>
          <cell r="D24">
            <v>20071220</v>
          </cell>
          <cell r="E24" t="str">
            <v>EPS</v>
          </cell>
          <cell r="F24" t="str">
            <v>ANN</v>
          </cell>
          <cell r="G24">
            <v>1</v>
          </cell>
          <cell r="H24">
            <v>4</v>
          </cell>
          <cell r="I24">
            <v>1.52</v>
          </cell>
          <cell r="J24">
            <v>1.54</v>
          </cell>
          <cell r="K24">
            <v>1</v>
          </cell>
          <cell r="L24">
            <v>20071231</v>
          </cell>
          <cell r="M24">
            <v>1.61</v>
          </cell>
          <cell r="N24">
            <v>20080228</v>
          </cell>
        </row>
        <row r="25">
          <cell r="A25" t="str">
            <v>XEL</v>
          </cell>
          <cell r="B25" t="str">
            <v>NSP</v>
          </cell>
          <cell r="C25" t="str">
            <v>XCEL ENERGY INC</v>
          </cell>
          <cell r="D25">
            <v>20071220</v>
          </cell>
          <cell r="E25" t="str">
            <v>EPS</v>
          </cell>
          <cell r="F25" t="str">
            <v>ANN</v>
          </cell>
          <cell r="G25">
            <v>1</v>
          </cell>
          <cell r="H25">
            <v>7</v>
          </cell>
          <cell r="I25">
            <v>1.4</v>
          </cell>
          <cell r="J25">
            <v>1.4</v>
          </cell>
          <cell r="K25">
            <v>1</v>
          </cell>
          <cell r="L25">
            <v>20071231</v>
          </cell>
          <cell r="M25">
            <v>1.43</v>
          </cell>
          <cell r="N25">
            <v>20080130</v>
          </cell>
        </row>
        <row r="26">
          <cell r="A26" t="str">
            <v>NU</v>
          </cell>
          <cell r="B26" t="str">
            <v>NU</v>
          </cell>
          <cell r="C26" t="str">
            <v>NORTHEAST UTILS</v>
          </cell>
          <cell r="D26">
            <v>20071220</v>
          </cell>
          <cell r="E26" t="str">
            <v>EPS</v>
          </cell>
          <cell r="F26" t="str">
            <v>ANN</v>
          </cell>
          <cell r="G26">
            <v>1</v>
          </cell>
          <cell r="H26">
            <v>11</v>
          </cell>
          <cell r="I26">
            <v>1.53</v>
          </cell>
          <cell r="J26">
            <v>1.53</v>
          </cell>
          <cell r="K26">
            <v>1</v>
          </cell>
          <cell r="L26">
            <v>20071231</v>
          </cell>
          <cell r="M26">
            <v>1.59</v>
          </cell>
          <cell r="N26">
            <v>20080220</v>
          </cell>
        </row>
        <row r="27">
          <cell r="A27" t="str">
            <v>FE</v>
          </cell>
          <cell r="B27" t="str">
            <v>OEC</v>
          </cell>
          <cell r="C27" t="str">
            <v>FIRSTENERGY CORP</v>
          </cell>
          <cell r="D27">
            <v>20071220</v>
          </cell>
          <cell r="E27" t="str">
            <v>EPS</v>
          </cell>
          <cell r="F27" t="str">
            <v>ANN</v>
          </cell>
          <cell r="G27">
            <v>1</v>
          </cell>
          <cell r="H27">
            <v>10</v>
          </cell>
          <cell r="I27">
            <v>4.2</v>
          </cell>
          <cell r="J27">
            <v>4.2</v>
          </cell>
          <cell r="K27">
            <v>1</v>
          </cell>
          <cell r="L27">
            <v>20071231</v>
          </cell>
          <cell r="M27">
            <v>4.2300000000000004</v>
          </cell>
          <cell r="N27">
            <v>20080225</v>
          </cell>
        </row>
        <row r="28">
          <cell r="A28" t="str">
            <v>OGE</v>
          </cell>
          <cell r="B28" t="str">
            <v>OGE</v>
          </cell>
          <cell r="C28" t="str">
            <v>OGE ENERGY CORP</v>
          </cell>
          <cell r="D28">
            <v>20071220</v>
          </cell>
          <cell r="E28" t="str">
            <v>EPS</v>
          </cell>
          <cell r="F28" t="str">
            <v>ANN</v>
          </cell>
          <cell r="G28">
            <v>1</v>
          </cell>
          <cell r="H28">
            <v>1</v>
          </cell>
          <cell r="I28">
            <v>1.2</v>
          </cell>
          <cell r="J28">
            <v>1.2</v>
          </cell>
          <cell r="K28">
            <v>1</v>
          </cell>
          <cell r="L28">
            <v>20071231</v>
          </cell>
          <cell r="M28">
            <v>1.32</v>
          </cell>
          <cell r="N28">
            <v>20080228</v>
          </cell>
        </row>
        <row r="29">
          <cell r="A29" t="str">
            <v>OTTR</v>
          </cell>
          <cell r="B29" t="str">
            <v>OTTR</v>
          </cell>
          <cell r="C29" t="str">
            <v>OTTER TAIL CORP.</v>
          </cell>
          <cell r="D29">
            <v>20071220</v>
          </cell>
          <cell r="E29" t="str">
            <v>EPS</v>
          </cell>
          <cell r="F29" t="str">
            <v>ANN</v>
          </cell>
          <cell r="G29">
            <v>1</v>
          </cell>
          <cell r="H29">
            <v>3</v>
          </cell>
          <cell r="I29">
            <v>1.75</v>
          </cell>
          <cell r="J29">
            <v>1.74</v>
          </cell>
          <cell r="K29">
            <v>1</v>
          </cell>
          <cell r="L29">
            <v>20071231</v>
          </cell>
          <cell r="M29">
            <v>1.78</v>
          </cell>
          <cell r="N29">
            <v>20080205</v>
          </cell>
        </row>
        <row r="30">
          <cell r="A30" t="str">
            <v>PCG</v>
          </cell>
          <cell r="B30" t="str">
            <v>PCG</v>
          </cell>
          <cell r="C30" t="str">
            <v>P G &amp; E CORP</v>
          </cell>
          <cell r="D30">
            <v>20071220</v>
          </cell>
          <cell r="E30" t="str">
            <v>EPS</v>
          </cell>
          <cell r="F30" t="str">
            <v>ANN</v>
          </cell>
          <cell r="G30">
            <v>1</v>
          </cell>
          <cell r="H30">
            <v>14</v>
          </cell>
          <cell r="I30">
            <v>2.77</v>
          </cell>
          <cell r="J30">
            <v>2.77</v>
          </cell>
          <cell r="K30">
            <v>1</v>
          </cell>
          <cell r="L30">
            <v>20071231</v>
          </cell>
          <cell r="M30">
            <v>2.78</v>
          </cell>
          <cell r="N30">
            <v>20080222</v>
          </cell>
        </row>
        <row r="31">
          <cell r="A31" t="str">
            <v>EXC</v>
          </cell>
          <cell r="B31" t="str">
            <v>PE</v>
          </cell>
          <cell r="C31" t="str">
            <v>EXELON CORP</v>
          </cell>
          <cell r="D31">
            <v>20071220</v>
          </cell>
          <cell r="E31" t="str">
            <v>EPS</v>
          </cell>
          <cell r="F31" t="str">
            <v>ANN</v>
          </cell>
          <cell r="G31">
            <v>1</v>
          </cell>
          <cell r="H31">
            <v>17</v>
          </cell>
          <cell r="I31">
            <v>4.3</v>
          </cell>
          <cell r="J31">
            <v>4.3</v>
          </cell>
          <cell r="K31">
            <v>1</v>
          </cell>
          <cell r="L31">
            <v>20071231</v>
          </cell>
          <cell r="M31">
            <v>4.32</v>
          </cell>
          <cell r="N31">
            <v>20080123</v>
          </cell>
        </row>
        <row r="32">
          <cell r="A32" t="str">
            <v>PEG</v>
          </cell>
          <cell r="B32" t="str">
            <v>PEG</v>
          </cell>
          <cell r="C32" t="str">
            <v>PUB SVC ENTERS</v>
          </cell>
          <cell r="D32">
            <v>20071220</v>
          </cell>
          <cell r="E32" t="str">
            <v>EPS</v>
          </cell>
          <cell r="F32" t="str">
            <v>ANN</v>
          </cell>
          <cell r="G32">
            <v>1</v>
          </cell>
          <cell r="H32">
            <v>8</v>
          </cell>
          <cell r="I32">
            <v>2.68</v>
          </cell>
          <cell r="J32">
            <v>2.67</v>
          </cell>
          <cell r="K32">
            <v>1</v>
          </cell>
          <cell r="L32">
            <v>20071231</v>
          </cell>
          <cell r="M32">
            <v>2.7050000000000001</v>
          </cell>
          <cell r="N32">
            <v>20080201</v>
          </cell>
        </row>
        <row r="33">
          <cell r="A33" t="str">
            <v>PNM</v>
          </cell>
          <cell r="B33" t="str">
            <v>PNM</v>
          </cell>
          <cell r="C33" t="str">
            <v>PNM RESOURCES</v>
          </cell>
          <cell r="D33">
            <v>20071220</v>
          </cell>
          <cell r="E33" t="str">
            <v>EPS</v>
          </cell>
          <cell r="F33" t="str">
            <v>ANN</v>
          </cell>
          <cell r="G33">
            <v>1</v>
          </cell>
          <cell r="H33">
            <v>6</v>
          </cell>
          <cell r="I33">
            <v>1.3</v>
          </cell>
          <cell r="J33">
            <v>1.29</v>
          </cell>
          <cell r="K33">
            <v>1</v>
          </cell>
          <cell r="L33">
            <v>20071231</v>
          </cell>
          <cell r="M33">
            <v>1.08</v>
          </cell>
          <cell r="N33">
            <v>20080211</v>
          </cell>
        </row>
        <row r="34">
          <cell r="A34" t="str">
            <v>POM</v>
          </cell>
          <cell r="B34" t="str">
            <v>POM</v>
          </cell>
          <cell r="C34" t="str">
            <v>PEPCO HOLDINGS</v>
          </cell>
          <cell r="D34">
            <v>20071220</v>
          </cell>
          <cell r="E34" t="str">
            <v>EPS</v>
          </cell>
          <cell r="F34" t="str">
            <v>ANN</v>
          </cell>
          <cell r="G34">
            <v>1</v>
          </cell>
          <cell r="H34">
            <v>10</v>
          </cell>
          <cell r="I34">
            <v>1.6</v>
          </cell>
          <cell r="J34">
            <v>1.61</v>
          </cell>
          <cell r="K34">
            <v>1</v>
          </cell>
          <cell r="L34">
            <v>20071231</v>
          </cell>
          <cell r="M34">
            <v>1.53</v>
          </cell>
          <cell r="N34">
            <v>20080229</v>
          </cell>
        </row>
        <row r="35">
          <cell r="A35" t="str">
            <v>POR</v>
          </cell>
          <cell r="B35" t="str">
            <v>PORO</v>
          </cell>
          <cell r="C35" t="str">
            <v>PORTLAND GENERAL</v>
          </cell>
          <cell r="D35">
            <v>20071220</v>
          </cell>
          <cell r="E35" t="str">
            <v>EPS</v>
          </cell>
          <cell r="F35" t="str">
            <v>ANN</v>
          </cell>
          <cell r="G35">
            <v>1</v>
          </cell>
          <cell r="H35">
            <v>5</v>
          </cell>
          <cell r="I35">
            <v>1.9</v>
          </cell>
          <cell r="J35">
            <v>2.02</v>
          </cell>
          <cell r="K35">
            <v>1</v>
          </cell>
          <cell r="L35">
            <v>20071231</v>
          </cell>
          <cell r="M35">
            <v>2.33</v>
          </cell>
          <cell r="N35">
            <v>20080226</v>
          </cell>
        </row>
        <row r="36">
          <cell r="A36" t="str">
            <v>PPL</v>
          </cell>
          <cell r="B36" t="str">
            <v>PPL</v>
          </cell>
          <cell r="C36" t="str">
            <v>PP&amp;L CORP</v>
          </cell>
          <cell r="D36">
            <v>20071220</v>
          </cell>
          <cell r="E36" t="str">
            <v>EPS</v>
          </cell>
          <cell r="F36" t="str">
            <v>ANN</v>
          </cell>
          <cell r="G36">
            <v>1</v>
          </cell>
          <cell r="H36">
            <v>5</v>
          </cell>
          <cell r="I36">
            <v>2.48</v>
          </cell>
          <cell r="J36">
            <v>2.4700000000000002</v>
          </cell>
          <cell r="K36">
            <v>1</v>
          </cell>
          <cell r="L36">
            <v>20071231</v>
          </cell>
          <cell r="M36">
            <v>2.6</v>
          </cell>
          <cell r="N36">
            <v>20080131</v>
          </cell>
        </row>
        <row r="37">
          <cell r="A37" t="str">
            <v>PSD</v>
          </cell>
          <cell r="B37" t="str">
            <v>PSD</v>
          </cell>
          <cell r="C37" t="str">
            <v>PUGET ENERGY INC</v>
          </cell>
          <cell r="D37">
            <v>20071220</v>
          </cell>
          <cell r="E37" t="str">
            <v>EPS</v>
          </cell>
          <cell r="F37" t="str">
            <v>ANN</v>
          </cell>
          <cell r="G37">
            <v>1</v>
          </cell>
          <cell r="H37">
            <v>9</v>
          </cell>
          <cell r="I37">
            <v>1.6</v>
          </cell>
          <cell r="J37">
            <v>1.61</v>
          </cell>
          <cell r="K37">
            <v>1</v>
          </cell>
          <cell r="L37">
            <v>20071231</v>
          </cell>
          <cell r="M37">
            <v>1.56</v>
          </cell>
          <cell r="N37">
            <v>20080206</v>
          </cell>
        </row>
        <row r="38">
          <cell r="A38" t="str">
            <v>EIX</v>
          </cell>
          <cell r="B38" t="str">
            <v>SCE</v>
          </cell>
          <cell r="C38" t="str">
            <v>EDISON INTL</v>
          </cell>
          <cell r="D38">
            <v>20071220</v>
          </cell>
          <cell r="E38" t="str">
            <v>EPS</v>
          </cell>
          <cell r="F38" t="str">
            <v>ANN</v>
          </cell>
          <cell r="G38">
            <v>1</v>
          </cell>
          <cell r="H38">
            <v>12</v>
          </cell>
          <cell r="I38">
            <v>3.56</v>
          </cell>
          <cell r="J38">
            <v>3.53</v>
          </cell>
          <cell r="K38">
            <v>1</v>
          </cell>
          <cell r="L38">
            <v>20071231</v>
          </cell>
          <cell r="M38">
            <v>3.69</v>
          </cell>
          <cell r="N38">
            <v>20080227</v>
          </cell>
        </row>
        <row r="39">
          <cell r="A39" t="str">
            <v>SCG</v>
          </cell>
          <cell r="B39" t="str">
            <v>SCG</v>
          </cell>
          <cell r="C39" t="str">
            <v>SCANA CP</v>
          </cell>
          <cell r="D39">
            <v>20071220</v>
          </cell>
          <cell r="E39" t="str">
            <v>EPS</v>
          </cell>
          <cell r="F39" t="str">
            <v>ANN</v>
          </cell>
          <cell r="G39">
            <v>1</v>
          </cell>
          <cell r="H39">
            <v>4</v>
          </cell>
          <cell r="I39">
            <v>2.73</v>
          </cell>
          <cell r="J39">
            <v>2.73</v>
          </cell>
          <cell r="K39">
            <v>1</v>
          </cell>
          <cell r="L39">
            <v>20071231</v>
          </cell>
          <cell r="M39">
            <v>2.74</v>
          </cell>
          <cell r="N39">
            <v>20080215</v>
          </cell>
        </row>
        <row r="40">
          <cell r="A40" t="str">
            <v>SRE</v>
          </cell>
          <cell r="B40" t="str">
            <v>SDO</v>
          </cell>
          <cell r="C40" t="str">
            <v>SEMPRA ENERGY</v>
          </cell>
          <cell r="D40">
            <v>20071220</v>
          </cell>
          <cell r="E40" t="str">
            <v>EPS</v>
          </cell>
          <cell r="F40" t="str">
            <v>ANN</v>
          </cell>
          <cell r="G40">
            <v>1</v>
          </cell>
          <cell r="H40">
            <v>7</v>
          </cell>
          <cell r="I40">
            <v>4.05</v>
          </cell>
          <cell r="J40">
            <v>4.08</v>
          </cell>
          <cell r="K40">
            <v>1</v>
          </cell>
          <cell r="L40">
            <v>20071231</v>
          </cell>
          <cell r="M40">
            <v>4.26</v>
          </cell>
          <cell r="N40">
            <v>20080226</v>
          </cell>
        </row>
        <row r="41">
          <cell r="A41" t="str">
            <v>VVC</v>
          </cell>
          <cell r="B41" t="str">
            <v>SIG</v>
          </cell>
          <cell r="C41" t="str">
            <v>VECTREN CORP</v>
          </cell>
          <cell r="D41">
            <v>20071220</v>
          </cell>
          <cell r="E41" t="str">
            <v>EPS</v>
          </cell>
          <cell r="F41" t="str">
            <v>ANN</v>
          </cell>
          <cell r="G41">
            <v>1</v>
          </cell>
          <cell r="H41">
            <v>4</v>
          </cell>
          <cell r="I41">
            <v>1.86</v>
          </cell>
          <cell r="J41">
            <v>1.87</v>
          </cell>
          <cell r="K41">
            <v>1</v>
          </cell>
          <cell r="L41">
            <v>20071231</v>
          </cell>
          <cell r="M41">
            <v>1.84</v>
          </cell>
          <cell r="N41">
            <v>20080130</v>
          </cell>
        </row>
        <row r="42">
          <cell r="A42" t="str">
            <v>SO</v>
          </cell>
          <cell r="B42" t="str">
            <v>SO</v>
          </cell>
          <cell r="C42" t="str">
            <v>SOUTHN CO</v>
          </cell>
          <cell r="D42">
            <v>20071220</v>
          </cell>
          <cell r="E42" t="str">
            <v>EPS</v>
          </cell>
          <cell r="F42" t="str">
            <v>ANN</v>
          </cell>
          <cell r="G42">
            <v>1</v>
          </cell>
          <cell r="H42">
            <v>15</v>
          </cell>
          <cell r="I42">
            <v>2.2000000000000002</v>
          </cell>
          <cell r="J42">
            <v>2.19</v>
          </cell>
          <cell r="K42">
            <v>1</v>
          </cell>
          <cell r="L42">
            <v>20071231</v>
          </cell>
          <cell r="M42">
            <v>2.21</v>
          </cell>
          <cell r="N42">
            <v>20080130</v>
          </cell>
        </row>
        <row r="43">
          <cell r="A43" t="str">
            <v>TE</v>
          </cell>
          <cell r="B43" t="str">
            <v>TE</v>
          </cell>
          <cell r="C43" t="str">
            <v>TECO ENERGY INC</v>
          </cell>
          <cell r="D43">
            <v>20071220</v>
          </cell>
          <cell r="E43" t="str">
            <v>EPS</v>
          </cell>
          <cell r="F43" t="str">
            <v>ANN</v>
          </cell>
          <cell r="G43">
            <v>1</v>
          </cell>
          <cell r="H43">
            <v>12</v>
          </cell>
          <cell r="I43">
            <v>1.01</v>
          </cell>
          <cell r="J43">
            <v>1.02</v>
          </cell>
          <cell r="K43">
            <v>1</v>
          </cell>
          <cell r="L43">
            <v>20071231</v>
          </cell>
          <cell r="M43">
            <v>1.07</v>
          </cell>
          <cell r="N43">
            <v>20080205</v>
          </cell>
        </row>
        <row r="44">
          <cell r="A44" t="str">
            <v>AEE</v>
          </cell>
          <cell r="B44" t="str">
            <v>UEP</v>
          </cell>
          <cell r="C44" t="str">
            <v>AMEREN CP</v>
          </cell>
          <cell r="D44">
            <v>20071220</v>
          </cell>
          <cell r="E44" t="str">
            <v>EPS</v>
          </cell>
          <cell r="F44" t="str">
            <v>ANN</v>
          </cell>
          <cell r="G44">
            <v>1</v>
          </cell>
          <cell r="H44">
            <v>4</v>
          </cell>
          <cell r="I44">
            <v>3.3</v>
          </cell>
          <cell r="J44">
            <v>3.31</v>
          </cell>
          <cell r="K44">
            <v>1</v>
          </cell>
          <cell r="L44">
            <v>20071231</v>
          </cell>
          <cell r="M44">
            <v>3.29</v>
          </cell>
          <cell r="N44">
            <v>20080214</v>
          </cell>
        </row>
        <row r="45">
          <cell r="A45" t="str">
            <v>UIL</v>
          </cell>
          <cell r="B45" t="str">
            <v>UIL</v>
          </cell>
          <cell r="C45" t="str">
            <v>UIL HOLDING CORP</v>
          </cell>
          <cell r="D45">
            <v>20071220</v>
          </cell>
          <cell r="E45" t="str">
            <v>EPS</v>
          </cell>
          <cell r="F45" t="str">
            <v>ANN</v>
          </cell>
          <cell r="G45">
            <v>1</v>
          </cell>
          <cell r="H45">
            <v>2</v>
          </cell>
          <cell r="I45">
            <v>1.86</v>
          </cell>
          <cell r="J45">
            <v>1.86</v>
          </cell>
          <cell r="K45">
            <v>1</v>
          </cell>
          <cell r="L45">
            <v>20071231</v>
          </cell>
          <cell r="M45">
            <v>1.87</v>
          </cell>
          <cell r="N45">
            <v>20080220</v>
          </cell>
        </row>
        <row r="46">
          <cell r="A46" t="str">
            <v>WEC</v>
          </cell>
          <cell r="B46" t="str">
            <v>WPC</v>
          </cell>
          <cell r="C46" t="str">
            <v>WISCONSIN ENERGY</v>
          </cell>
          <cell r="D46">
            <v>20071220</v>
          </cell>
          <cell r="E46" t="str">
            <v>EPS</v>
          </cell>
          <cell r="F46" t="str">
            <v>ANN</v>
          </cell>
          <cell r="G46">
            <v>1</v>
          </cell>
          <cell r="H46">
            <v>8</v>
          </cell>
          <cell r="I46">
            <v>1.35</v>
          </cell>
          <cell r="J46">
            <v>1.35</v>
          </cell>
          <cell r="K46">
            <v>1</v>
          </cell>
          <cell r="L46">
            <v>20071231</v>
          </cell>
          <cell r="M46">
            <v>1.42</v>
          </cell>
          <cell r="N46">
            <v>20080205</v>
          </cell>
        </row>
        <row r="47">
          <cell r="A47" t="str">
            <v>LNT</v>
          </cell>
          <cell r="B47" t="str">
            <v>WPL</v>
          </cell>
          <cell r="C47" t="str">
            <v>ALLIANT ENER</v>
          </cell>
          <cell r="D47">
            <v>20071220</v>
          </cell>
          <cell r="E47" t="str">
            <v>EPS</v>
          </cell>
          <cell r="F47" t="str">
            <v>ANN</v>
          </cell>
          <cell r="G47">
            <v>1</v>
          </cell>
          <cell r="H47">
            <v>3</v>
          </cell>
          <cell r="I47">
            <v>1.28</v>
          </cell>
          <cell r="J47">
            <v>1.28</v>
          </cell>
          <cell r="K47">
            <v>1</v>
          </cell>
          <cell r="L47">
            <v>20071231</v>
          </cell>
          <cell r="M47">
            <v>1.325</v>
          </cell>
          <cell r="N47">
            <v>20080206</v>
          </cell>
        </row>
        <row r="48">
          <cell r="A48" t="str">
            <v>AVA</v>
          </cell>
          <cell r="B48" t="str">
            <v>WWP</v>
          </cell>
          <cell r="C48" t="str">
            <v>AVISTA CORP</v>
          </cell>
          <cell r="D48">
            <v>20071220</v>
          </cell>
          <cell r="E48" t="str">
            <v>EPS</v>
          </cell>
          <cell r="F48" t="str">
            <v>ANN</v>
          </cell>
          <cell r="G48">
            <v>1</v>
          </cell>
          <cell r="H48">
            <v>4</v>
          </cell>
          <cell r="I48">
            <v>0.81</v>
          </cell>
          <cell r="J48">
            <v>0.85</v>
          </cell>
          <cell r="K48">
            <v>1</v>
          </cell>
          <cell r="L48">
            <v>20071231</v>
          </cell>
          <cell r="M48">
            <v>0.72</v>
          </cell>
          <cell r="N48">
            <v>20080220</v>
          </cell>
        </row>
        <row r="49">
          <cell r="A49" t="str">
            <v>PPL</v>
          </cell>
          <cell r="B49" t="str">
            <v>@1XJ</v>
          </cell>
          <cell r="C49" t="str">
            <v>PUMPKIN PATCH LT</v>
          </cell>
          <cell r="D49">
            <v>20071220</v>
          </cell>
          <cell r="E49" t="str">
            <v>EPS</v>
          </cell>
          <cell r="F49" t="str">
            <v>ANN</v>
          </cell>
          <cell r="G49">
            <v>1</v>
          </cell>
          <cell r="H49">
            <v>4</v>
          </cell>
          <cell r="I49">
            <v>0.17399999999999999</v>
          </cell>
          <cell r="J49">
            <v>0.17399999999999999</v>
          </cell>
          <cell r="K49">
            <v>0</v>
          </cell>
          <cell r="L49">
            <v>20080731</v>
          </cell>
          <cell r="M49">
            <v>0.10100000000000001</v>
          </cell>
          <cell r="N49">
            <v>20080917</v>
          </cell>
        </row>
        <row r="50">
          <cell r="A50" t="str">
            <v>PPL</v>
          </cell>
          <cell r="B50" t="str">
            <v>@1Z1</v>
          </cell>
          <cell r="C50" t="str">
            <v>PPL</v>
          </cell>
          <cell r="D50">
            <v>20071220</v>
          </cell>
          <cell r="E50" t="str">
            <v>EPS</v>
          </cell>
          <cell r="F50" t="str">
            <v>ANN</v>
          </cell>
          <cell r="G50">
            <v>1</v>
          </cell>
          <cell r="H50">
            <v>4</v>
          </cell>
          <cell r="I50">
            <v>6.37</v>
          </cell>
          <cell r="J50">
            <v>6.38</v>
          </cell>
          <cell r="K50">
            <v>0</v>
          </cell>
          <cell r="L50">
            <v>20070630</v>
          </cell>
          <cell r="M50">
            <v>6.7789000000000001</v>
          </cell>
          <cell r="N50">
            <v>20070810</v>
          </cell>
        </row>
        <row r="51">
          <cell r="A51" t="str">
            <v>CNP</v>
          </cell>
          <cell r="B51" t="str">
            <v>@3QP</v>
          </cell>
          <cell r="C51" t="str">
            <v>CONAFI PRESTITO</v>
          </cell>
          <cell r="D51">
            <v>20071220</v>
          </cell>
          <cell r="E51" t="str">
            <v>EPS</v>
          </cell>
          <cell r="F51" t="str">
            <v>ANN</v>
          </cell>
          <cell r="G51">
            <v>1</v>
          </cell>
          <cell r="H51">
            <v>1</v>
          </cell>
          <cell r="I51">
            <v>0.09</v>
          </cell>
          <cell r="J51">
            <v>0.09</v>
          </cell>
          <cell r="K51">
            <v>0</v>
          </cell>
          <cell r="L51">
            <v>20071231</v>
          </cell>
          <cell r="M51">
            <v>0.08</v>
          </cell>
          <cell r="N51">
            <v>20080327</v>
          </cell>
        </row>
        <row r="52">
          <cell r="A52" t="str">
            <v>IDA</v>
          </cell>
          <cell r="B52" t="str">
            <v>@5W2</v>
          </cell>
          <cell r="C52" t="str">
            <v>IDATECH PLC</v>
          </cell>
          <cell r="D52">
            <v>20071220</v>
          </cell>
          <cell r="E52" t="str">
            <v>EPS</v>
          </cell>
          <cell r="F52" t="str">
            <v>ANN</v>
          </cell>
          <cell r="G52">
            <v>1</v>
          </cell>
          <cell r="H52">
            <v>1</v>
          </cell>
          <cell r="I52">
            <v>-18.54</v>
          </cell>
          <cell r="J52">
            <v>-18.54</v>
          </cell>
          <cell r="K52">
            <v>0</v>
          </cell>
          <cell r="L52">
            <v>20071231</v>
          </cell>
          <cell r="N52">
            <v>20080319</v>
          </cell>
        </row>
        <row r="53">
          <cell r="A53" t="str">
            <v>DPL</v>
          </cell>
          <cell r="B53" t="str">
            <v>@6OD</v>
          </cell>
          <cell r="C53" t="str">
            <v>DOMINION PETROLE</v>
          </cell>
          <cell r="D53">
            <v>20071220</v>
          </cell>
          <cell r="E53" t="str">
            <v>EPS</v>
          </cell>
          <cell r="F53" t="str">
            <v>ANN</v>
          </cell>
          <cell r="G53">
            <v>1</v>
          </cell>
          <cell r="H53">
            <v>1</v>
          </cell>
          <cell r="I53">
            <v>-0.49</v>
          </cell>
          <cell r="J53">
            <v>-0.49</v>
          </cell>
          <cell r="K53">
            <v>0</v>
          </cell>
          <cell r="L53">
            <v>20071231</v>
          </cell>
          <cell r="M53">
            <v>-0.06</v>
          </cell>
          <cell r="N53">
            <v>20080620</v>
          </cell>
        </row>
        <row r="54">
          <cell r="A54" t="str">
            <v>AGR</v>
          </cell>
          <cell r="B54" t="str">
            <v>@8FV</v>
          </cell>
          <cell r="C54" t="str">
            <v>AGR GROUP</v>
          </cell>
          <cell r="D54">
            <v>20071220</v>
          </cell>
          <cell r="E54" t="str">
            <v>EPS</v>
          </cell>
          <cell r="F54" t="str">
            <v>ANN</v>
          </cell>
          <cell r="G54">
            <v>1</v>
          </cell>
          <cell r="H54">
            <v>3</v>
          </cell>
          <cell r="I54">
            <v>1.54</v>
          </cell>
          <cell r="J54">
            <v>1.86</v>
          </cell>
          <cell r="K54">
            <v>0</v>
          </cell>
          <cell r="L54">
            <v>20071231</v>
          </cell>
          <cell r="M54">
            <v>-1.3548</v>
          </cell>
          <cell r="N54">
            <v>20080212</v>
          </cell>
        </row>
        <row r="55">
          <cell r="A55" t="str">
            <v>CNP</v>
          </cell>
          <cell r="B55" t="str">
            <v>@8PG</v>
          </cell>
          <cell r="C55" t="str">
            <v>CENTRO PROPERTIE</v>
          </cell>
          <cell r="D55">
            <v>20071220</v>
          </cell>
          <cell r="E55" t="str">
            <v>EPS</v>
          </cell>
          <cell r="F55" t="str">
            <v>ANN</v>
          </cell>
          <cell r="G55">
            <v>1</v>
          </cell>
          <cell r="H55">
            <v>9</v>
          </cell>
          <cell r="I55">
            <v>0.38800000000000001</v>
          </cell>
          <cell r="J55">
            <v>0.39300000000000002</v>
          </cell>
          <cell r="K55">
            <v>0</v>
          </cell>
          <cell r="L55">
            <v>20080630</v>
          </cell>
          <cell r="M55">
            <v>0.29849999999999999</v>
          </cell>
          <cell r="N55">
            <v>20080902</v>
          </cell>
        </row>
        <row r="56">
          <cell r="A56" t="str">
            <v>AGR</v>
          </cell>
          <cell r="B56" t="str">
            <v>@A7S</v>
          </cell>
          <cell r="C56" t="str">
            <v>AGROB ST</v>
          </cell>
          <cell r="D56">
            <v>20071220</v>
          </cell>
          <cell r="E56" t="str">
            <v>EPS</v>
          </cell>
          <cell r="F56" t="str">
            <v>ANN</v>
          </cell>
          <cell r="G56">
            <v>1</v>
          </cell>
          <cell r="H56">
            <v>1</v>
          </cell>
          <cell r="I56">
            <v>0.34</v>
          </cell>
          <cell r="J56">
            <v>0.34</v>
          </cell>
          <cell r="K56">
            <v>0</v>
          </cell>
          <cell r="L56">
            <v>20071231</v>
          </cell>
          <cell r="M56">
            <v>0.54700000000000004</v>
          </cell>
          <cell r="N56">
            <v>20080502</v>
          </cell>
        </row>
        <row r="57">
          <cell r="A57" t="str">
            <v>CNP</v>
          </cell>
          <cell r="B57" t="str">
            <v>@CN0</v>
          </cell>
          <cell r="C57" t="str">
            <v>CNP ASSURANCES</v>
          </cell>
          <cell r="D57">
            <v>20071220</v>
          </cell>
          <cell r="E57" t="str">
            <v>EPS</v>
          </cell>
          <cell r="F57" t="str">
            <v>ANN</v>
          </cell>
          <cell r="G57">
            <v>1</v>
          </cell>
          <cell r="H57">
            <v>13</v>
          </cell>
          <cell r="I57">
            <v>1.96</v>
          </cell>
          <cell r="J57">
            <v>1.98</v>
          </cell>
          <cell r="K57">
            <v>0</v>
          </cell>
          <cell r="L57">
            <v>20071231</v>
          </cell>
          <cell r="M57">
            <v>2.0499999999999998</v>
          </cell>
          <cell r="N57">
            <v>20080304</v>
          </cell>
        </row>
        <row r="58">
          <cell r="A58" t="str">
            <v>SO</v>
          </cell>
          <cell r="B58" t="str">
            <v>@DAM</v>
          </cell>
          <cell r="C58" t="str">
            <v>SOMFY</v>
          </cell>
          <cell r="D58">
            <v>20071220</v>
          </cell>
          <cell r="E58" t="str">
            <v>EPS</v>
          </cell>
          <cell r="F58" t="str">
            <v>ANN</v>
          </cell>
          <cell r="G58">
            <v>1</v>
          </cell>
          <cell r="H58">
            <v>6</v>
          </cell>
          <cell r="I58">
            <v>2.78</v>
          </cell>
          <cell r="J58">
            <v>2.79</v>
          </cell>
          <cell r="K58">
            <v>0</v>
          </cell>
          <cell r="L58">
            <v>20071231</v>
          </cell>
          <cell r="M58">
            <v>2.72</v>
          </cell>
          <cell r="N58">
            <v>20080229</v>
          </cell>
        </row>
        <row r="59">
          <cell r="A59" t="str">
            <v>DTE</v>
          </cell>
          <cell r="B59" t="str">
            <v>@DT</v>
          </cell>
          <cell r="C59" t="str">
            <v>DEUTSCHE TELEKOM</v>
          </cell>
          <cell r="D59">
            <v>20071220</v>
          </cell>
          <cell r="E59" t="str">
            <v>EPS</v>
          </cell>
          <cell r="F59" t="str">
            <v>ANN</v>
          </cell>
          <cell r="G59">
            <v>1</v>
          </cell>
          <cell r="H59">
            <v>35</v>
          </cell>
          <cell r="I59">
            <v>0.64</v>
          </cell>
          <cell r="J59">
            <v>0.66</v>
          </cell>
          <cell r="K59">
            <v>0</v>
          </cell>
          <cell r="L59">
            <v>20071231</v>
          </cell>
          <cell r="M59">
            <v>0.69199999999999995</v>
          </cell>
          <cell r="N59">
            <v>20080228</v>
          </cell>
        </row>
        <row r="60">
          <cell r="A60" t="str">
            <v>PCG</v>
          </cell>
          <cell r="B60" t="str">
            <v>@DTY</v>
          </cell>
          <cell r="C60" t="str">
            <v>PCH GROUP</v>
          </cell>
          <cell r="D60">
            <v>20071220</v>
          </cell>
          <cell r="E60" t="str">
            <v>EPS</v>
          </cell>
          <cell r="F60" t="str">
            <v>ANN</v>
          </cell>
          <cell r="G60">
            <v>1</v>
          </cell>
          <cell r="H60">
            <v>2</v>
          </cell>
          <cell r="I60">
            <v>7.0999999999999994E-2</v>
          </cell>
          <cell r="J60">
            <v>7.0999999999999994E-2</v>
          </cell>
          <cell r="K60">
            <v>0</v>
          </cell>
          <cell r="L60">
            <v>20080630</v>
          </cell>
        </row>
        <row r="61">
          <cell r="A61" t="str">
            <v>FPL</v>
          </cell>
          <cell r="B61" t="str">
            <v>@F8X</v>
          </cell>
          <cell r="C61" t="str">
            <v>1ST CALGARY PETE</v>
          </cell>
          <cell r="D61">
            <v>20071220</v>
          </cell>
          <cell r="E61" t="str">
            <v>EPS</v>
          </cell>
          <cell r="F61" t="str">
            <v>ANN</v>
          </cell>
          <cell r="G61">
            <v>1</v>
          </cell>
          <cell r="H61">
            <v>2</v>
          </cell>
          <cell r="I61">
            <v>-1.02</v>
          </cell>
          <cell r="J61">
            <v>-1.02</v>
          </cell>
          <cell r="K61">
            <v>0</v>
          </cell>
          <cell r="L61">
            <v>20071231</v>
          </cell>
          <cell r="M61">
            <v>-1.75</v>
          </cell>
          <cell r="N61">
            <v>20080320</v>
          </cell>
        </row>
        <row r="62">
          <cell r="A62" t="str">
            <v>CMS</v>
          </cell>
          <cell r="B62" t="str">
            <v>@HMD</v>
          </cell>
          <cell r="C62" t="str">
            <v>CAHYA MATA SARA.</v>
          </cell>
          <cell r="D62">
            <v>20071220</v>
          </cell>
          <cell r="E62" t="str">
            <v>EPS</v>
          </cell>
          <cell r="F62" t="str">
            <v>ANN</v>
          </cell>
          <cell r="G62">
            <v>1</v>
          </cell>
          <cell r="H62">
            <v>1</v>
          </cell>
          <cell r="I62">
            <v>-0.17899999999999999</v>
          </cell>
          <cell r="J62">
            <v>-0.17899999999999999</v>
          </cell>
          <cell r="K62">
            <v>0</v>
          </cell>
          <cell r="L62">
            <v>20071231</v>
          </cell>
          <cell r="M62">
            <v>-6.7699999999999996E-2</v>
          </cell>
          <cell r="N62">
            <v>20080227</v>
          </cell>
        </row>
        <row r="63">
          <cell r="A63" t="str">
            <v>PGN</v>
          </cell>
          <cell r="B63" t="str">
            <v>@J5W</v>
          </cell>
          <cell r="C63" t="str">
            <v>POLISH OIL &amp; GAS</v>
          </cell>
          <cell r="D63">
            <v>20071220</v>
          </cell>
          <cell r="E63" t="str">
            <v>EPS</v>
          </cell>
          <cell r="F63" t="str">
            <v>ANN</v>
          </cell>
          <cell r="G63">
            <v>1</v>
          </cell>
          <cell r="H63">
            <v>7</v>
          </cell>
          <cell r="I63">
            <v>0.3</v>
          </cell>
          <cell r="J63">
            <v>0.3</v>
          </cell>
          <cell r="K63">
            <v>0</v>
          </cell>
          <cell r="L63">
            <v>20071231</v>
          </cell>
          <cell r="M63">
            <v>0.21199999999999999</v>
          </cell>
          <cell r="N63">
            <v>20080228</v>
          </cell>
        </row>
        <row r="64">
          <cell r="A64" t="str">
            <v>NST</v>
          </cell>
          <cell r="B64" t="str">
            <v>@NST</v>
          </cell>
          <cell r="C64" t="str">
            <v>NEW STRAITS TIME</v>
          </cell>
          <cell r="D64">
            <v>20071220</v>
          </cell>
          <cell r="E64" t="str">
            <v>EPS</v>
          </cell>
          <cell r="F64" t="str">
            <v>ANN</v>
          </cell>
          <cell r="G64">
            <v>1</v>
          </cell>
          <cell r="H64">
            <v>10</v>
          </cell>
          <cell r="I64">
            <v>9.6000000000000002E-2</v>
          </cell>
          <cell r="J64">
            <v>9.4E-2</v>
          </cell>
          <cell r="K64">
            <v>0</v>
          </cell>
          <cell r="L64">
            <v>20071231</v>
          </cell>
          <cell r="M64">
            <v>9.1999999999999998E-2</v>
          </cell>
          <cell r="N64">
            <v>20080227</v>
          </cell>
        </row>
        <row r="65">
          <cell r="A65" t="str">
            <v>POM</v>
          </cell>
          <cell r="B65" t="str">
            <v>@PO8</v>
          </cell>
          <cell r="C65" t="str">
            <v>PLASTIC OMNIUM</v>
          </cell>
          <cell r="D65">
            <v>20071220</v>
          </cell>
          <cell r="E65" t="str">
            <v>EPS</v>
          </cell>
          <cell r="F65" t="str">
            <v>ANN</v>
          </cell>
          <cell r="G65">
            <v>1</v>
          </cell>
          <cell r="H65">
            <v>7</v>
          </cell>
          <cell r="I65">
            <v>0.32</v>
          </cell>
          <cell r="J65">
            <v>0.32</v>
          </cell>
          <cell r="K65">
            <v>0</v>
          </cell>
          <cell r="L65">
            <v>20071231</v>
          </cell>
          <cell r="M65">
            <v>0.3322</v>
          </cell>
          <cell r="N65">
            <v>20080313</v>
          </cell>
        </row>
        <row r="66">
          <cell r="A66" t="str">
            <v>PGN</v>
          </cell>
          <cell r="B66" t="str">
            <v>@QPA</v>
          </cell>
          <cell r="C66" t="str">
            <v>PARAGON</v>
          </cell>
          <cell r="D66">
            <v>20071220</v>
          </cell>
          <cell r="E66" t="str">
            <v>EPS</v>
          </cell>
          <cell r="F66" t="str">
            <v>ANN</v>
          </cell>
          <cell r="G66">
            <v>1</v>
          </cell>
          <cell r="H66">
            <v>1</v>
          </cell>
          <cell r="I66">
            <v>0.4</v>
          </cell>
          <cell r="J66">
            <v>0.4</v>
          </cell>
          <cell r="K66">
            <v>0</v>
          </cell>
          <cell r="L66">
            <v>20071231</v>
          </cell>
          <cell r="M66">
            <v>0.6</v>
          </cell>
          <cell r="N66">
            <v>20080428</v>
          </cell>
        </row>
        <row r="67">
          <cell r="A67" t="str">
            <v>PEG</v>
          </cell>
          <cell r="B67" t="str">
            <v>@S6N</v>
          </cell>
          <cell r="C67" t="str">
            <v>PETARDS GROUP</v>
          </cell>
          <cell r="D67">
            <v>20071220</v>
          </cell>
          <cell r="E67" t="str">
            <v>EPS</v>
          </cell>
          <cell r="F67" t="str">
            <v>ANN</v>
          </cell>
          <cell r="G67">
            <v>1</v>
          </cell>
          <cell r="H67">
            <v>1</v>
          </cell>
          <cell r="I67">
            <v>-9.1999999999999993</v>
          </cell>
          <cell r="J67">
            <v>-9.1999999999999993</v>
          </cell>
          <cell r="K67">
            <v>0</v>
          </cell>
          <cell r="L67">
            <v>20071231</v>
          </cell>
          <cell r="M67">
            <v>-6.8989000000000003</v>
          </cell>
          <cell r="N67">
            <v>20081216</v>
          </cell>
        </row>
        <row r="68">
          <cell r="A68" t="str">
            <v>DTE</v>
          </cell>
          <cell r="B68" t="str">
            <v>@UIU</v>
          </cell>
          <cell r="C68" t="str">
            <v>DATONG PLC</v>
          </cell>
          <cell r="D68">
            <v>20071220</v>
          </cell>
          <cell r="E68" t="str">
            <v>EPS</v>
          </cell>
          <cell r="F68" t="str">
            <v>ANN</v>
          </cell>
          <cell r="G68">
            <v>1</v>
          </cell>
          <cell r="H68">
            <v>1</v>
          </cell>
          <cell r="I68">
            <v>9.4</v>
          </cell>
          <cell r="J68">
            <v>9.4</v>
          </cell>
          <cell r="K68">
            <v>0</v>
          </cell>
          <cell r="L68">
            <v>20080331</v>
          </cell>
          <cell r="M68">
            <v>11.371</v>
          </cell>
          <cell r="N68">
            <v>20080610</v>
          </cell>
        </row>
        <row r="69">
          <cell r="A69" t="str">
            <v>AGR</v>
          </cell>
          <cell r="B69" t="str">
            <v>@V2M</v>
          </cell>
          <cell r="C69" t="str">
            <v>ASSURA GROUP</v>
          </cell>
          <cell r="D69">
            <v>20071220</v>
          </cell>
          <cell r="E69" t="str">
            <v>EPS</v>
          </cell>
          <cell r="F69" t="str">
            <v>ANN</v>
          </cell>
          <cell r="G69">
            <v>1</v>
          </cell>
          <cell r="H69">
            <v>1</v>
          </cell>
          <cell r="I69">
            <v>12.3</v>
          </cell>
          <cell r="J69">
            <v>12.3</v>
          </cell>
          <cell r="K69">
            <v>0</v>
          </cell>
          <cell r="L69">
            <v>20080331</v>
          </cell>
          <cell r="N69">
            <v>20080625</v>
          </cell>
        </row>
        <row r="70">
          <cell r="A70" t="str">
            <v>CIN</v>
          </cell>
          <cell r="B70" t="str">
            <v>@W1E</v>
          </cell>
          <cell r="C70" t="str">
            <v>CINTRA CONCESION</v>
          </cell>
          <cell r="D70">
            <v>20071220</v>
          </cell>
          <cell r="E70" t="str">
            <v>EPS</v>
          </cell>
          <cell r="F70" t="str">
            <v>ANN</v>
          </cell>
          <cell r="G70">
            <v>1</v>
          </cell>
          <cell r="H70">
            <v>20</v>
          </cell>
          <cell r="I70">
            <v>-0.04</v>
          </cell>
          <cell r="J70">
            <v>-0.04</v>
          </cell>
          <cell r="K70">
            <v>0</v>
          </cell>
          <cell r="L70">
            <v>20071231</v>
          </cell>
          <cell r="M70">
            <v>-4.5699999999999998E-2</v>
          </cell>
          <cell r="N70">
            <v>20080220</v>
          </cell>
        </row>
        <row r="71">
          <cell r="A71" t="str">
            <v>CMS</v>
          </cell>
          <cell r="B71" t="str">
            <v>@XJM</v>
          </cell>
          <cell r="C71" t="str">
            <v>COMMUNISIS PLC</v>
          </cell>
          <cell r="D71">
            <v>20071220</v>
          </cell>
          <cell r="E71" t="str">
            <v>EPS</v>
          </cell>
          <cell r="F71" t="str">
            <v>ANN</v>
          </cell>
          <cell r="G71">
            <v>1</v>
          </cell>
          <cell r="H71">
            <v>2</v>
          </cell>
          <cell r="I71">
            <v>4.72</v>
          </cell>
          <cell r="J71">
            <v>4.72</v>
          </cell>
          <cell r="K71">
            <v>0</v>
          </cell>
          <cell r="L71">
            <v>20071231</v>
          </cell>
          <cell r="M71">
            <v>4.7088999999999999</v>
          </cell>
          <cell r="N71">
            <v>20080227</v>
          </cell>
        </row>
        <row r="72">
          <cell r="A72" t="str">
            <v>EXC</v>
          </cell>
          <cell r="B72" t="str">
            <v>EXC1</v>
          </cell>
          <cell r="C72" t="str">
            <v>EXTREME CCTV</v>
          </cell>
          <cell r="D72">
            <v>20071220</v>
          </cell>
          <cell r="E72" t="str">
            <v>EPS</v>
          </cell>
          <cell r="F72" t="str">
            <v>ANN</v>
          </cell>
          <cell r="G72">
            <v>1</v>
          </cell>
          <cell r="H72">
            <v>2</v>
          </cell>
          <cell r="I72">
            <v>0.22</v>
          </cell>
          <cell r="J72">
            <v>0.22</v>
          </cell>
          <cell r="K72">
            <v>0</v>
          </cell>
          <cell r="L72">
            <v>20080930</v>
          </cell>
        </row>
        <row r="73">
          <cell r="A73" t="str">
            <v>HE</v>
          </cell>
          <cell r="B73" t="str">
            <v>HES1</v>
          </cell>
          <cell r="C73" t="str">
            <v>HANWEI ENERGY</v>
          </cell>
          <cell r="D73">
            <v>20071220</v>
          </cell>
          <cell r="E73" t="str">
            <v>EPS</v>
          </cell>
          <cell r="F73" t="str">
            <v>ANN</v>
          </cell>
          <cell r="G73">
            <v>1</v>
          </cell>
          <cell r="H73">
            <v>2</v>
          </cell>
          <cell r="I73">
            <v>0.15</v>
          </cell>
          <cell r="J73">
            <v>0.15</v>
          </cell>
          <cell r="K73">
            <v>0</v>
          </cell>
          <cell r="L73">
            <v>20071231</v>
          </cell>
          <cell r="M73">
            <v>0.13</v>
          </cell>
          <cell r="N73">
            <v>20080404</v>
          </cell>
        </row>
        <row r="74">
          <cell r="A74" t="str">
            <v>PCG</v>
          </cell>
          <cell r="B74" t="str">
            <v>PCG1</v>
          </cell>
          <cell r="C74" t="str">
            <v>POWERCOMM INC</v>
          </cell>
          <cell r="D74">
            <v>20071220</v>
          </cell>
          <cell r="E74" t="str">
            <v>EPS</v>
          </cell>
          <cell r="F74" t="str">
            <v>ANN</v>
          </cell>
          <cell r="G74">
            <v>1</v>
          </cell>
          <cell r="H74">
            <v>1</v>
          </cell>
          <cell r="I74">
            <v>0.02</v>
          </cell>
          <cell r="J74">
            <v>0.02</v>
          </cell>
          <cell r="K74">
            <v>0</v>
          </cell>
          <cell r="L74">
            <v>20080331</v>
          </cell>
          <cell r="M74">
            <v>-0.03</v>
          </cell>
          <cell r="N74">
            <v>20080627</v>
          </cell>
        </row>
        <row r="75">
          <cell r="A75" t="str">
            <v>PGN</v>
          </cell>
          <cell r="B75" t="str">
            <v>PGW1</v>
          </cell>
          <cell r="C75" t="str">
            <v>PARAGON PHARMACI</v>
          </cell>
          <cell r="D75">
            <v>20071220</v>
          </cell>
          <cell r="E75" t="str">
            <v>EPS</v>
          </cell>
          <cell r="F75" t="str">
            <v>ANN</v>
          </cell>
          <cell r="G75">
            <v>1</v>
          </cell>
          <cell r="H75">
            <v>1</v>
          </cell>
          <cell r="I75">
            <v>-0.04</v>
          </cell>
          <cell r="J75">
            <v>-0.04</v>
          </cell>
          <cell r="K75">
            <v>0</v>
          </cell>
          <cell r="L75">
            <v>20070831</v>
          </cell>
          <cell r="M75">
            <v>-0.08</v>
          </cell>
          <cell r="N75">
            <v>20071214</v>
          </cell>
        </row>
        <row r="76">
          <cell r="A76" t="str">
            <v>POM</v>
          </cell>
          <cell r="B76" t="str">
            <v>POM1</v>
          </cell>
          <cell r="C76" t="str">
            <v>POLYMET MINING C</v>
          </cell>
          <cell r="D76">
            <v>20071220</v>
          </cell>
          <cell r="E76" t="str">
            <v>EPS</v>
          </cell>
          <cell r="F76" t="str">
            <v>ANN</v>
          </cell>
          <cell r="G76">
            <v>1</v>
          </cell>
          <cell r="H76">
            <v>1</v>
          </cell>
          <cell r="I76">
            <v>-0.3</v>
          </cell>
          <cell r="J76">
            <v>-0.3</v>
          </cell>
          <cell r="K76">
            <v>0</v>
          </cell>
          <cell r="L76">
            <v>20080131</v>
          </cell>
          <cell r="M76">
            <v>-0.3</v>
          </cell>
          <cell r="N76">
            <v>20080430</v>
          </cell>
        </row>
        <row r="77">
          <cell r="A77" t="str">
            <v>PEG</v>
          </cell>
          <cell r="B77" t="str">
            <v>PRB1</v>
          </cell>
          <cell r="C77" t="str">
            <v>PETRO RUBIALES</v>
          </cell>
          <cell r="D77">
            <v>20071220</v>
          </cell>
          <cell r="E77" t="str">
            <v>EPS</v>
          </cell>
          <cell r="F77" t="str">
            <v>ANN</v>
          </cell>
          <cell r="G77">
            <v>1</v>
          </cell>
          <cell r="H77">
            <v>2</v>
          </cell>
          <cell r="I77">
            <v>0.12</v>
          </cell>
          <cell r="J77">
            <v>0.12</v>
          </cell>
          <cell r="K77">
            <v>0</v>
          </cell>
          <cell r="L77">
            <v>20071231</v>
          </cell>
          <cell r="M77">
            <v>0.24</v>
          </cell>
          <cell r="N77">
            <v>20080331</v>
          </cell>
        </row>
        <row r="78">
          <cell r="A78" t="str">
            <v>PSD</v>
          </cell>
          <cell r="B78" t="str">
            <v>PSD3</v>
          </cell>
          <cell r="C78" t="str">
            <v>PULSE DATA INC</v>
          </cell>
          <cell r="D78">
            <v>20071220</v>
          </cell>
          <cell r="E78" t="str">
            <v>EPS</v>
          </cell>
          <cell r="F78" t="str">
            <v>ANN</v>
          </cell>
          <cell r="G78">
            <v>1</v>
          </cell>
          <cell r="H78">
            <v>3</v>
          </cell>
          <cell r="I78">
            <v>0.04</v>
          </cell>
          <cell r="J78">
            <v>0.06</v>
          </cell>
          <cell r="K78">
            <v>0</v>
          </cell>
          <cell r="L78">
            <v>20071231</v>
          </cell>
          <cell r="M78">
            <v>0.05</v>
          </cell>
          <cell r="N78">
            <v>20080319</v>
          </cell>
        </row>
        <row r="79">
          <cell r="A79" t="str">
            <v>SO</v>
          </cell>
          <cell r="B79" t="str">
            <v>SOCA</v>
          </cell>
          <cell r="C79" t="str">
            <v>SOFTCHOICE CORP</v>
          </cell>
          <cell r="D79">
            <v>20071220</v>
          </cell>
          <cell r="E79" t="str">
            <v>EPS</v>
          </cell>
          <cell r="F79" t="str">
            <v>ANN</v>
          </cell>
          <cell r="G79">
            <v>1</v>
          </cell>
          <cell r="H79">
            <v>3</v>
          </cell>
          <cell r="I79">
            <v>1.18</v>
          </cell>
          <cell r="J79">
            <v>1.2</v>
          </cell>
          <cell r="K79">
            <v>0</v>
          </cell>
          <cell r="L79">
            <v>20071231</v>
          </cell>
          <cell r="M79">
            <v>1.34</v>
          </cell>
          <cell r="N79">
            <v>20080213</v>
          </cell>
        </row>
      </sheetData>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RDS"/>
    </sheetNames>
    <sheetDataSet>
      <sheetData sheetId="0">
        <row r="1">
          <cell r="A1" t="str">
            <v>OFTIC</v>
          </cell>
          <cell r="B1" t="str">
            <v>IBES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USFIRM=0 if from .INT file and USFIRM=1 if from .US file</v>
          </cell>
          <cell r="M1" t="str">
            <v>Forecast Period End Date (SAS Format)</v>
          </cell>
          <cell r="N1" t="str">
            <v>Actual Value, from the Detail Actuals File</v>
          </cell>
          <cell r="O1" t="str">
            <v>Announce date of the Actual, from the Detail Actuals File</v>
          </cell>
        </row>
        <row r="2">
          <cell r="A2" t="str">
            <v>PNW</v>
          </cell>
          <cell r="B2" t="str">
            <v>AZP</v>
          </cell>
          <cell r="C2" t="str">
            <v>PINNACLE WST CAP</v>
          </cell>
          <cell r="D2">
            <v>20071220</v>
          </cell>
          <cell r="E2" t="str">
            <v>EPS</v>
          </cell>
          <cell r="F2" t="str">
            <v>LTG</v>
          </cell>
          <cell r="G2">
            <v>0</v>
          </cell>
          <cell r="H2">
            <v>3</v>
          </cell>
          <cell r="I2">
            <v>6</v>
          </cell>
          <cell r="J2">
            <v>5.73</v>
          </cell>
          <cell r="K2">
            <v>2.61</v>
          </cell>
          <cell r="L2">
            <v>1</v>
          </cell>
        </row>
        <row r="3">
          <cell r="A3" t="str">
            <v>CEG</v>
          </cell>
          <cell r="B3" t="str">
            <v>BGE</v>
          </cell>
          <cell r="C3" t="str">
            <v>CONSTELLATION EN</v>
          </cell>
          <cell r="D3">
            <v>20071220</v>
          </cell>
          <cell r="E3" t="str">
            <v>EPS</v>
          </cell>
          <cell r="F3" t="str">
            <v>LTG</v>
          </cell>
          <cell r="G3">
            <v>0</v>
          </cell>
          <cell r="H3">
            <v>3</v>
          </cell>
          <cell r="I3">
            <v>13</v>
          </cell>
          <cell r="J3">
            <v>16</v>
          </cell>
          <cell r="K3">
            <v>5.2</v>
          </cell>
          <cell r="L3">
            <v>1</v>
          </cell>
        </row>
        <row r="4">
          <cell r="A4" t="str">
            <v>BKH</v>
          </cell>
          <cell r="B4" t="str">
            <v>BHP</v>
          </cell>
          <cell r="C4" t="str">
            <v>BLACK HILLS CP</v>
          </cell>
          <cell r="D4">
            <v>20071220</v>
          </cell>
          <cell r="E4" t="str">
            <v>EPS</v>
          </cell>
          <cell r="F4" t="str">
            <v>LTG</v>
          </cell>
          <cell r="G4">
            <v>0</v>
          </cell>
          <cell r="H4">
            <v>1</v>
          </cell>
          <cell r="I4">
            <v>7</v>
          </cell>
          <cell r="J4">
            <v>7</v>
          </cell>
          <cell r="L4">
            <v>1</v>
          </cell>
        </row>
        <row r="5">
          <cell r="A5" t="str">
            <v>NST</v>
          </cell>
          <cell r="B5" t="str">
            <v>BSE</v>
          </cell>
          <cell r="C5" t="str">
            <v>NSTAR</v>
          </cell>
          <cell r="D5">
            <v>20071220</v>
          </cell>
          <cell r="E5" t="str">
            <v>EPS</v>
          </cell>
          <cell r="F5" t="str">
            <v>LTG</v>
          </cell>
          <cell r="G5">
            <v>0</v>
          </cell>
          <cell r="H5">
            <v>4</v>
          </cell>
          <cell r="I5">
            <v>6.5</v>
          </cell>
          <cell r="J5">
            <v>6.5</v>
          </cell>
          <cell r="K5">
            <v>1.29</v>
          </cell>
          <cell r="L5">
            <v>1</v>
          </cell>
        </row>
        <row r="6">
          <cell r="A6" t="str">
            <v>CMS</v>
          </cell>
          <cell r="B6" t="str">
            <v>CMS</v>
          </cell>
          <cell r="C6" t="str">
            <v>CMS ENERGY CORP</v>
          </cell>
          <cell r="D6">
            <v>20071220</v>
          </cell>
          <cell r="E6" t="str">
            <v>EPS</v>
          </cell>
          <cell r="F6" t="str">
            <v>LTG</v>
          </cell>
          <cell r="G6">
            <v>0</v>
          </cell>
          <cell r="H6">
            <v>5</v>
          </cell>
          <cell r="I6">
            <v>5</v>
          </cell>
          <cell r="J6">
            <v>5.2</v>
          </cell>
          <cell r="K6">
            <v>1.92</v>
          </cell>
          <cell r="L6">
            <v>1</v>
          </cell>
        </row>
        <row r="7">
          <cell r="A7" t="str">
            <v>CNL</v>
          </cell>
          <cell r="B7" t="str">
            <v>CNL</v>
          </cell>
          <cell r="C7" t="str">
            <v>CLECO CORP</v>
          </cell>
          <cell r="D7">
            <v>20071220</v>
          </cell>
          <cell r="E7" t="str">
            <v>EPS</v>
          </cell>
          <cell r="F7" t="str">
            <v>LTG</v>
          </cell>
          <cell r="G7">
            <v>0</v>
          </cell>
          <cell r="H7">
            <v>1</v>
          </cell>
          <cell r="I7">
            <v>14</v>
          </cell>
          <cell r="J7">
            <v>14</v>
          </cell>
          <cell r="L7">
            <v>1</v>
          </cell>
        </row>
        <row r="8">
          <cell r="A8" t="str">
            <v>PGN</v>
          </cell>
          <cell r="B8" t="str">
            <v>CPL</v>
          </cell>
          <cell r="C8" t="str">
            <v>PROGRESS ENERGY</v>
          </cell>
          <cell r="D8">
            <v>20071220</v>
          </cell>
          <cell r="E8" t="str">
            <v>EPS</v>
          </cell>
          <cell r="F8" t="str">
            <v>LTG</v>
          </cell>
          <cell r="G8">
            <v>0</v>
          </cell>
          <cell r="H8">
            <v>7</v>
          </cell>
          <cell r="I8">
            <v>4.9800000000000004</v>
          </cell>
          <cell r="J8">
            <v>5</v>
          </cell>
          <cell r="K8">
            <v>2.02</v>
          </cell>
          <cell r="L8">
            <v>1</v>
          </cell>
        </row>
        <row r="9">
          <cell r="A9" t="str">
            <v>CV</v>
          </cell>
          <cell r="B9" t="str">
            <v>CV</v>
          </cell>
          <cell r="C9" t="str">
            <v>CENT VT PUB SVC</v>
          </cell>
          <cell r="D9">
            <v>20071220</v>
          </cell>
          <cell r="E9" t="str">
            <v>EPS</v>
          </cell>
          <cell r="F9" t="str">
            <v>LTG</v>
          </cell>
          <cell r="G9">
            <v>0</v>
          </cell>
          <cell r="H9">
            <v>1</v>
          </cell>
          <cell r="I9">
            <v>8.9</v>
          </cell>
          <cell r="J9">
            <v>8.9</v>
          </cell>
          <cell r="L9">
            <v>1</v>
          </cell>
        </row>
        <row r="10">
          <cell r="A10" t="str">
            <v>D</v>
          </cell>
          <cell r="B10" t="str">
            <v>D</v>
          </cell>
          <cell r="C10" t="str">
            <v>DOMINION RES INC</v>
          </cell>
          <cell r="D10">
            <v>20071220</v>
          </cell>
          <cell r="E10" t="str">
            <v>EPS</v>
          </cell>
          <cell r="F10" t="str">
            <v>LTG</v>
          </cell>
          <cell r="G10">
            <v>0</v>
          </cell>
          <cell r="H10">
            <v>6</v>
          </cell>
          <cell r="I10">
            <v>8</v>
          </cell>
          <cell r="J10">
            <v>8</v>
          </cell>
          <cell r="K10">
            <v>2.9</v>
          </cell>
          <cell r="L10">
            <v>1</v>
          </cell>
        </row>
        <row r="11">
          <cell r="A11" t="str">
            <v>DPL</v>
          </cell>
          <cell r="B11" t="str">
            <v>DPL</v>
          </cell>
          <cell r="C11" t="str">
            <v>DPL INC</v>
          </cell>
          <cell r="D11">
            <v>20071220</v>
          </cell>
          <cell r="E11" t="str">
            <v>EPS</v>
          </cell>
          <cell r="F11" t="str">
            <v>LTG</v>
          </cell>
          <cell r="G11">
            <v>0</v>
          </cell>
          <cell r="H11">
            <v>4</v>
          </cell>
          <cell r="I11">
            <v>7.5</v>
          </cell>
          <cell r="J11">
            <v>8.8800000000000008</v>
          </cell>
          <cell r="K11">
            <v>5.72</v>
          </cell>
          <cell r="L11">
            <v>1</v>
          </cell>
        </row>
        <row r="12">
          <cell r="A12" t="str">
            <v>DTE</v>
          </cell>
          <cell r="B12" t="str">
            <v>DTE</v>
          </cell>
          <cell r="C12" t="str">
            <v>DTE ENERGY</v>
          </cell>
          <cell r="D12">
            <v>20071220</v>
          </cell>
          <cell r="E12" t="str">
            <v>EPS</v>
          </cell>
          <cell r="F12" t="str">
            <v>LTG</v>
          </cell>
          <cell r="G12">
            <v>0</v>
          </cell>
          <cell r="H12">
            <v>4</v>
          </cell>
          <cell r="I12">
            <v>5</v>
          </cell>
          <cell r="J12">
            <v>5.75</v>
          </cell>
          <cell r="K12">
            <v>1.5</v>
          </cell>
          <cell r="L12">
            <v>1</v>
          </cell>
        </row>
        <row r="13">
          <cell r="A13" t="str">
            <v>DUK</v>
          </cell>
          <cell r="B13" t="str">
            <v>DUK</v>
          </cell>
          <cell r="C13" t="str">
            <v>DUKE ENERGY CORP</v>
          </cell>
          <cell r="D13">
            <v>20071220</v>
          </cell>
          <cell r="E13" t="str">
            <v>EPS</v>
          </cell>
          <cell r="F13" t="str">
            <v>LTG</v>
          </cell>
          <cell r="G13">
            <v>0</v>
          </cell>
          <cell r="H13">
            <v>5</v>
          </cell>
          <cell r="I13">
            <v>5</v>
          </cell>
          <cell r="J13">
            <v>4.4000000000000004</v>
          </cell>
          <cell r="K13">
            <v>1.52</v>
          </cell>
          <cell r="L13">
            <v>1</v>
          </cell>
        </row>
        <row r="14">
          <cell r="A14" t="str">
            <v>ED</v>
          </cell>
          <cell r="B14" t="str">
            <v>ED</v>
          </cell>
          <cell r="C14" t="str">
            <v>CONSOLIDATED EDI</v>
          </cell>
          <cell r="D14">
            <v>20071220</v>
          </cell>
          <cell r="E14" t="str">
            <v>EPS</v>
          </cell>
          <cell r="F14" t="str">
            <v>LTG</v>
          </cell>
          <cell r="G14">
            <v>0</v>
          </cell>
          <cell r="H14">
            <v>8</v>
          </cell>
          <cell r="I14">
            <v>3.79</v>
          </cell>
          <cell r="J14">
            <v>3.75</v>
          </cell>
          <cell r="K14">
            <v>1.1100000000000001</v>
          </cell>
          <cell r="L14">
            <v>1</v>
          </cell>
        </row>
        <row r="15">
          <cell r="A15" t="str">
            <v>EDE</v>
          </cell>
          <cell r="B15" t="str">
            <v>EDE</v>
          </cell>
          <cell r="C15" t="str">
            <v>EMPIRE DIST ELEC</v>
          </cell>
          <cell r="D15">
            <v>20071220</v>
          </cell>
          <cell r="E15" t="str">
            <v>EPS</v>
          </cell>
          <cell r="F15" t="str">
            <v>LTG</v>
          </cell>
          <cell r="G15">
            <v>0</v>
          </cell>
          <cell r="H15">
            <v>1</v>
          </cell>
          <cell r="I15">
            <v>34</v>
          </cell>
          <cell r="J15">
            <v>34</v>
          </cell>
          <cell r="L15">
            <v>1</v>
          </cell>
        </row>
        <row r="16">
          <cell r="A16" t="str">
            <v>FPL</v>
          </cell>
          <cell r="B16" t="str">
            <v>FPL</v>
          </cell>
          <cell r="C16" t="str">
            <v>FPL GROUP</v>
          </cell>
          <cell r="D16">
            <v>20071220</v>
          </cell>
          <cell r="E16" t="str">
            <v>EPS</v>
          </cell>
          <cell r="F16" t="str">
            <v>LTG</v>
          </cell>
          <cell r="G16">
            <v>0</v>
          </cell>
          <cell r="H16">
            <v>7</v>
          </cell>
          <cell r="I16">
            <v>10</v>
          </cell>
          <cell r="J16">
            <v>9.89</v>
          </cell>
          <cell r="K16">
            <v>1.1100000000000001</v>
          </cell>
          <cell r="L16">
            <v>1</v>
          </cell>
        </row>
        <row r="17">
          <cell r="A17" t="str">
            <v>HE</v>
          </cell>
          <cell r="B17" t="str">
            <v>HE</v>
          </cell>
          <cell r="C17" t="str">
            <v>HAWAIIAN ELEC</v>
          </cell>
          <cell r="D17">
            <v>20071220</v>
          </cell>
          <cell r="E17" t="str">
            <v>EPS</v>
          </cell>
          <cell r="F17" t="str">
            <v>LTG</v>
          </cell>
          <cell r="G17">
            <v>0</v>
          </cell>
          <cell r="H17">
            <v>3</v>
          </cell>
          <cell r="I17">
            <v>2.5</v>
          </cell>
          <cell r="J17">
            <v>10.37</v>
          </cell>
          <cell r="K17">
            <v>14.15</v>
          </cell>
          <cell r="L17">
            <v>1</v>
          </cell>
        </row>
        <row r="18">
          <cell r="A18" t="str">
            <v>CNP</v>
          </cell>
          <cell r="B18" t="str">
            <v>HOU</v>
          </cell>
          <cell r="C18" t="str">
            <v>CENTERPOINT ENER</v>
          </cell>
          <cell r="D18">
            <v>20071220</v>
          </cell>
          <cell r="E18" t="str">
            <v>EPS</v>
          </cell>
          <cell r="F18" t="str">
            <v>LTG</v>
          </cell>
          <cell r="G18">
            <v>0</v>
          </cell>
          <cell r="H18">
            <v>3</v>
          </cell>
          <cell r="I18">
            <v>10</v>
          </cell>
          <cell r="J18">
            <v>11.67</v>
          </cell>
          <cell r="K18">
            <v>5.69</v>
          </cell>
          <cell r="L18">
            <v>1</v>
          </cell>
        </row>
        <row r="19">
          <cell r="A19" t="str">
            <v>IDA</v>
          </cell>
          <cell r="B19" t="str">
            <v>IDA</v>
          </cell>
          <cell r="C19" t="str">
            <v>IDACORP INC.</v>
          </cell>
          <cell r="D19">
            <v>20071220</v>
          </cell>
          <cell r="E19" t="str">
            <v>EPS</v>
          </cell>
          <cell r="F19" t="str">
            <v>LTG</v>
          </cell>
          <cell r="G19">
            <v>0</v>
          </cell>
          <cell r="H19">
            <v>2</v>
          </cell>
          <cell r="I19">
            <v>6</v>
          </cell>
          <cell r="J19">
            <v>6</v>
          </cell>
          <cell r="K19">
            <v>1.41</v>
          </cell>
          <cell r="L19">
            <v>1</v>
          </cell>
        </row>
        <row r="20">
          <cell r="A20" t="str">
            <v>WR</v>
          </cell>
          <cell r="B20" t="str">
            <v>KAN</v>
          </cell>
          <cell r="C20" t="str">
            <v>WESTAR ENERGY</v>
          </cell>
          <cell r="D20">
            <v>20071220</v>
          </cell>
          <cell r="E20" t="str">
            <v>EPS</v>
          </cell>
          <cell r="F20" t="str">
            <v>LTG</v>
          </cell>
          <cell r="G20">
            <v>0</v>
          </cell>
          <cell r="H20">
            <v>3</v>
          </cell>
          <cell r="I20">
            <v>5</v>
          </cell>
          <cell r="J20">
            <v>5.57</v>
          </cell>
          <cell r="K20">
            <v>1.08</v>
          </cell>
          <cell r="L20">
            <v>1</v>
          </cell>
        </row>
        <row r="21">
          <cell r="A21" t="str">
            <v>GXP</v>
          </cell>
          <cell r="B21" t="str">
            <v>KLT</v>
          </cell>
          <cell r="C21" t="str">
            <v>GREAT PLAINS</v>
          </cell>
          <cell r="D21">
            <v>20071220</v>
          </cell>
          <cell r="E21" t="str">
            <v>EPS</v>
          </cell>
          <cell r="F21" t="str">
            <v>LTG</v>
          </cell>
          <cell r="G21">
            <v>0</v>
          </cell>
          <cell r="H21">
            <v>3</v>
          </cell>
          <cell r="I21">
            <v>3</v>
          </cell>
          <cell r="J21">
            <v>3.61</v>
          </cell>
          <cell r="K21">
            <v>1.06</v>
          </cell>
          <cell r="L21">
            <v>1</v>
          </cell>
        </row>
        <row r="22">
          <cell r="A22" t="str">
            <v>ALE</v>
          </cell>
          <cell r="B22" t="str">
            <v>MPL</v>
          </cell>
          <cell r="C22" t="str">
            <v>ALLETE INC</v>
          </cell>
          <cell r="D22">
            <v>20071220</v>
          </cell>
          <cell r="E22" t="str">
            <v>EPS</v>
          </cell>
          <cell r="F22" t="str">
            <v>LTG</v>
          </cell>
          <cell r="G22">
            <v>0</v>
          </cell>
          <cell r="H22">
            <v>1</v>
          </cell>
          <cell r="I22">
            <v>5</v>
          </cell>
          <cell r="J22">
            <v>5</v>
          </cell>
          <cell r="L22">
            <v>1</v>
          </cell>
        </row>
        <row r="23">
          <cell r="A23" t="str">
            <v>ETR</v>
          </cell>
          <cell r="B23" t="str">
            <v>MSU</v>
          </cell>
          <cell r="C23" t="str">
            <v>ENTERGY CP</v>
          </cell>
          <cell r="D23">
            <v>20071220</v>
          </cell>
          <cell r="E23" t="str">
            <v>EPS</v>
          </cell>
          <cell r="F23" t="str">
            <v>LTG</v>
          </cell>
          <cell r="G23">
            <v>0</v>
          </cell>
          <cell r="H23">
            <v>5</v>
          </cell>
          <cell r="I23">
            <v>8</v>
          </cell>
          <cell r="J23">
            <v>10.6</v>
          </cell>
          <cell r="K23">
            <v>4.5599999999999996</v>
          </cell>
          <cell r="L23">
            <v>1</v>
          </cell>
        </row>
        <row r="24">
          <cell r="A24" t="str">
            <v>EAS</v>
          </cell>
          <cell r="B24" t="str">
            <v>NGE</v>
          </cell>
          <cell r="C24" t="str">
            <v>ENERGY EAST CORP</v>
          </cell>
          <cell r="D24">
            <v>20071220</v>
          </cell>
          <cell r="E24" t="str">
            <v>EPS</v>
          </cell>
          <cell r="F24" t="str">
            <v>LTG</v>
          </cell>
          <cell r="G24">
            <v>0</v>
          </cell>
          <cell r="H24">
            <v>1</v>
          </cell>
          <cell r="I24">
            <v>5</v>
          </cell>
          <cell r="J24">
            <v>5</v>
          </cell>
          <cell r="L24">
            <v>1</v>
          </cell>
        </row>
        <row r="25">
          <cell r="A25" t="str">
            <v>XEL</v>
          </cell>
          <cell r="B25" t="str">
            <v>NSP</v>
          </cell>
          <cell r="C25" t="str">
            <v>XCEL ENERGY INC</v>
          </cell>
          <cell r="D25">
            <v>20071220</v>
          </cell>
          <cell r="E25" t="str">
            <v>EPS</v>
          </cell>
          <cell r="F25" t="str">
            <v>LTG</v>
          </cell>
          <cell r="G25">
            <v>0</v>
          </cell>
          <cell r="H25">
            <v>5</v>
          </cell>
          <cell r="I25">
            <v>6</v>
          </cell>
          <cell r="J25">
            <v>6</v>
          </cell>
          <cell r="K25">
            <v>2.2400000000000002</v>
          </cell>
          <cell r="L25">
            <v>1</v>
          </cell>
        </row>
        <row r="26">
          <cell r="A26" t="str">
            <v>NU</v>
          </cell>
          <cell r="B26" t="str">
            <v>NU</v>
          </cell>
          <cell r="C26" t="str">
            <v>NORTHEAST UTILS</v>
          </cell>
          <cell r="D26">
            <v>20071220</v>
          </cell>
          <cell r="E26" t="str">
            <v>EPS</v>
          </cell>
          <cell r="F26" t="str">
            <v>LTG</v>
          </cell>
          <cell r="G26">
            <v>0</v>
          </cell>
          <cell r="H26">
            <v>6</v>
          </cell>
          <cell r="I26">
            <v>10.07</v>
          </cell>
          <cell r="J26">
            <v>10.52</v>
          </cell>
          <cell r="K26">
            <v>3.33</v>
          </cell>
          <cell r="L26">
            <v>1</v>
          </cell>
        </row>
        <row r="27">
          <cell r="A27" t="str">
            <v>FE</v>
          </cell>
          <cell r="B27" t="str">
            <v>OEC</v>
          </cell>
          <cell r="C27" t="str">
            <v>FIRSTENERGY CORP</v>
          </cell>
          <cell r="D27">
            <v>20071220</v>
          </cell>
          <cell r="E27" t="str">
            <v>EPS</v>
          </cell>
          <cell r="F27" t="str">
            <v>LTG</v>
          </cell>
          <cell r="G27">
            <v>0</v>
          </cell>
          <cell r="H27">
            <v>5</v>
          </cell>
          <cell r="I27">
            <v>10</v>
          </cell>
          <cell r="J27">
            <v>8.8000000000000007</v>
          </cell>
          <cell r="K27">
            <v>2.77</v>
          </cell>
          <cell r="L27">
            <v>1</v>
          </cell>
        </row>
        <row r="28">
          <cell r="A28" t="str">
            <v>OTTR</v>
          </cell>
          <cell r="B28" t="str">
            <v>OTTR</v>
          </cell>
          <cell r="C28" t="str">
            <v>OTTER TAIL CORP.</v>
          </cell>
          <cell r="D28">
            <v>20071220</v>
          </cell>
          <cell r="E28" t="str">
            <v>EPS</v>
          </cell>
          <cell r="F28" t="str">
            <v>LTG</v>
          </cell>
          <cell r="G28">
            <v>0</v>
          </cell>
          <cell r="H28">
            <v>3</v>
          </cell>
          <cell r="I28">
            <v>6</v>
          </cell>
          <cell r="J28">
            <v>7.67</v>
          </cell>
          <cell r="K28">
            <v>3.79</v>
          </cell>
          <cell r="L28">
            <v>1</v>
          </cell>
        </row>
        <row r="29">
          <cell r="A29" t="str">
            <v>PCG</v>
          </cell>
          <cell r="B29" t="str">
            <v>PCG</v>
          </cell>
          <cell r="C29" t="str">
            <v>P G &amp; E CORP</v>
          </cell>
          <cell r="D29">
            <v>20071220</v>
          </cell>
          <cell r="E29" t="str">
            <v>EPS</v>
          </cell>
          <cell r="F29" t="str">
            <v>LTG</v>
          </cell>
          <cell r="G29">
            <v>0</v>
          </cell>
          <cell r="H29">
            <v>6</v>
          </cell>
          <cell r="I29">
            <v>8.8699999999999992</v>
          </cell>
          <cell r="J29">
            <v>9.76</v>
          </cell>
          <cell r="K29">
            <v>2.86</v>
          </cell>
          <cell r="L29">
            <v>1</v>
          </cell>
        </row>
        <row r="30">
          <cell r="A30" t="str">
            <v>EXC</v>
          </cell>
          <cell r="B30" t="str">
            <v>PE</v>
          </cell>
          <cell r="C30" t="str">
            <v>EXELON CORP</v>
          </cell>
          <cell r="D30">
            <v>20071220</v>
          </cell>
          <cell r="E30" t="str">
            <v>EPS</v>
          </cell>
          <cell r="F30" t="str">
            <v>LTG</v>
          </cell>
          <cell r="G30">
            <v>0</v>
          </cell>
          <cell r="H30">
            <v>5</v>
          </cell>
          <cell r="I30">
            <v>8</v>
          </cell>
          <cell r="J30">
            <v>8.7100000000000009</v>
          </cell>
          <cell r="K30">
            <v>3.58</v>
          </cell>
          <cell r="L30">
            <v>1</v>
          </cell>
        </row>
        <row r="31">
          <cell r="A31" t="str">
            <v>PEG</v>
          </cell>
          <cell r="B31" t="str">
            <v>PEG</v>
          </cell>
          <cell r="C31" t="str">
            <v>PUB SVC ENTERS</v>
          </cell>
          <cell r="D31">
            <v>20071220</v>
          </cell>
          <cell r="E31" t="str">
            <v>EPS</v>
          </cell>
          <cell r="F31" t="str">
            <v>LTG</v>
          </cell>
          <cell r="G31">
            <v>0</v>
          </cell>
          <cell r="H31">
            <v>3</v>
          </cell>
          <cell r="I31">
            <v>18</v>
          </cell>
          <cell r="J31">
            <v>19.670000000000002</v>
          </cell>
          <cell r="K31">
            <v>3.79</v>
          </cell>
          <cell r="L31">
            <v>1</v>
          </cell>
        </row>
        <row r="32">
          <cell r="A32" t="str">
            <v>PNM</v>
          </cell>
          <cell r="B32" t="str">
            <v>PNM</v>
          </cell>
          <cell r="C32" t="str">
            <v>PNM RESOURCES</v>
          </cell>
          <cell r="D32">
            <v>20071220</v>
          </cell>
          <cell r="E32" t="str">
            <v>EPS</v>
          </cell>
          <cell r="F32" t="str">
            <v>LTG</v>
          </cell>
          <cell r="G32">
            <v>0</v>
          </cell>
          <cell r="H32">
            <v>6</v>
          </cell>
          <cell r="I32">
            <v>8.5</v>
          </cell>
          <cell r="J32">
            <v>9.4700000000000006</v>
          </cell>
          <cell r="K32">
            <v>5.01</v>
          </cell>
          <cell r="L32">
            <v>1</v>
          </cell>
        </row>
        <row r="33">
          <cell r="A33" t="str">
            <v>POM</v>
          </cell>
          <cell r="B33" t="str">
            <v>POM</v>
          </cell>
          <cell r="C33" t="str">
            <v>PEPCO HOLDINGS</v>
          </cell>
          <cell r="D33">
            <v>20071220</v>
          </cell>
          <cell r="E33" t="str">
            <v>EPS</v>
          </cell>
          <cell r="F33" t="str">
            <v>LTG</v>
          </cell>
          <cell r="G33">
            <v>0</v>
          </cell>
          <cell r="H33">
            <v>5</v>
          </cell>
          <cell r="I33">
            <v>13</v>
          </cell>
          <cell r="J33">
            <v>11.4</v>
          </cell>
          <cell r="K33">
            <v>7.2</v>
          </cell>
          <cell r="L33">
            <v>1</v>
          </cell>
        </row>
        <row r="34">
          <cell r="A34" t="str">
            <v>POR</v>
          </cell>
          <cell r="B34" t="str">
            <v>PORO</v>
          </cell>
          <cell r="C34" t="str">
            <v>PORTLAND GENERAL</v>
          </cell>
          <cell r="D34">
            <v>20071220</v>
          </cell>
          <cell r="E34" t="str">
            <v>EPS</v>
          </cell>
          <cell r="F34" t="str">
            <v>LTG</v>
          </cell>
          <cell r="G34">
            <v>0</v>
          </cell>
          <cell r="H34">
            <v>3</v>
          </cell>
          <cell r="I34">
            <v>7.8</v>
          </cell>
          <cell r="J34">
            <v>7.27</v>
          </cell>
          <cell r="K34">
            <v>3.04</v>
          </cell>
          <cell r="L34">
            <v>1</v>
          </cell>
        </row>
        <row r="35">
          <cell r="A35" t="str">
            <v>PPL</v>
          </cell>
          <cell r="B35" t="str">
            <v>PPL</v>
          </cell>
          <cell r="C35" t="str">
            <v>PP&amp;L CORP</v>
          </cell>
          <cell r="D35">
            <v>20071220</v>
          </cell>
          <cell r="E35" t="str">
            <v>EPS</v>
          </cell>
          <cell r="F35" t="str">
            <v>LTG</v>
          </cell>
          <cell r="G35">
            <v>0</v>
          </cell>
          <cell r="H35">
            <v>6</v>
          </cell>
          <cell r="I35">
            <v>13.5</v>
          </cell>
          <cell r="J35">
            <v>13.67</v>
          </cell>
          <cell r="K35">
            <v>5.09</v>
          </cell>
          <cell r="L35">
            <v>1</v>
          </cell>
        </row>
        <row r="36">
          <cell r="A36" t="str">
            <v>PSD</v>
          </cell>
          <cell r="B36" t="str">
            <v>PSD</v>
          </cell>
          <cell r="C36" t="str">
            <v>PUGET ENERGY INC</v>
          </cell>
          <cell r="D36">
            <v>20071220</v>
          </cell>
          <cell r="E36" t="str">
            <v>EPS</v>
          </cell>
          <cell r="F36" t="str">
            <v>LTG</v>
          </cell>
          <cell r="G36">
            <v>0</v>
          </cell>
          <cell r="H36">
            <v>3</v>
          </cell>
          <cell r="I36">
            <v>7</v>
          </cell>
          <cell r="J36">
            <v>5.67</v>
          </cell>
          <cell r="K36">
            <v>2.31</v>
          </cell>
          <cell r="L36">
            <v>1</v>
          </cell>
        </row>
        <row r="37">
          <cell r="A37" t="str">
            <v>EIX</v>
          </cell>
          <cell r="B37" t="str">
            <v>SCE</v>
          </cell>
          <cell r="C37" t="str">
            <v>EDISON INTL</v>
          </cell>
          <cell r="D37">
            <v>20071220</v>
          </cell>
          <cell r="E37" t="str">
            <v>EPS</v>
          </cell>
          <cell r="F37" t="str">
            <v>LTG</v>
          </cell>
          <cell r="G37">
            <v>0</v>
          </cell>
          <cell r="H37">
            <v>5</v>
          </cell>
          <cell r="I37">
            <v>7</v>
          </cell>
          <cell r="J37">
            <v>7.54</v>
          </cell>
          <cell r="K37">
            <v>3.37</v>
          </cell>
          <cell r="L37">
            <v>1</v>
          </cell>
        </row>
        <row r="38">
          <cell r="A38" t="str">
            <v>SCG</v>
          </cell>
          <cell r="B38" t="str">
            <v>SCG</v>
          </cell>
          <cell r="C38" t="str">
            <v>SCANA CP</v>
          </cell>
          <cell r="D38">
            <v>20071220</v>
          </cell>
          <cell r="E38" t="str">
            <v>EPS</v>
          </cell>
          <cell r="F38" t="str">
            <v>LTG</v>
          </cell>
          <cell r="G38">
            <v>0</v>
          </cell>
          <cell r="H38">
            <v>4</v>
          </cell>
          <cell r="I38">
            <v>5</v>
          </cell>
          <cell r="J38">
            <v>5</v>
          </cell>
          <cell r="K38">
            <v>0</v>
          </cell>
          <cell r="L38">
            <v>1</v>
          </cell>
        </row>
        <row r="39">
          <cell r="A39" t="str">
            <v>SRE</v>
          </cell>
          <cell r="B39" t="str">
            <v>SDO</v>
          </cell>
          <cell r="C39" t="str">
            <v>SEMPRA ENERGY</v>
          </cell>
          <cell r="D39">
            <v>20071220</v>
          </cell>
          <cell r="E39" t="str">
            <v>EPS</v>
          </cell>
          <cell r="F39" t="str">
            <v>LTG</v>
          </cell>
          <cell r="G39">
            <v>0</v>
          </cell>
          <cell r="H39">
            <v>3</v>
          </cell>
          <cell r="I39">
            <v>7</v>
          </cell>
          <cell r="J39">
            <v>7.93</v>
          </cell>
          <cell r="K39">
            <v>1.62</v>
          </cell>
          <cell r="L39">
            <v>1</v>
          </cell>
        </row>
        <row r="40">
          <cell r="A40" t="str">
            <v>VVC</v>
          </cell>
          <cell r="B40" t="str">
            <v>SIG</v>
          </cell>
          <cell r="C40" t="str">
            <v>VECTREN CORP</v>
          </cell>
          <cell r="D40">
            <v>20071220</v>
          </cell>
          <cell r="E40" t="str">
            <v>EPS</v>
          </cell>
          <cell r="F40" t="str">
            <v>LTG</v>
          </cell>
          <cell r="G40">
            <v>0</v>
          </cell>
          <cell r="H40">
            <v>2</v>
          </cell>
          <cell r="I40">
            <v>5</v>
          </cell>
          <cell r="J40">
            <v>5</v>
          </cell>
          <cell r="K40">
            <v>1.41</v>
          </cell>
          <cell r="L40">
            <v>1</v>
          </cell>
        </row>
        <row r="41">
          <cell r="A41" t="str">
            <v>SO</v>
          </cell>
          <cell r="B41" t="str">
            <v>SO</v>
          </cell>
          <cell r="C41" t="str">
            <v>SOUTHN CO</v>
          </cell>
          <cell r="D41">
            <v>20071220</v>
          </cell>
          <cell r="E41" t="str">
            <v>EPS</v>
          </cell>
          <cell r="F41" t="str">
            <v>LTG</v>
          </cell>
          <cell r="G41">
            <v>0</v>
          </cell>
          <cell r="H41">
            <v>7</v>
          </cell>
          <cell r="I41">
            <v>5</v>
          </cell>
          <cell r="J41">
            <v>5.03</v>
          </cell>
          <cell r="K41">
            <v>0.57999999999999996</v>
          </cell>
          <cell r="L41">
            <v>1</v>
          </cell>
        </row>
        <row r="42">
          <cell r="A42" t="str">
            <v>TE</v>
          </cell>
          <cell r="B42" t="str">
            <v>TE</v>
          </cell>
          <cell r="C42" t="str">
            <v>TECO ENERGY INC</v>
          </cell>
          <cell r="D42">
            <v>20071220</v>
          </cell>
          <cell r="E42" t="str">
            <v>EPS</v>
          </cell>
          <cell r="F42" t="str">
            <v>LTG</v>
          </cell>
          <cell r="G42">
            <v>0</v>
          </cell>
          <cell r="H42">
            <v>4</v>
          </cell>
          <cell r="I42">
            <v>3</v>
          </cell>
          <cell r="J42">
            <v>4.92</v>
          </cell>
          <cell r="K42">
            <v>3.85</v>
          </cell>
          <cell r="L42">
            <v>1</v>
          </cell>
        </row>
        <row r="43">
          <cell r="A43" t="str">
            <v>AEE</v>
          </cell>
          <cell r="B43" t="str">
            <v>UEP</v>
          </cell>
          <cell r="C43" t="str">
            <v>AMEREN CP</v>
          </cell>
          <cell r="D43">
            <v>20071220</v>
          </cell>
          <cell r="E43" t="str">
            <v>EPS</v>
          </cell>
          <cell r="F43" t="str">
            <v>LTG</v>
          </cell>
          <cell r="G43">
            <v>0</v>
          </cell>
          <cell r="H43">
            <v>4</v>
          </cell>
          <cell r="I43">
            <v>4.25</v>
          </cell>
          <cell r="J43">
            <v>5.88</v>
          </cell>
          <cell r="K43">
            <v>4.17</v>
          </cell>
          <cell r="L43">
            <v>1</v>
          </cell>
        </row>
        <row r="44">
          <cell r="A44" t="str">
            <v>UIL</v>
          </cell>
          <cell r="B44" t="str">
            <v>UIL</v>
          </cell>
          <cell r="C44" t="str">
            <v>UIL HOLDING CORP</v>
          </cell>
          <cell r="D44">
            <v>20071220</v>
          </cell>
          <cell r="E44" t="str">
            <v>EPS</v>
          </cell>
          <cell r="F44" t="str">
            <v>LTG</v>
          </cell>
          <cell r="G44">
            <v>0</v>
          </cell>
          <cell r="H44">
            <v>2</v>
          </cell>
          <cell r="I44">
            <v>10</v>
          </cell>
          <cell r="J44">
            <v>10</v>
          </cell>
          <cell r="K44">
            <v>2.83</v>
          </cell>
          <cell r="L44">
            <v>1</v>
          </cell>
        </row>
        <row r="45">
          <cell r="A45" t="str">
            <v>WEC</v>
          </cell>
          <cell r="B45" t="str">
            <v>WPC</v>
          </cell>
          <cell r="C45" t="str">
            <v>WISCONSIN ENERGY</v>
          </cell>
          <cell r="D45">
            <v>20071220</v>
          </cell>
          <cell r="E45" t="str">
            <v>EPS</v>
          </cell>
          <cell r="F45" t="str">
            <v>LTG</v>
          </cell>
          <cell r="G45">
            <v>0</v>
          </cell>
          <cell r="H45">
            <v>5</v>
          </cell>
          <cell r="I45">
            <v>9</v>
          </cell>
          <cell r="J45">
            <v>8.17</v>
          </cell>
          <cell r="K45">
            <v>2.74</v>
          </cell>
          <cell r="L45">
            <v>1</v>
          </cell>
        </row>
        <row r="46">
          <cell r="A46" t="str">
            <v>LNT</v>
          </cell>
          <cell r="B46" t="str">
            <v>WPL</v>
          </cell>
          <cell r="C46" t="str">
            <v>ALLIANT ENER</v>
          </cell>
          <cell r="D46">
            <v>20071220</v>
          </cell>
          <cell r="E46" t="str">
            <v>EPS</v>
          </cell>
          <cell r="F46" t="str">
            <v>LTG</v>
          </cell>
          <cell r="G46">
            <v>0</v>
          </cell>
          <cell r="H46">
            <v>3</v>
          </cell>
          <cell r="I46">
            <v>5</v>
          </cell>
          <cell r="J46">
            <v>6</v>
          </cell>
          <cell r="K46">
            <v>1.73</v>
          </cell>
          <cell r="L46">
            <v>1</v>
          </cell>
        </row>
        <row r="47">
          <cell r="A47" t="str">
            <v>AVA</v>
          </cell>
          <cell r="B47" t="str">
            <v>WWP</v>
          </cell>
          <cell r="C47" t="str">
            <v>AVISTA CORP</v>
          </cell>
          <cell r="D47">
            <v>20071220</v>
          </cell>
          <cell r="E47" t="str">
            <v>EPS</v>
          </cell>
          <cell r="F47" t="str">
            <v>LTG</v>
          </cell>
          <cell r="G47">
            <v>0</v>
          </cell>
          <cell r="H47">
            <v>2</v>
          </cell>
          <cell r="I47">
            <v>4.5</v>
          </cell>
          <cell r="J47">
            <v>4.5</v>
          </cell>
          <cell r="K47">
            <v>0.71</v>
          </cell>
          <cell r="L47">
            <v>1</v>
          </cell>
        </row>
        <row r="48">
          <cell r="A48" t="str">
            <v>PPL</v>
          </cell>
          <cell r="B48" t="str">
            <v>@1XJ</v>
          </cell>
          <cell r="C48" t="str">
            <v>PUMPKIN PATCH LT</v>
          </cell>
          <cell r="D48">
            <v>20071220</v>
          </cell>
          <cell r="E48" t="str">
            <v>EPS</v>
          </cell>
          <cell r="F48" t="str">
            <v>LTG</v>
          </cell>
          <cell r="G48">
            <v>0</v>
          </cell>
          <cell r="H48">
            <v>2</v>
          </cell>
          <cell r="I48">
            <v>15.75</v>
          </cell>
          <cell r="J48">
            <v>15.75</v>
          </cell>
          <cell r="K48">
            <v>6.01</v>
          </cell>
          <cell r="L48">
            <v>0</v>
          </cell>
        </row>
        <row r="49">
          <cell r="A49" t="str">
            <v>PPL</v>
          </cell>
          <cell r="B49" t="str">
            <v>@1Z1</v>
          </cell>
          <cell r="C49" t="str">
            <v>PPL</v>
          </cell>
          <cell r="D49">
            <v>20071220</v>
          </cell>
          <cell r="E49" t="str">
            <v>EPS</v>
          </cell>
          <cell r="F49" t="str">
            <v>LTG</v>
          </cell>
          <cell r="G49">
            <v>0</v>
          </cell>
          <cell r="H49">
            <v>1</v>
          </cell>
          <cell r="I49">
            <v>18.52</v>
          </cell>
          <cell r="J49">
            <v>18.52</v>
          </cell>
          <cell r="L49">
            <v>0</v>
          </cell>
        </row>
        <row r="50">
          <cell r="A50" t="str">
            <v>CNP</v>
          </cell>
          <cell r="B50" t="str">
            <v>@8PG</v>
          </cell>
          <cell r="C50" t="str">
            <v>CENTRO PROPERTIE</v>
          </cell>
          <cell r="D50">
            <v>20071220</v>
          </cell>
          <cell r="E50" t="str">
            <v>EPS</v>
          </cell>
          <cell r="F50" t="str">
            <v>LTG</v>
          </cell>
          <cell r="G50">
            <v>0</v>
          </cell>
          <cell r="H50">
            <v>3</v>
          </cell>
          <cell r="I50">
            <v>3</v>
          </cell>
          <cell r="J50">
            <v>2.91</v>
          </cell>
          <cell r="K50">
            <v>0.15</v>
          </cell>
          <cell r="L50">
            <v>0</v>
          </cell>
        </row>
        <row r="51">
          <cell r="A51" t="str">
            <v>CNP</v>
          </cell>
          <cell r="B51" t="str">
            <v>@CN0</v>
          </cell>
          <cell r="C51" t="str">
            <v>CNP ASSURANCES</v>
          </cell>
          <cell r="D51">
            <v>20071220</v>
          </cell>
          <cell r="E51" t="str">
            <v>EPS</v>
          </cell>
          <cell r="F51" t="str">
            <v>LTG</v>
          </cell>
          <cell r="G51">
            <v>0</v>
          </cell>
          <cell r="H51">
            <v>3</v>
          </cell>
          <cell r="I51">
            <v>3</v>
          </cell>
          <cell r="J51">
            <v>3.85</v>
          </cell>
          <cell r="K51">
            <v>2.02</v>
          </cell>
          <cell r="L51">
            <v>0</v>
          </cell>
        </row>
        <row r="52">
          <cell r="A52" t="str">
            <v>DTE</v>
          </cell>
          <cell r="B52" t="str">
            <v>@DT</v>
          </cell>
          <cell r="C52" t="str">
            <v>DEUTSCHE TELEKOM</v>
          </cell>
          <cell r="D52">
            <v>20071220</v>
          </cell>
          <cell r="E52" t="str">
            <v>EPS</v>
          </cell>
          <cell r="F52" t="str">
            <v>LTG</v>
          </cell>
          <cell r="G52">
            <v>0</v>
          </cell>
          <cell r="H52">
            <v>3</v>
          </cell>
          <cell r="I52">
            <v>4</v>
          </cell>
          <cell r="J52">
            <v>6.07</v>
          </cell>
          <cell r="K52">
            <v>4.47</v>
          </cell>
          <cell r="L52">
            <v>0</v>
          </cell>
        </row>
        <row r="53">
          <cell r="A53" t="str">
            <v>POM</v>
          </cell>
          <cell r="B53" t="str">
            <v>@PO8</v>
          </cell>
          <cell r="C53" t="str">
            <v>PLASTIC OMNIUM</v>
          </cell>
          <cell r="D53">
            <v>20071220</v>
          </cell>
          <cell r="E53" t="str">
            <v>EPS</v>
          </cell>
          <cell r="F53" t="str">
            <v>LTG</v>
          </cell>
          <cell r="G53">
            <v>0</v>
          </cell>
          <cell r="H53">
            <v>1</v>
          </cell>
          <cell r="I53">
            <v>3</v>
          </cell>
          <cell r="J53">
            <v>3</v>
          </cell>
          <cell r="L53">
            <v>0</v>
          </cell>
        </row>
        <row r="54">
          <cell r="A54" t="str">
            <v>CIN</v>
          </cell>
          <cell r="B54" t="str">
            <v>@W1E</v>
          </cell>
          <cell r="C54" t="str">
            <v>CINTRA CONCESION</v>
          </cell>
          <cell r="D54">
            <v>20071220</v>
          </cell>
          <cell r="E54" t="str">
            <v>EPS</v>
          </cell>
          <cell r="F54" t="str">
            <v>LTG</v>
          </cell>
          <cell r="G54">
            <v>0</v>
          </cell>
          <cell r="H54">
            <v>1</v>
          </cell>
          <cell r="I54">
            <v>10</v>
          </cell>
          <cell r="J54">
            <v>10</v>
          </cell>
          <cell r="L54">
            <v>0</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klxkfsu1rbweayr"/>
    </sheetNames>
    <sheetDataSet>
      <sheetData sheetId="0">
        <row r="1">
          <cell r="B1" t="str">
            <v>Official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USFIRM=0 if from .INT file and USFIRM=1 if from .US file</v>
          </cell>
          <cell r="M1" t="str">
            <v>Forecast Period End Date (SAS Format)</v>
          </cell>
          <cell r="N1" t="str">
            <v>Actual Value, from the Detail Actuals File</v>
          </cell>
          <cell r="O1" t="str">
            <v>Announce date of the Actual, from the Detail Actuals File</v>
          </cell>
        </row>
        <row r="2">
          <cell r="B2" t="str">
            <v>ATG</v>
          </cell>
          <cell r="C2" t="str">
            <v>AGL RESOURCES</v>
          </cell>
          <cell r="D2">
            <v>39436</v>
          </cell>
          <cell r="E2" t="str">
            <v>EPS</v>
          </cell>
          <cell r="F2" t="str">
            <v>ANN</v>
          </cell>
          <cell r="G2" t="str">
            <v>1</v>
          </cell>
          <cell r="H2">
            <v>6</v>
          </cell>
          <cell r="I2">
            <v>2.75</v>
          </cell>
          <cell r="J2">
            <v>2.75</v>
          </cell>
          <cell r="K2">
            <v>0.02</v>
          </cell>
          <cell r="L2">
            <v>1</v>
          </cell>
          <cell r="M2">
            <v>39447</v>
          </cell>
          <cell r="N2">
            <v>2.72</v>
          </cell>
          <cell r="O2">
            <v>39485</v>
          </cell>
        </row>
        <row r="3">
          <cell r="B3" t="str">
            <v>CPK</v>
          </cell>
          <cell r="C3" t="str">
            <v>CHESAPEAKE UTIL</v>
          </cell>
          <cell r="D3">
            <v>39436</v>
          </cell>
          <cell r="E3" t="str">
            <v>EPS</v>
          </cell>
          <cell r="F3" t="str">
            <v>ANN</v>
          </cell>
          <cell r="G3" t="str">
            <v>1</v>
          </cell>
          <cell r="H3">
            <v>2</v>
          </cell>
          <cell r="I3">
            <v>1.31</v>
          </cell>
          <cell r="J3">
            <v>1.31</v>
          </cell>
          <cell r="K3">
            <v>0.01</v>
          </cell>
          <cell r="L3">
            <v>1</v>
          </cell>
          <cell r="M3">
            <v>39447</v>
          </cell>
          <cell r="N3">
            <v>1.2932999999999999</v>
          </cell>
          <cell r="O3">
            <v>39512</v>
          </cell>
        </row>
        <row r="4">
          <cell r="B4" t="str">
            <v>ATO</v>
          </cell>
          <cell r="C4" t="str">
            <v>ATMOS ENERGY CP</v>
          </cell>
          <cell r="D4">
            <v>39436</v>
          </cell>
          <cell r="E4" t="str">
            <v>EPS</v>
          </cell>
          <cell r="F4" t="str">
            <v>ANN</v>
          </cell>
          <cell r="G4" t="str">
            <v>1</v>
          </cell>
          <cell r="H4">
            <v>10</v>
          </cell>
          <cell r="I4">
            <v>2</v>
          </cell>
          <cell r="J4">
            <v>2</v>
          </cell>
          <cell r="K4">
            <v>0.03</v>
          </cell>
          <cell r="L4">
            <v>1</v>
          </cell>
          <cell r="M4">
            <v>39721</v>
          </cell>
          <cell r="N4">
            <v>2</v>
          </cell>
          <cell r="O4">
            <v>39763</v>
          </cell>
        </row>
        <row r="5">
          <cell r="B5" t="str">
            <v>GAS</v>
          </cell>
          <cell r="C5" t="str">
            <v>NICOR INC</v>
          </cell>
          <cell r="D5">
            <v>39436</v>
          </cell>
          <cell r="E5" t="str">
            <v>EPS</v>
          </cell>
          <cell r="F5" t="str">
            <v>ANN</v>
          </cell>
          <cell r="G5" t="str">
            <v>1</v>
          </cell>
          <cell r="H5">
            <v>4</v>
          </cell>
          <cell r="I5">
            <v>2.77</v>
          </cell>
          <cell r="J5">
            <v>2.77</v>
          </cell>
          <cell r="K5">
            <v>0.06</v>
          </cell>
          <cell r="L5">
            <v>1</v>
          </cell>
          <cell r="M5">
            <v>39447</v>
          </cell>
          <cell r="N5">
            <v>2.72</v>
          </cell>
          <cell r="O5">
            <v>39500</v>
          </cell>
        </row>
        <row r="6">
          <cell r="B6" t="str">
            <v>LG</v>
          </cell>
          <cell r="C6" t="str">
            <v>LACLEDE GROUP</v>
          </cell>
          <cell r="D6">
            <v>39436</v>
          </cell>
          <cell r="E6" t="str">
            <v>EPS</v>
          </cell>
          <cell r="F6" t="str">
            <v>ANN</v>
          </cell>
          <cell r="G6" t="str">
            <v>1</v>
          </cell>
          <cell r="H6">
            <v>1</v>
          </cell>
          <cell r="I6">
            <v>2.1800000000000002</v>
          </cell>
          <cell r="J6">
            <v>2.1800000000000002</v>
          </cell>
          <cell r="L6">
            <v>1</v>
          </cell>
          <cell r="M6">
            <v>39721</v>
          </cell>
          <cell r="N6">
            <v>2.64</v>
          </cell>
          <cell r="O6">
            <v>39751</v>
          </cell>
        </row>
        <row r="7">
          <cell r="B7" t="str">
            <v>NI</v>
          </cell>
          <cell r="C7" t="str">
            <v>NISOURCE INC</v>
          </cell>
          <cell r="D7">
            <v>39436</v>
          </cell>
          <cell r="E7" t="str">
            <v>EPS</v>
          </cell>
          <cell r="F7" t="str">
            <v>ANN</v>
          </cell>
          <cell r="G7" t="str">
            <v>1</v>
          </cell>
          <cell r="H7">
            <v>10</v>
          </cell>
          <cell r="I7">
            <v>1.35</v>
          </cell>
          <cell r="J7">
            <v>1.38</v>
          </cell>
          <cell r="K7">
            <v>7.0000000000000007E-2</v>
          </cell>
          <cell r="L7">
            <v>1</v>
          </cell>
          <cell r="M7">
            <v>39447</v>
          </cell>
          <cell r="N7">
            <v>1.37</v>
          </cell>
          <cell r="O7">
            <v>39477</v>
          </cell>
        </row>
        <row r="8">
          <cell r="B8" t="str">
            <v>NJR</v>
          </cell>
          <cell r="C8" t="str">
            <v>NEW JERSEY RES</v>
          </cell>
          <cell r="D8">
            <v>39436</v>
          </cell>
          <cell r="E8" t="str">
            <v>EPS</v>
          </cell>
          <cell r="F8" t="str">
            <v>ANN</v>
          </cell>
          <cell r="G8" t="str">
            <v>1</v>
          </cell>
          <cell r="H8">
            <v>6</v>
          </cell>
          <cell r="I8">
            <v>1.07</v>
          </cell>
          <cell r="J8">
            <v>1.07</v>
          </cell>
          <cell r="K8">
            <v>0.02</v>
          </cell>
          <cell r="L8">
            <v>1</v>
          </cell>
          <cell r="M8">
            <v>39721</v>
          </cell>
          <cell r="N8">
            <v>1.1200000000000001</v>
          </cell>
          <cell r="O8">
            <v>39765</v>
          </cell>
        </row>
        <row r="9">
          <cell r="B9" t="str">
            <v>NWN</v>
          </cell>
          <cell r="C9" t="str">
            <v>NW NATURAL GAS</v>
          </cell>
          <cell r="D9">
            <v>39436</v>
          </cell>
          <cell r="E9" t="str">
            <v>EPS</v>
          </cell>
          <cell r="F9" t="str">
            <v>ANN</v>
          </cell>
          <cell r="G9" t="str">
            <v>1</v>
          </cell>
          <cell r="H9">
            <v>5</v>
          </cell>
          <cell r="I9">
            <v>2.77</v>
          </cell>
          <cell r="J9">
            <v>2.77</v>
          </cell>
          <cell r="K9">
            <v>0.03</v>
          </cell>
          <cell r="L9">
            <v>1</v>
          </cell>
          <cell r="M9">
            <v>39447</v>
          </cell>
          <cell r="N9">
            <v>2.76</v>
          </cell>
          <cell r="O9">
            <v>39492</v>
          </cell>
        </row>
        <row r="10">
          <cell r="B10" t="str">
            <v>PEC</v>
          </cell>
          <cell r="C10" t="str">
            <v>PIKE ELECTRIC</v>
          </cell>
          <cell r="D10">
            <v>39436</v>
          </cell>
          <cell r="E10" t="str">
            <v>EPS</v>
          </cell>
          <cell r="F10" t="str">
            <v>ANN</v>
          </cell>
          <cell r="G10" t="str">
            <v>1</v>
          </cell>
          <cell r="H10">
            <v>4</v>
          </cell>
          <cell r="I10">
            <v>0.69</v>
          </cell>
          <cell r="J10">
            <v>0.69</v>
          </cell>
          <cell r="K10">
            <v>0.01</v>
          </cell>
          <cell r="L10">
            <v>1</v>
          </cell>
          <cell r="M10">
            <v>39629</v>
          </cell>
          <cell r="N10">
            <v>0.6</v>
          </cell>
          <cell r="O10">
            <v>39695</v>
          </cell>
        </row>
        <row r="11">
          <cell r="B11" t="str">
            <v>PNY</v>
          </cell>
          <cell r="C11" t="str">
            <v>PIEDMONT NAT GAS</v>
          </cell>
          <cell r="D11">
            <v>39436</v>
          </cell>
          <cell r="E11" t="str">
            <v>EPS</v>
          </cell>
          <cell r="F11" t="str">
            <v>ANN</v>
          </cell>
          <cell r="G11" t="str">
            <v>1</v>
          </cell>
          <cell r="H11">
            <v>5</v>
          </cell>
          <cell r="I11">
            <v>1.45</v>
          </cell>
          <cell r="J11">
            <v>1.45</v>
          </cell>
          <cell r="K11">
            <v>0.01</v>
          </cell>
          <cell r="L11">
            <v>1</v>
          </cell>
          <cell r="M11">
            <v>39386</v>
          </cell>
          <cell r="N11">
            <v>1.4</v>
          </cell>
          <cell r="O11">
            <v>39444</v>
          </cell>
        </row>
        <row r="12">
          <cell r="B12" t="str">
            <v>SJI</v>
          </cell>
          <cell r="C12" t="str">
            <v>SO JERSEY INDS</v>
          </cell>
          <cell r="D12">
            <v>39436</v>
          </cell>
          <cell r="E12" t="str">
            <v>EPS</v>
          </cell>
          <cell r="F12" t="str">
            <v>ANN</v>
          </cell>
          <cell r="G12" t="str">
            <v>1</v>
          </cell>
          <cell r="H12">
            <v>4</v>
          </cell>
          <cell r="I12">
            <v>1.03</v>
          </cell>
          <cell r="J12">
            <v>1.03</v>
          </cell>
          <cell r="K12">
            <v>0.02</v>
          </cell>
          <cell r="L12">
            <v>1</v>
          </cell>
          <cell r="M12">
            <v>39447</v>
          </cell>
          <cell r="N12">
            <v>1.0449999999999999</v>
          </cell>
          <cell r="O12">
            <v>39506</v>
          </cell>
        </row>
        <row r="13">
          <cell r="B13" t="str">
            <v>SR</v>
          </cell>
          <cell r="C13" t="str">
            <v>STD REGISTER CO</v>
          </cell>
          <cell r="D13">
            <v>39436</v>
          </cell>
          <cell r="E13" t="str">
            <v>EPS</v>
          </cell>
          <cell r="F13" t="str">
            <v>ANN</v>
          </cell>
          <cell r="G13" t="str">
            <v>1</v>
          </cell>
          <cell r="H13">
            <v>1</v>
          </cell>
          <cell r="I13">
            <v>1.05</v>
          </cell>
          <cell r="J13">
            <v>1.05</v>
          </cell>
          <cell r="L13">
            <v>1</v>
          </cell>
          <cell r="M13">
            <v>39447</v>
          </cell>
          <cell r="N13">
            <v>1.1000000000000001</v>
          </cell>
          <cell r="O13">
            <v>39500</v>
          </cell>
        </row>
        <row r="14">
          <cell r="B14" t="str">
            <v>SWX</v>
          </cell>
          <cell r="C14" t="str">
            <v>SOUTHWEST GAS</v>
          </cell>
          <cell r="D14">
            <v>39436</v>
          </cell>
          <cell r="E14" t="str">
            <v>EPS</v>
          </cell>
          <cell r="F14" t="str">
            <v>ANN</v>
          </cell>
          <cell r="G14" t="str">
            <v>1</v>
          </cell>
          <cell r="H14">
            <v>4</v>
          </cell>
          <cell r="I14">
            <v>2.1</v>
          </cell>
          <cell r="J14">
            <v>2.06</v>
          </cell>
          <cell r="K14">
            <v>0.15</v>
          </cell>
          <cell r="L14">
            <v>1</v>
          </cell>
          <cell r="M14">
            <v>39447</v>
          </cell>
          <cell r="N14">
            <v>1.95</v>
          </cell>
          <cell r="O14">
            <v>39505</v>
          </cell>
        </row>
        <row r="15">
          <cell r="B15" t="str">
            <v>WGL</v>
          </cell>
          <cell r="C15" t="str">
            <v>WGL HOLDING INC</v>
          </cell>
          <cell r="D15">
            <v>39436</v>
          </cell>
          <cell r="E15" t="str">
            <v>EPS</v>
          </cell>
          <cell r="F15" t="str">
            <v>ANN</v>
          </cell>
          <cell r="G15" t="str">
            <v>1</v>
          </cell>
          <cell r="H15">
            <v>4</v>
          </cell>
          <cell r="I15">
            <v>2.17</v>
          </cell>
          <cell r="J15">
            <v>2.17</v>
          </cell>
          <cell r="K15">
            <v>0.06</v>
          </cell>
          <cell r="L15">
            <v>1</v>
          </cell>
          <cell r="M15">
            <v>39721</v>
          </cell>
          <cell r="N15">
            <v>2.33</v>
          </cell>
          <cell r="O15">
            <v>39765</v>
          </cell>
        </row>
        <row r="16">
          <cell r="B16" t="str">
            <v>GAS</v>
          </cell>
          <cell r="C16" t="str">
            <v>GAS NATURAL</v>
          </cell>
          <cell r="D16">
            <v>39436</v>
          </cell>
          <cell r="E16" t="str">
            <v>EPS</v>
          </cell>
          <cell r="F16" t="str">
            <v>ANN</v>
          </cell>
          <cell r="G16" t="str">
            <v>1</v>
          </cell>
          <cell r="H16">
            <v>25</v>
          </cell>
          <cell r="I16">
            <v>1.66</v>
          </cell>
          <cell r="J16">
            <v>1.69</v>
          </cell>
          <cell r="K16">
            <v>0.14000000000000001</v>
          </cell>
          <cell r="L16">
            <v>0</v>
          </cell>
          <cell r="M16">
            <v>39447</v>
          </cell>
          <cell r="N16">
            <v>1.7468999999999999</v>
          </cell>
          <cell r="O16">
            <v>39504</v>
          </cell>
        </row>
        <row r="17">
          <cell r="B17" t="str">
            <v>GAS</v>
          </cell>
          <cell r="C17" t="str">
            <v>BW GAS ASA</v>
          </cell>
          <cell r="D17">
            <v>39436</v>
          </cell>
          <cell r="E17" t="str">
            <v>EPS</v>
          </cell>
          <cell r="F17" t="str">
            <v>ANN</v>
          </cell>
          <cell r="G17" t="str">
            <v>1</v>
          </cell>
          <cell r="H17">
            <v>8</v>
          </cell>
          <cell r="I17">
            <v>0.93</v>
          </cell>
          <cell r="J17">
            <v>0.93</v>
          </cell>
          <cell r="K17">
            <v>0.24</v>
          </cell>
          <cell r="L17">
            <v>0</v>
          </cell>
          <cell r="M17">
            <v>39447</v>
          </cell>
          <cell r="N17">
            <v>-3.9</v>
          </cell>
          <cell r="O17">
            <v>39491</v>
          </cell>
        </row>
        <row r="18">
          <cell r="B18" t="str">
            <v>LG</v>
          </cell>
          <cell r="C18" t="str">
            <v>LAFARGE</v>
          </cell>
          <cell r="D18">
            <v>39436</v>
          </cell>
          <cell r="E18" t="str">
            <v>EPS</v>
          </cell>
          <cell r="F18" t="str">
            <v>ANN</v>
          </cell>
          <cell r="G18" t="str">
            <v>1</v>
          </cell>
          <cell r="H18">
            <v>23</v>
          </cell>
          <cell r="I18">
            <v>8</v>
          </cell>
          <cell r="J18">
            <v>8.16</v>
          </cell>
          <cell r="K18">
            <v>0.56000000000000005</v>
          </cell>
          <cell r="L18">
            <v>0</v>
          </cell>
          <cell r="M18">
            <v>39447</v>
          </cell>
          <cell r="N18">
            <v>8.8040000000000003</v>
          </cell>
          <cell r="O18">
            <v>39492</v>
          </cell>
        </row>
        <row r="19">
          <cell r="B19" t="str">
            <v>ATO</v>
          </cell>
          <cell r="C19" t="str">
            <v>ATOS ORIGIN</v>
          </cell>
          <cell r="D19">
            <v>39436</v>
          </cell>
          <cell r="E19" t="str">
            <v>EPS</v>
          </cell>
          <cell r="F19" t="str">
            <v>ANN</v>
          </cell>
          <cell r="G19" t="str">
            <v>1</v>
          </cell>
          <cell r="H19">
            <v>15</v>
          </cell>
          <cell r="I19">
            <v>2.11</v>
          </cell>
          <cell r="J19">
            <v>2.15</v>
          </cell>
          <cell r="K19">
            <v>0.24</v>
          </cell>
          <cell r="L19">
            <v>0</v>
          </cell>
          <cell r="M19">
            <v>39447</v>
          </cell>
          <cell r="N19">
            <v>2.0299999999999998</v>
          </cell>
          <cell r="O19">
            <v>39493</v>
          </cell>
        </row>
        <row r="20">
          <cell r="B20" t="str">
            <v>PEC</v>
          </cell>
          <cell r="C20" t="str">
            <v>PATEL ENGG</v>
          </cell>
          <cell r="D20">
            <v>39436</v>
          </cell>
          <cell r="E20" t="str">
            <v>EPS</v>
          </cell>
          <cell r="F20" t="str">
            <v>ANN</v>
          </cell>
          <cell r="G20" t="str">
            <v>1</v>
          </cell>
          <cell r="H20">
            <v>7</v>
          </cell>
          <cell r="I20">
            <v>15.17</v>
          </cell>
          <cell r="J20">
            <v>15.81</v>
          </cell>
          <cell r="K20">
            <v>2.96</v>
          </cell>
          <cell r="L20">
            <v>0</v>
          </cell>
          <cell r="M20">
            <v>39538</v>
          </cell>
          <cell r="N20">
            <v>19.403600000000001</v>
          </cell>
          <cell r="O20">
            <v>39623</v>
          </cell>
        </row>
        <row r="21">
          <cell r="B21" t="str">
            <v>ATG</v>
          </cell>
          <cell r="C21" t="str">
            <v>ADVENTIS GROUP</v>
          </cell>
          <cell r="D21">
            <v>39436</v>
          </cell>
          <cell r="E21" t="str">
            <v>EPS</v>
          </cell>
          <cell r="F21" t="str">
            <v>ANN</v>
          </cell>
          <cell r="G21" t="str">
            <v>1</v>
          </cell>
          <cell r="H21">
            <v>2</v>
          </cell>
          <cell r="I21">
            <v>30.73</v>
          </cell>
          <cell r="J21">
            <v>30.73</v>
          </cell>
          <cell r="K21">
            <v>1.0900000000000001</v>
          </cell>
          <cell r="L21">
            <v>0</v>
          </cell>
          <cell r="M21">
            <v>39447</v>
          </cell>
          <cell r="N21">
            <v>30.289000000000001</v>
          </cell>
          <cell r="O21">
            <v>39548</v>
          </cell>
        </row>
        <row r="22">
          <cell r="B22" t="str">
            <v>SR</v>
          </cell>
          <cell r="C22" t="str">
            <v>SNS REAAL</v>
          </cell>
          <cell r="D22">
            <v>39436</v>
          </cell>
          <cell r="E22" t="str">
            <v>EPS</v>
          </cell>
          <cell r="F22" t="str">
            <v>ANN</v>
          </cell>
          <cell r="G22" t="str">
            <v>1</v>
          </cell>
          <cell r="H22">
            <v>7</v>
          </cell>
          <cell r="I22">
            <v>1.82</v>
          </cell>
          <cell r="J22">
            <v>1.81</v>
          </cell>
          <cell r="K22">
            <v>0.12</v>
          </cell>
          <cell r="L22">
            <v>0</v>
          </cell>
          <cell r="M22">
            <v>39447</v>
          </cell>
          <cell r="N22">
            <v>1.87</v>
          </cell>
          <cell r="O22">
            <v>39499</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tatistics"/>
      <sheetName val="Mean Study Graphs"/>
      <sheetName val="Median Study Graphs"/>
      <sheetName val="Master Summary"/>
      <sheetName val="Ticker List"/>
      <sheetName val="2021"/>
      <sheetName val="2020"/>
      <sheetName val="2019"/>
      <sheetName val="2018"/>
      <sheetName val="2017"/>
      <sheetName val="2016"/>
      <sheetName val="2015"/>
      <sheetName val="2014"/>
      <sheetName val="2013"/>
      <sheetName val="2012"/>
      <sheetName val="2011"/>
      <sheetName val="2010"/>
      <sheetName val="2009"/>
      <sheetName val="2008"/>
      <sheetName val="2007"/>
      <sheetName val="2006"/>
      <sheetName val="2005"/>
      <sheetName val="2004"/>
      <sheetName val="2003"/>
      <sheetName val="2002"/>
      <sheetName val="2001"/>
      <sheetName val="2000"/>
      <sheetName val="1999"/>
      <sheetName val="1998"/>
      <sheetName val="1997"/>
      <sheetName val="1996"/>
      <sheetName val="1995"/>
      <sheetName val="1994"/>
      <sheetName val="1993"/>
      <sheetName val="1992"/>
      <sheetName val="1991"/>
      <sheetName val="1990"/>
      <sheetName val="1989"/>
      <sheetName val="1988"/>
      <sheetName val="1987"/>
      <sheetName val="1986"/>
      <sheetName val="1985"/>
    </sheetNames>
    <sheetDataSet>
      <sheetData sheetId="0"/>
      <sheetData sheetId="1"/>
      <sheetData sheetId="2"/>
      <sheetData sheetId="3"/>
      <sheetData sheetId="4">
        <row r="4">
          <cell r="H4" t="str">
            <v>ATO</v>
          </cell>
          <cell r="I4" t="str">
            <v>EGAS</v>
          </cell>
        </row>
        <row r="5">
          <cell r="H5" t="str">
            <v>CPK</v>
          </cell>
          <cell r="I5" t="str">
            <v>CHPK</v>
          </cell>
        </row>
        <row r="6">
          <cell r="H6" t="str">
            <v>NJR</v>
          </cell>
          <cell r="I6" t="str">
            <v>NJR</v>
          </cell>
        </row>
        <row r="7">
          <cell r="H7" t="str">
            <v>NI</v>
          </cell>
          <cell r="I7" t="str">
            <v>NI</v>
          </cell>
        </row>
        <row r="8">
          <cell r="H8" t="str">
            <v>NWN</v>
          </cell>
          <cell r="I8" t="str">
            <v>NWNG</v>
          </cell>
        </row>
        <row r="9">
          <cell r="H9" t="str">
            <v>OGS</v>
          </cell>
          <cell r="I9" t="str">
            <v>OGSW</v>
          </cell>
        </row>
        <row r="10">
          <cell r="H10" t="str">
            <v>SJI</v>
          </cell>
          <cell r="I10" t="str">
            <v>SJI</v>
          </cell>
        </row>
        <row r="11">
          <cell r="H11" t="str">
            <v>SWX</v>
          </cell>
          <cell r="I11" t="str">
            <v>SWX</v>
          </cell>
        </row>
        <row r="12">
          <cell r="H12" t="str">
            <v>SR</v>
          </cell>
          <cell r="I12" t="str">
            <v>LG</v>
          </cell>
        </row>
        <row r="13">
          <cell r="H13" t="str">
            <v>ATG</v>
          </cell>
          <cell r="I13" t="str">
            <v>AGLT</v>
          </cell>
        </row>
        <row r="14">
          <cell r="H14" t="str">
            <v>LG</v>
          </cell>
          <cell r="I14" t="str">
            <v>LG</v>
          </cell>
        </row>
        <row r="15">
          <cell r="H15" t="str">
            <v>GAS</v>
          </cell>
          <cell r="I15" t="str">
            <v>GAS</v>
          </cell>
        </row>
        <row r="16">
          <cell r="H16" t="str">
            <v>PNY</v>
          </cell>
          <cell r="I16" t="str">
            <v>PNY</v>
          </cell>
        </row>
        <row r="17">
          <cell r="H17" t="str">
            <v>WGL</v>
          </cell>
          <cell r="I17" t="str">
            <v>WGL</v>
          </cell>
        </row>
        <row r="18">
          <cell r="H18" t="str">
            <v>CGC</v>
          </cell>
          <cell r="I18" t="str">
            <v>CGC</v>
          </cell>
        </row>
        <row r="19">
          <cell r="H19" t="str">
            <v>KSE</v>
          </cell>
          <cell r="I19" t="str">
            <v>MN</v>
          </cell>
        </row>
        <row r="20">
          <cell r="H20" t="str">
            <v>PGL</v>
          </cell>
          <cell r="I20" t="str">
            <v>PGL</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tqqedlfvw39dav7"/>
    </sheetNames>
    <sheetDataSet>
      <sheetData sheetId="0">
        <row r="1">
          <cell r="B1" t="str">
            <v>Official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Forecast Period End Date (SAS Format)</v>
          </cell>
          <cell r="M1" t="str">
            <v>Actual Value, from the Detail Actuals File</v>
          </cell>
          <cell r="N1" t="str">
            <v>Announce date of the Actual, from the Detail Actuals File</v>
          </cell>
        </row>
        <row r="2">
          <cell r="B2" t="str">
            <v>ATG</v>
          </cell>
          <cell r="C2" t="str">
            <v>AGL RESOURCES</v>
          </cell>
          <cell r="D2">
            <v>39436</v>
          </cell>
          <cell r="E2" t="str">
            <v>EPS</v>
          </cell>
          <cell r="F2" t="str">
            <v>LTG</v>
          </cell>
          <cell r="G2" t="str">
            <v>0</v>
          </cell>
          <cell r="H2">
            <v>3</v>
          </cell>
          <cell r="I2">
            <v>4.5</v>
          </cell>
          <cell r="J2">
            <v>4.97</v>
          </cell>
          <cell r="K2">
            <v>0.9</v>
          </cell>
        </row>
        <row r="3">
          <cell r="B3" t="str">
            <v>CPK</v>
          </cell>
          <cell r="C3" t="str">
            <v>CHESAPEAKE UTIL</v>
          </cell>
          <cell r="D3">
            <v>39436</v>
          </cell>
          <cell r="E3" t="str">
            <v>EPS</v>
          </cell>
          <cell r="F3" t="str">
            <v>LTG</v>
          </cell>
          <cell r="G3" t="str">
            <v>0</v>
          </cell>
          <cell r="H3">
            <v>2</v>
          </cell>
          <cell r="I3">
            <v>7</v>
          </cell>
          <cell r="J3">
            <v>7</v>
          </cell>
          <cell r="K3">
            <v>1.41</v>
          </cell>
        </row>
        <row r="4">
          <cell r="B4" t="str">
            <v>ATO</v>
          </cell>
          <cell r="C4" t="str">
            <v>ATMOS ENERGY CP</v>
          </cell>
          <cell r="D4">
            <v>39436</v>
          </cell>
          <cell r="E4" t="str">
            <v>EPS</v>
          </cell>
          <cell r="F4" t="str">
            <v>LTG</v>
          </cell>
          <cell r="G4" t="str">
            <v>0</v>
          </cell>
          <cell r="H4">
            <v>4</v>
          </cell>
          <cell r="I4">
            <v>5.25</v>
          </cell>
          <cell r="J4">
            <v>5.63</v>
          </cell>
          <cell r="K4">
            <v>0.95</v>
          </cell>
        </row>
        <row r="5">
          <cell r="B5" t="str">
            <v>GAS</v>
          </cell>
          <cell r="C5" t="str">
            <v>NICOR INC</v>
          </cell>
          <cell r="D5">
            <v>39436</v>
          </cell>
          <cell r="E5" t="str">
            <v>EPS</v>
          </cell>
          <cell r="F5" t="str">
            <v>LTG</v>
          </cell>
          <cell r="G5" t="str">
            <v>0</v>
          </cell>
          <cell r="H5">
            <v>2</v>
          </cell>
          <cell r="I5">
            <v>2.5</v>
          </cell>
          <cell r="J5">
            <v>2.5</v>
          </cell>
          <cell r="K5">
            <v>0.71</v>
          </cell>
        </row>
        <row r="6">
          <cell r="B6" t="str">
            <v>NI</v>
          </cell>
          <cell r="C6" t="str">
            <v>NISOURCE INC</v>
          </cell>
          <cell r="D6">
            <v>39436</v>
          </cell>
          <cell r="E6" t="str">
            <v>EPS</v>
          </cell>
          <cell r="F6" t="str">
            <v>LTG</v>
          </cell>
          <cell r="G6" t="str">
            <v>0</v>
          </cell>
          <cell r="H6">
            <v>5</v>
          </cell>
          <cell r="I6">
            <v>3</v>
          </cell>
          <cell r="J6">
            <v>3.34</v>
          </cell>
          <cell r="K6">
            <v>1.04</v>
          </cell>
        </row>
        <row r="7">
          <cell r="B7" t="str">
            <v>NJR</v>
          </cell>
          <cell r="C7" t="str">
            <v>NEW JERSEY RES</v>
          </cell>
          <cell r="D7">
            <v>39436</v>
          </cell>
          <cell r="E7" t="str">
            <v>EPS</v>
          </cell>
          <cell r="F7" t="str">
            <v>LTG</v>
          </cell>
          <cell r="G7" t="str">
            <v>0</v>
          </cell>
          <cell r="H7">
            <v>2</v>
          </cell>
          <cell r="I7">
            <v>5</v>
          </cell>
          <cell r="J7">
            <v>5</v>
          </cell>
          <cell r="K7">
            <v>0</v>
          </cell>
        </row>
        <row r="8">
          <cell r="B8" t="str">
            <v>NWN</v>
          </cell>
          <cell r="C8" t="str">
            <v>NW NATURAL GAS</v>
          </cell>
          <cell r="D8">
            <v>39436</v>
          </cell>
          <cell r="E8" t="str">
            <v>EPS</v>
          </cell>
          <cell r="F8" t="str">
            <v>LTG</v>
          </cell>
          <cell r="G8" t="str">
            <v>0</v>
          </cell>
          <cell r="H8">
            <v>4</v>
          </cell>
          <cell r="I8">
            <v>5</v>
          </cell>
          <cell r="J8">
            <v>4.88</v>
          </cell>
          <cell r="K8">
            <v>1.03</v>
          </cell>
        </row>
        <row r="9">
          <cell r="B9" t="str">
            <v>PNY</v>
          </cell>
          <cell r="C9" t="str">
            <v>PIEDMONT NAT GAS</v>
          </cell>
          <cell r="D9">
            <v>39436</v>
          </cell>
          <cell r="E9" t="str">
            <v>EPS</v>
          </cell>
          <cell r="F9" t="str">
            <v>LTG</v>
          </cell>
          <cell r="G9" t="str">
            <v>0</v>
          </cell>
          <cell r="H9">
            <v>2</v>
          </cell>
          <cell r="I9">
            <v>4.75</v>
          </cell>
          <cell r="J9">
            <v>4.75</v>
          </cell>
          <cell r="K9">
            <v>1.2</v>
          </cell>
        </row>
        <row r="10">
          <cell r="B10" t="str">
            <v>SJI</v>
          </cell>
          <cell r="C10" t="str">
            <v>SO JERSEY INDS</v>
          </cell>
          <cell r="D10">
            <v>39436</v>
          </cell>
          <cell r="E10" t="str">
            <v>EPS</v>
          </cell>
          <cell r="F10" t="str">
            <v>LTG</v>
          </cell>
          <cell r="G10" t="str">
            <v>0</v>
          </cell>
          <cell r="H10">
            <v>2</v>
          </cell>
          <cell r="I10">
            <v>7.5</v>
          </cell>
          <cell r="J10">
            <v>7.5</v>
          </cell>
          <cell r="K10">
            <v>0.71</v>
          </cell>
        </row>
        <row r="11">
          <cell r="B11" t="str">
            <v>SWX</v>
          </cell>
          <cell r="C11" t="str">
            <v>SOUTHWEST GAS</v>
          </cell>
          <cell r="D11">
            <v>39436</v>
          </cell>
          <cell r="E11" t="str">
            <v>EPS</v>
          </cell>
          <cell r="F11" t="str">
            <v>LTG</v>
          </cell>
          <cell r="G11" t="str">
            <v>0</v>
          </cell>
          <cell r="H11">
            <v>2</v>
          </cell>
          <cell r="I11">
            <v>4.5</v>
          </cell>
          <cell r="J11">
            <v>4.5</v>
          </cell>
          <cell r="K11">
            <v>2.12</v>
          </cell>
        </row>
        <row r="12">
          <cell r="B12" t="str">
            <v>WGL</v>
          </cell>
          <cell r="C12" t="str">
            <v>WGL HOLDING INC</v>
          </cell>
          <cell r="D12">
            <v>39436</v>
          </cell>
          <cell r="E12" t="str">
            <v>EPS</v>
          </cell>
          <cell r="F12" t="str">
            <v>LTG</v>
          </cell>
          <cell r="G12" t="str">
            <v>0</v>
          </cell>
          <cell r="H12">
            <v>2</v>
          </cell>
          <cell r="I12">
            <v>4</v>
          </cell>
          <cell r="J12">
            <v>4</v>
          </cell>
          <cell r="K12">
            <v>0</v>
          </cell>
        </row>
        <row r="13">
          <cell r="B13" t="str">
            <v>LG</v>
          </cell>
          <cell r="C13" t="str">
            <v>LACLEDE GROUP</v>
          </cell>
          <cell r="D13">
            <v>39345</v>
          </cell>
          <cell r="E13" t="str">
            <v>EPS</v>
          </cell>
          <cell r="F13" t="str">
            <v>LTG</v>
          </cell>
          <cell r="G13" t="str">
            <v>0</v>
          </cell>
          <cell r="H13">
            <v>1</v>
          </cell>
          <cell r="I13">
            <v>3</v>
          </cell>
          <cell r="J13">
            <v>3</v>
          </cell>
        </row>
      </sheetData>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RDS"/>
    </sheetNames>
    <sheetDataSet>
      <sheetData sheetId="0">
        <row r="1">
          <cell r="A1" t="str">
            <v>OFTIC</v>
          </cell>
          <cell r="B1" t="str">
            <v>IBES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USFIRM=0 if from .INT file and USFIRM=1 if from .US file</v>
          </cell>
          <cell r="L1" t="str">
            <v>Forecast Period End Date (SAS Format)</v>
          </cell>
          <cell r="M1" t="str">
            <v>Actual Value, from the Detail Actuals File</v>
          </cell>
          <cell r="N1" t="str">
            <v>Announce date of the Actual, from the Detail Actuals File</v>
          </cell>
        </row>
        <row r="2">
          <cell r="A2" t="str">
            <v>AGR</v>
          </cell>
          <cell r="B2" t="str">
            <v>AGRA</v>
          </cell>
          <cell r="C2" t="str">
            <v>AGERE SYSTEMS</v>
          </cell>
          <cell r="D2">
            <v>20061214</v>
          </cell>
          <cell r="E2" t="str">
            <v>EPS</v>
          </cell>
          <cell r="F2" t="str">
            <v>ANN</v>
          </cell>
          <cell r="G2">
            <v>1</v>
          </cell>
          <cell r="H2">
            <v>10</v>
          </cell>
          <cell r="I2">
            <v>1.02</v>
          </cell>
          <cell r="J2">
            <v>1</v>
          </cell>
          <cell r="K2">
            <v>1</v>
          </cell>
          <cell r="L2">
            <v>20070930</v>
          </cell>
        </row>
        <row r="3">
          <cell r="A3" t="str">
            <v>PNW</v>
          </cell>
          <cell r="B3" t="str">
            <v>AZP</v>
          </cell>
          <cell r="C3" t="str">
            <v>PINNACLE WST CAP</v>
          </cell>
          <cell r="D3">
            <v>20061214</v>
          </cell>
          <cell r="E3" t="str">
            <v>EPS</v>
          </cell>
          <cell r="F3" t="str">
            <v>ANN</v>
          </cell>
          <cell r="G3">
            <v>1</v>
          </cell>
          <cell r="H3">
            <v>10</v>
          </cell>
          <cell r="I3">
            <v>3.2</v>
          </cell>
          <cell r="J3">
            <v>3.18</v>
          </cell>
          <cell r="K3">
            <v>1</v>
          </cell>
          <cell r="L3">
            <v>20061231</v>
          </cell>
          <cell r="M3">
            <v>3.13</v>
          </cell>
          <cell r="N3">
            <v>20070130</v>
          </cell>
        </row>
        <row r="4">
          <cell r="A4" t="str">
            <v>CEG</v>
          </cell>
          <cell r="B4" t="str">
            <v>BGE</v>
          </cell>
          <cell r="C4" t="str">
            <v>CONSTELLATION EN</v>
          </cell>
          <cell r="D4">
            <v>20061214</v>
          </cell>
          <cell r="E4" t="str">
            <v>EPS</v>
          </cell>
          <cell r="F4" t="str">
            <v>ANN</v>
          </cell>
          <cell r="G4">
            <v>1</v>
          </cell>
          <cell r="H4">
            <v>5</v>
          </cell>
          <cell r="I4">
            <v>3.8</v>
          </cell>
          <cell r="J4">
            <v>3.79</v>
          </cell>
          <cell r="K4">
            <v>1</v>
          </cell>
          <cell r="L4">
            <v>20061231</v>
          </cell>
          <cell r="M4">
            <v>3.61</v>
          </cell>
          <cell r="N4">
            <v>20070131</v>
          </cell>
        </row>
        <row r="5">
          <cell r="A5" t="str">
            <v>BKH</v>
          </cell>
          <cell r="B5" t="str">
            <v>BHP</v>
          </cell>
          <cell r="C5" t="str">
            <v>BLACK HILLS CP</v>
          </cell>
          <cell r="D5">
            <v>20061214</v>
          </cell>
          <cell r="E5" t="str">
            <v>EPS</v>
          </cell>
          <cell r="F5" t="str">
            <v>ANN</v>
          </cell>
          <cell r="G5">
            <v>1</v>
          </cell>
          <cell r="H5">
            <v>2</v>
          </cell>
          <cell r="I5">
            <v>2.06</v>
          </cell>
          <cell r="J5">
            <v>2.06</v>
          </cell>
          <cell r="K5">
            <v>1</v>
          </cell>
          <cell r="L5">
            <v>20061231</v>
          </cell>
          <cell r="M5">
            <v>2.14</v>
          </cell>
          <cell r="N5">
            <v>20070215</v>
          </cell>
        </row>
        <row r="6">
          <cell r="A6" t="str">
            <v>NST</v>
          </cell>
          <cell r="B6" t="str">
            <v>BSE</v>
          </cell>
          <cell r="C6" t="str">
            <v>NSTAR</v>
          </cell>
          <cell r="D6">
            <v>20061214</v>
          </cell>
          <cell r="E6" t="str">
            <v>EPS</v>
          </cell>
          <cell r="F6" t="str">
            <v>ANN</v>
          </cell>
          <cell r="G6">
            <v>1</v>
          </cell>
          <cell r="H6">
            <v>8</v>
          </cell>
          <cell r="I6">
            <v>1.95</v>
          </cell>
          <cell r="J6">
            <v>1.95</v>
          </cell>
          <cell r="K6">
            <v>1</v>
          </cell>
          <cell r="L6">
            <v>20061231</v>
          </cell>
          <cell r="M6">
            <v>1.93</v>
          </cell>
          <cell r="N6">
            <v>20070125</v>
          </cell>
        </row>
        <row r="7">
          <cell r="A7" t="str">
            <v>CMS</v>
          </cell>
          <cell r="B7" t="str">
            <v>CMS</v>
          </cell>
          <cell r="C7" t="str">
            <v>CMS ENERGY CORP</v>
          </cell>
          <cell r="D7">
            <v>20061214</v>
          </cell>
          <cell r="E7" t="str">
            <v>EPS</v>
          </cell>
          <cell r="F7" t="str">
            <v>ANN</v>
          </cell>
          <cell r="G7">
            <v>1</v>
          </cell>
          <cell r="H7">
            <v>12</v>
          </cell>
          <cell r="I7">
            <v>1</v>
          </cell>
          <cell r="J7">
            <v>1.02</v>
          </cell>
          <cell r="K7">
            <v>1</v>
          </cell>
          <cell r="L7">
            <v>20061231</v>
          </cell>
          <cell r="M7">
            <v>1.1299999999999999</v>
          </cell>
          <cell r="N7">
            <v>20070222</v>
          </cell>
        </row>
        <row r="8">
          <cell r="A8" t="str">
            <v>CNL</v>
          </cell>
          <cell r="B8" t="str">
            <v>CNL</v>
          </cell>
          <cell r="C8" t="str">
            <v>CLECO CORP</v>
          </cell>
          <cell r="D8">
            <v>20061214</v>
          </cell>
          <cell r="E8" t="str">
            <v>EPS</v>
          </cell>
          <cell r="F8" t="str">
            <v>ANN</v>
          </cell>
          <cell r="G8">
            <v>1</v>
          </cell>
          <cell r="H8">
            <v>5</v>
          </cell>
          <cell r="I8">
            <v>1.3</v>
          </cell>
          <cell r="J8">
            <v>1.35</v>
          </cell>
          <cell r="K8">
            <v>1</v>
          </cell>
          <cell r="L8">
            <v>20061231</v>
          </cell>
          <cell r="M8">
            <v>1.36</v>
          </cell>
          <cell r="N8">
            <v>20070227</v>
          </cell>
        </row>
        <row r="9">
          <cell r="A9" t="str">
            <v>PGN</v>
          </cell>
          <cell r="B9" t="str">
            <v>CPL</v>
          </cell>
          <cell r="C9" t="str">
            <v>PROGRESS ENERGY</v>
          </cell>
          <cell r="D9">
            <v>20061214</v>
          </cell>
          <cell r="E9" t="str">
            <v>EPS</v>
          </cell>
          <cell r="F9" t="str">
            <v>ANN</v>
          </cell>
          <cell r="G9">
            <v>1</v>
          </cell>
          <cell r="H9">
            <v>4</v>
          </cell>
          <cell r="I9">
            <v>2.52</v>
          </cell>
          <cell r="J9">
            <v>2.52</v>
          </cell>
          <cell r="K9">
            <v>1</v>
          </cell>
          <cell r="L9">
            <v>20061231</v>
          </cell>
          <cell r="M9">
            <v>2.3199999999999998</v>
          </cell>
          <cell r="N9">
            <v>20070214</v>
          </cell>
        </row>
        <row r="10">
          <cell r="A10" t="str">
            <v>D</v>
          </cell>
          <cell r="B10" t="str">
            <v>D</v>
          </cell>
          <cell r="C10" t="str">
            <v>DOMINION RES INC</v>
          </cell>
          <cell r="D10">
            <v>20061214</v>
          </cell>
          <cell r="E10" t="str">
            <v>EPS</v>
          </cell>
          <cell r="F10" t="str">
            <v>ANN</v>
          </cell>
          <cell r="G10">
            <v>1</v>
          </cell>
          <cell r="H10">
            <v>16</v>
          </cell>
          <cell r="I10">
            <v>2.5499999999999998</v>
          </cell>
          <cell r="J10">
            <v>2.5499999999999998</v>
          </cell>
          <cell r="K10">
            <v>1</v>
          </cell>
          <cell r="L10">
            <v>20061231</v>
          </cell>
          <cell r="M10">
            <v>2.56</v>
          </cell>
          <cell r="N10">
            <v>20070131</v>
          </cell>
        </row>
        <row r="11">
          <cell r="A11" t="str">
            <v>DPL</v>
          </cell>
          <cell r="B11" t="str">
            <v>DPL</v>
          </cell>
          <cell r="C11" t="str">
            <v>DPL INC</v>
          </cell>
          <cell r="D11">
            <v>20061214</v>
          </cell>
          <cell r="E11" t="str">
            <v>EPS</v>
          </cell>
          <cell r="F11" t="str">
            <v>ANN</v>
          </cell>
          <cell r="G11">
            <v>1</v>
          </cell>
          <cell r="H11">
            <v>6</v>
          </cell>
          <cell r="I11">
            <v>1.39</v>
          </cell>
          <cell r="J11">
            <v>1.36</v>
          </cell>
          <cell r="K11">
            <v>1</v>
          </cell>
          <cell r="L11">
            <v>20061231</v>
          </cell>
          <cell r="M11">
            <v>1.35</v>
          </cell>
          <cell r="N11">
            <v>20070221</v>
          </cell>
        </row>
        <row r="12">
          <cell r="A12" t="str">
            <v>DTE</v>
          </cell>
          <cell r="B12" t="str">
            <v>DTE</v>
          </cell>
          <cell r="C12" t="str">
            <v>DTE ENERGY</v>
          </cell>
          <cell r="D12">
            <v>20061214</v>
          </cell>
          <cell r="E12" t="str">
            <v>EPS</v>
          </cell>
          <cell r="F12" t="str">
            <v>ANN</v>
          </cell>
          <cell r="G12">
            <v>1</v>
          </cell>
          <cell r="H12">
            <v>5</v>
          </cell>
          <cell r="I12">
            <v>2.4900000000000002</v>
          </cell>
          <cell r="J12">
            <v>2.5099999999999998</v>
          </cell>
          <cell r="K12">
            <v>1</v>
          </cell>
          <cell r="L12">
            <v>20061231</v>
          </cell>
          <cell r="M12">
            <v>2.91</v>
          </cell>
          <cell r="N12">
            <v>20070226</v>
          </cell>
        </row>
        <row r="13">
          <cell r="A13" t="str">
            <v>DUK</v>
          </cell>
          <cell r="B13" t="str">
            <v>DUK</v>
          </cell>
          <cell r="C13" t="str">
            <v>DUKE ENERGY CORP</v>
          </cell>
          <cell r="D13">
            <v>20061214</v>
          </cell>
          <cell r="E13" t="str">
            <v>EPS</v>
          </cell>
          <cell r="F13" t="str">
            <v>ANN</v>
          </cell>
          <cell r="G13">
            <v>1</v>
          </cell>
          <cell r="H13">
            <v>11</v>
          </cell>
          <cell r="I13">
            <v>5.43</v>
          </cell>
          <cell r="J13">
            <v>5.46</v>
          </cell>
          <cell r="K13">
            <v>1</v>
          </cell>
          <cell r="L13">
            <v>20061231</v>
          </cell>
          <cell r="M13">
            <v>5.43</v>
          </cell>
          <cell r="N13">
            <v>20070206</v>
          </cell>
        </row>
        <row r="14">
          <cell r="A14" t="str">
            <v>ED</v>
          </cell>
          <cell r="B14" t="str">
            <v>ED</v>
          </cell>
          <cell r="C14" t="str">
            <v>CONSOLIDATED EDI</v>
          </cell>
          <cell r="D14">
            <v>20061214</v>
          </cell>
          <cell r="E14" t="str">
            <v>EPS</v>
          </cell>
          <cell r="F14" t="str">
            <v>ANN</v>
          </cell>
          <cell r="G14">
            <v>1</v>
          </cell>
          <cell r="H14">
            <v>9</v>
          </cell>
          <cell r="I14">
            <v>2.85</v>
          </cell>
          <cell r="J14">
            <v>2.85</v>
          </cell>
          <cell r="K14">
            <v>1</v>
          </cell>
          <cell r="L14">
            <v>20061231</v>
          </cell>
          <cell r="M14">
            <v>2.95</v>
          </cell>
          <cell r="N14">
            <v>20070119</v>
          </cell>
        </row>
        <row r="15">
          <cell r="A15" t="str">
            <v>EDE</v>
          </cell>
          <cell r="B15" t="str">
            <v>EDE</v>
          </cell>
          <cell r="C15" t="str">
            <v>EMPIRE DIST ELEC</v>
          </cell>
          <cell r="D15">
            <v>20061214</v>
          </cell>
          <cell r="E15" t="str">
            <v>EPS</v>
          </cell>
          <cell r="F15" t="str">
            <v>ANN</v>
          </cell>
          <cell r="G15">
            <v>1</v>
          </cell>
          <cell r="H15">
            <v>3</v>
          </cell>
          <cell r="I15">
            <v>1.2</v>
          </cell>
          <cell r="J15">
            <v>1.19</v>
          </cell>
          <cell r="K15">
            <v>1</v>
          </cell>
          <cell r="L15">
            <v>20061231</v>
          </cell>
          <cell r="M15">
            <v>1.39</v>
          </cell>
          <cell r="N15">
            <v>20070201</v>
          </cell>
        </row>
        <row r="16">
          <cell r="A16" t="str">
            <v>FPL</v>
          </cell>
          <cell r="B16" t="str">
            <v>FPL</v>
          </cell>
          <cell r="C16" t="str">
            <v>FPL GROUP</v>
          </cell>
          <cell r="D16">
            <v>20061214</v>
          </cell>
          <cell r="E16" t="str">
            <v>EPS</v>
          </cell>
          <cell r="F16" t="str">
            <v>ANN</v>
          </cell>
          <cell r="G16">
            <v>1</v>
          </cell>
          <cell r="H16">
            <v>13</v>
          </cell>
          <cell r="I16">
            <v>0.73</v>
          </cell>
          <cell r="J16">
            <v>0.72</v>
          </cell>
          <cell r="K16">
            <v>1</v>
          </cell>
          <cell r="L16">
            <v>20061231</v>
          </cell>
          <cell r="M16">
            <v>0.76</v>
          </cell>
          <cell r="N16">
            <v>20070126</v>
          </cell>
        </row>
        <row r="17">
          <cell r="A17" t="str">
            <v>HE</v>
          </cell>
          <cell r="B17" t="str">
            <v>HE</v>
          </cell>
          <cell r="C17" t="str">
            <v>HAWAIIAN ELEC</v>
          </cell>
          <cell r="D17">
            <v>20061214</v>
          </cell>
          <cell r="E17" t="str">
            <v>EPS</v>
          </cell>
          <cell r="F17" t="str">
            <v>ANN</v>
          </cell>
          <cell r="G17">
            <v>1</v>
          </cell>
          <cell r="H17">
            <v>5</v>
          </cell>
          <cell r="I17">
            <v>1.5</v>
          </cell>
          <cell r="J17">
            <v>1.53</v>
          </cell>
          <cell r="K17">
            <v>1</v>
          </cell>
          <cell r="L17">
            <v>20061231</v>
          </cell>
          <cell r="M17">
            <v>1.33</v>
          </cell>
          <cell r="N17">
            <v>20070223</v>
          </cell>
        </row>
        <row r="18">
          <cell r="A18" t="str">
            <v>CNP</v>
          </cell>
          <cell r="B18" t="str">
            <v>HOU</v>
          </cell>
          <cell r="C18" t="str">
            <v>CENTERPOINT ENER</v>
          </cell>
          <cell r="D18">
            <v>20061214</v>
          </cell>
          <cell r="E18" t="str">
            <v>EPS</v>
          </cell>
          <cell r="F18" t="str">
            <v>ANN</v>
          </cell>
          <cell r="G18">
            <v>1</v>
          </cell>
          <cell r="H18">
            <v>9</v>
          </cell>
          <cell r="I18">
            <v>1.05</v>
          </cell>
          <cell r="J18">
            <v>1.04</v>
          </cell>
          <cell r="K18">
            <v>1</v>
          </cell>
          <cell r="L18">
            <v>20061231</v>
          </cell>
          <cell r="M18">
            <v>1.1100000000000001</v>
          </cell>
          <cell r="N18">
            <v>20070228</v>
          </cell>
        </row>
        <row r="19">
          <cell r="A19" t="str">
            <v>IDA</v>
          </cell>
          <cell r="B19" t="str">
            <v>IDA</v>
          </cell>
          <cell r="C19" t="str">
            <v>IDACORP INC.</v>
          </cell>
          <cell r="D19">
            <v>20061214</v>
          </cell>
          <cell r="E19" t="str">
            <v>EPS</v>
          </cell>
          <cell r="F19" t="str">
            <v>ANN</v>
          </cell>
          <cell r="G19">
            <v>1</v>
          </cell>
          <cell r="H19">
            <v>3</v>
          </cell>
          <cell r="I19">
            <v>2.36</v>
          </cell>
          <cell r="J19">
            <v>2.36</v>
          </cell>
          <cell r="K19">
            <v>1</v>
          </cell>
          <cell r="L19">
            <v>20061231</v>
          </cell>
          <cell r="M19">
            <v>2.15</v>
          </cell>
          <cell r="N19">
            <v>20070215</v>
          </cell>
        </row>
        <row r="20">
          <cell r="A20" t="str">
            <v>WR</v>
          </cell>
          <cell r="B20" t="str">
            <v>KAN</v>
          </cell>
          <cell r="C20" t="str">
            <v>WESTAR ENERGY</v>
          </cell>
          <cell r="D20">
            <v>20061214</v>
          </cell>
          <cell r="E20" t="str">
            <v>EPS</v>
          </cell>
          <cell r="F20" t="str">
            <v>ANN</v>
          </cell>
          <cell r="G20">
            <v>1</v>
          </cell>
          <cell r="H20">
            <v>3</v>
          </cell>
          <cell r="I20">
            <v>1.7</v>
          </cell>
          <cell r="J20">
            <v>1.7</v>
          </cell>
          <cell r="K20">
            <v>1</v>
          </cell>
          <cell r="L20">
            <v>20061231</v>
          </cell>
          <cell r="M20">
            <v>1.81</v>
          </cell>
          <cell r="N20">
            <v>20070301</v>
          </cell>
        </row>
        <row r="21">
          <cell r="A21" t="str">
            <v>GXP</v>
          </cell>
          <cell r="B21" t="str">
            <v>KLT</v>
          </cell>
          <cell r="C21" t="str">
            <v>GREAT PLAINS</v>
          </cell>
          <cell r="D21">
            <v>20061214</v>
          </cell>
          <cell r="E21" t="str">
            <v>EPS</v>
          </cell>
          <cell r="F21" t="str">
            <v>ANN</v>
          </cell>
          <cell r="G21">
            <v>1</v>
          </cell>
          <cell r="H21">
            <v>7</v>
          </cell>
          <cell r="I21">
            <v>2.0099999999999998</v>
          </cell>
          <cell r="J21">
            <v>2.0099999999999998</v>
          </cell>
          <cell r="K21">
            <v>1</v>
          </cell>
          <cell r="L21">
            <v>20061231</v>
          </cell>
          <cell r="M21">
            <v>2</v>
          </cell>
          <cell r="N21">
            <v>20070207</v>
          </cell>
        </row>
        <row r="22">
          <cell r="A22" t="str">
            <v>ALE</v>
          </cell>
          <cell r="B22" t="str">
            <v>MPL</v>
          </cell>
          <cell r="C22" t="str">
            <v>ALLETE INC</v>
          </cell>
          <cell r="D22">
            <v>20061214</v>
          </cell>
          <cell r="E22" t="str">
            <v>EPS</v>
          </cell>
          <cell r="F22" t="str">
            <v>ANN</v>
          </cell>
          <cell r="G22">
            <v>1</v>
          </cell>
          <cell r="H22">
            <v>2</v>
          </cell>
          <cell r="I22">
            <v>2.69</v>
          </cell>
          <cell r="J22">
            <v>2.69</v>
          </cell>
          <cell r="K22">
            <v>1</v>
          </cell>
          <cell r="L22">
            <v>20061231</v>
          </cell>
          <cell r="M22">
            <v>2.77</v>
          </cell>
          <cell r="N22">
            <v>20070216</v>
          </cell>
        </row>
        <row r="23">
          <cell r="A23" t="str">
            <v>ETR</v>
          </cell>
          <cell r="B23" t="str">
            <v>MSU</v>
          </cell>
          <cell r="C23" t="str">
            <v>ENTERGY CP</v>
          </cell>
          <cell r="D23">
            <v>20061214</v>
          </cell>
          <cell r="E23" t="str">
            <v>EPS</v>
          </cell>
          <cell r="F23" t="str">
            <v>ANN</v>
          </cell>
          <cell r="G23">
            <v>1</v>
          </cell>
          <cell r="H23">
            <v>15</v>
          </cell>
          <cell r="I23">
            <v>4.7</v>
          </cell>
          <cell r="J23">
            <v>4.6900000000000004</v>
          </cell>
          <cell r="K23">
            <v>1</v>
          </cell>
          <cell r="L23">
            <v>20061231</v>
          </cell>
          <cell r="M23">
            <v>4.72</v>
          </cell>
          <cell r="N23">
            <v>20070130</v>
          </cell>
        </row>
        <row r="24">
          <cell r="A24" t="str">
            <v>EAS</v>
          </cell>
          <cell r="B24" t="str">
            <v>NGE</v>
          </cell>
          <cell r="C24" t="str">
            <v>ENERGY EAST CORP</v>
          </cell>
          <cell r="D24">
            <v>20061214</v>
          </cell>
          <cell r="E24" t="str">
            <v>EPS</v>
          </cell>
          <cell r="F24" t="str">
            <v>ANN</v>
          </cell>
          <cell r="G24">
            <v>1</v>
          </cell>
          <cell r="H24">
            <v>6</v>
          </cell>
          <cell r="I24">
            <v>1.8</v>
          </cell>
          <cell r="J24">
            <v>1.82</v>
          </cell>
          <cell r="K24">
            <v>1</v>
          </cell>
          <cell r="L24">
            <v>20061231</v>
          </cell>
          <cell r="M24">
            <v>1.76</v>
          </cell>
          <cell r="N24">
            <v>20070228</v>
          </cell>
        </row>
        <row r="25">
          <cell r="A25" t="str">
            <v>XEL</v>
          </cell>
          <cell r="B25" t="str">
            <v>NSP</v>
          </cell>
          <cell r="C25" t="str">
            <v>XCEL ENERGY INC</v>
          </cell>
          <cell r="D25">
            <v>20061214</v>
          </cell>
          <cell r="E25" t="str">
            <v>EPS</v>
          </cell>
          <cell r="F25" t="str">
            <v>ANN</v>
          </cell>
          <cell r="G25">
            <v>1</v>
          </cell>
          <cell r="H25">
            <v>11</v>
          </cell>
          <cell r="I25">
            <v>1.35</v>
          </cell>
          <cell r="J25">
            <v>1.34</v>
          </cell>
          <cell r="K25">
            <v>1</v>
          </cell>
          <cell r="L25">
            <v>20061231</v>
          </cell>
          <cell r="M25">
            <v>1.35</v>
          </cell>
          <cell r="N25">
            <v>20070131</v>
          </cell>
        </row>
        <row r="26">
          <cell r="A26" t="str">
            <v>NU</v>
          </cell>
          <cell r="B26" t="str">
            <v>NU</v>
          </cell>
          <cell r="C26" t="str">
            <v>NORTHEAST UTILS</v>
          </cell>
          <cell r="D26">
            <v>20061214</v>
          </cell>
          <cell r="E26" t="str">
            <v>EPS</v>
          </cell>
          <cell r="F26" t="str">
            <v>ANN</v>
          </cell>
          <cell r="G26">
            <v>1</v>
          </cell>
          <cell r="H26">
            <v>9</v>
          </cell>
          <cell r="I26">
            <v>1.1499999999999999</v>
          </cell>
          <cell r="J26">
            <v>1.1399999999999999</v>
          </cell>
          <cell r="K26">
            <v>1</v>
          </cell>
          <cell r="L26">
            <v>20061231</v>
          </cell>
          <cell r="M26">
            <v>1.1599999999999999</v>
          </cell>
          <cell r="N26">
            <v>20070219</v>
          </cell>
        </row>
        <row r="27">
          <cell r="A27" t="str">
            <v>FE</v>
          </cell>
          <cell r="B27" t="str">
            <v>OEC</v>
          </cell>
          <cell r="C27" t="str">
            <v>FIRSTENERGY CORP</v>
          </cell>
          <cell r="D27">
            <v>20061214</v>
          </cell>
          <cell r="E27" t="str">
            <v>EPS</v>
          </cell>
          <cell r="F27" t="str">
            <v>ANN</v>
          </cell>
          <cell r="G27">
            <v>1</v>
          </cell>
          <cell r="H27">
            <v>12</v>
          </cell>
          <cell r="I27">
            <v>3.85</v>
          </cell>
          <cell r="J27">
            <v>3.82</v>
          </cell>
          <cell r="K27">
            <v>1</v>
          </cell>
          <cell r="L27">
            <v>20061231</v>
          </cell>
          <cell r="M27">
            <v>3.88</v>
          </cell>
          <cell r="N27">
            <v>20070220</v>
          </cell>
        </row>
        <row r="28">
          <cell r="A28" t="str">
            <v>OGE</v>
          </cell>
          <cell r="B28" t="str">
            <v>OGE</v>
          </cell>
          <cell r="C28" t="str">
            <v>OGE ENERGY CORP</v>
          </cell>
          <cell r="D28">
            <v>20061214</v>
          </cell>
          <cell r="E28" t="str">
            <v>EPS</v>
          </cell>
          <cell r="F28" t="str">
            <v>ANN</v>
          </cell>
          <cell r="G28">
            <v>1</v>
          </cell>
          <cell r="H28">
            <v>3</v>
          </cell>
          <cell r="I28">
            <v>1.18</v>
          </cell>
          <cell r="J28">
            <v>1.1599999999999999</v>
          </cell>
          <cell r="K28">
            <v>1</v>
          </cell>
          <cell r="L28">
            <v>20061231</v>
          </cell>
          <cell r="M28">
            <v>1.2250000000000001</v>
          </cell>
          <cell r="N28">
            <v>20070216</v>
          </cell>
        </row>
        <row r="29">
          <cell r="A29" t="str">
            <v>OTTR</v>
          </cell>
          <cell r="B29" t="str">
            <v>OTTR</v>
          </cell>
          <cell r="C29" t="str">
            <v>OTTER TAIL CORP.</v>
          </cell>
          <cell r="D29">
            <v>20061214</v>
          </cell>
          <cell r="E29" t="str">
            <v>EPS</v>
          </cell>
          <cell r="F29" t="str">
            <v>ANN</v>
          </cell>
          <cell r="G29">
            <v>1</v>
          </cell>
          <cell r="H29">
            <v>4</v>
          </cell>
          <cell r="I29">
            <v>1.67</v>
          </cell>
          <cell r="J29">
            <v>1.68</v>
          </cell>
          <cell r="K29">
            <v>1</v>
          </cell>
          <cell r="L29">
            <v>20061231</v>
          </cell>
          <cell r="M29">
            <v>1.69</v>
          </cell>
          <cell r="N29">
            <v>20070205</v>
          </cell>
        </row>
        <row r="30">
          <cell r="A30" t="str">
            <v>PCG</v>
          </cell>
          <cell r="B30" t="str">
            <v>PCG</v>
          </cell>
          <cell r="C30" t="str">
            <v>P G &amp; E CORP</v>
          </cell>
          <cell r="D30">
            <v>20061214</v>
          </cell>
          <cell r="E30" t="str">
            <v>EPS</v>
          </cell>
          <cell r="F30" t="str">
            <v>ANN</v>
          </cell>
          <cell r="G30">
            <v>1</v>
          </cell>
          <cell r="H30">
            <v>15</v>
          </cell>
          <cell r="I30">
            <v>2.5299999999999998</v>
          </cell>
          <cell r="J30">
            <v>2.52</v>
          </cell>
          <cell r="K30">
            <v>1</v>
          </cell>
          <cell r="L30">
            <v>20061231</v>
          </cell>
          <cell r="M30">
            <v>2.57</v>
          </cell>
          <cell r="N30">
            <v>20070222</v>
          </cell>
        </row>
        <row r="31">
          <cell r="A31" t="str">
            <v>EXC</v>
          </cell>
          <cell r="B31" t="str">
            <v>PE</v>
          </cell>
          <cell r="C31" t="str">
            <v>EXELON CORP</v>
          </cell>
          <cell r="D31">
            <v>20061214</v>
          </cell>
          <cell r="E31" t="str">
            <v>EPS</v>
          </cell>
          <cell r="F31" t="str">
            <v>ANN</v>
          </cell>
          <cell r="G31">
            <v>1</v>
          </cell>
          <cell r="H31">
            <v>17</v>
          </cell>
          <cell r="I31">
            <v>3.3</v>
          </cell>
          <cell r="J31">
            <v>3.29</v>
          </cell>
          <cell r="K31">
            <v>1</v>
          </cell>
          <cell r="L31">
            <v>20061231</v>
          </cell>
          <cell r="M31">
            <v>3.22</v>
          </cell>
          <cell r="N31">
            <v>20070124</v>
          </cell>
        </row>
        <row r="32">
          <cell r="A32" t="str">
            <v>PEG</v>
          </cell>
          <cell r="B32" t="str">
            <v>PEG</v>
          </cell>
          <cell r="C32" t="str">
            <v>PUB SVC ENTERS</v>
          </cell>
          <cell r="D32">
            <v>20061214</v>
          </cell>
          <cell r="E32" t="str">
            <v>EPS</v>
          </cell>
          <cell r="F32" t="str">
            <v>ANN</v>
          </cell>
          <cell r="G32">
            <v>1</v>
          </cell>
          <cell r="H32">
            <v>6</v>
          </cell>
          <cell r="I32">
            <v>1.84</v>
          </cell>
          <cell r="J32">
            <v>1.84</v>
          </cell>
          <cell r="K32">
            <v>1</v>
          </cell>
          <cell r="L32">
            <v>20061231</v>
          </cell>
          <cell r="M32">
            <v>1.82</v>
          </cell>
          <cell r="N32">
            <v>20070131</v>
          </cell>
        </row>
        <row r="33">
          <cell r="A33" t="str">
            <v>PNM</v>
          </cell>
          <cell r="B33" t="str">
            <v>PNM</v>
          </cell>
          <cell r="C33" t="str">
            <v>PNM RESOURCES</v>
          </cell>
          <cell r="D33">
            <v>20061214</v>
          </cell>
          <cell r="E33" t="str">
            <v>EPS</v>
          </cell>
          <cell r="F33" t="str">
            <v>ANN</v>
          </cell>
          <cell r="G33">
            <v>1</v>
          </cell>
          <cell r="H33">
            <v>7</v>
          </cell>
          <cell r="I33">
            <v>1.75</v>
          </cell>
          <cell r="J33">
            <v>1.78</v>
          </cell>
          <cell r="K33">
            <v>1</v>
          </cell>
          <cell r="L33">
            <v>20061231</v>
          </cell>
          <cell r="M33">
            <v>1.8</v>
          </cell>
          <cell r="N33">
            <v>20070213</v>
          </cell>
        </row>
        <row r="34">
          <cell r="A34" t="str">
            <v>POM</v>
          </cell>
          <cell r="B34" t="str">
            <v>POM</v>
          </cell>
          <cell r="C34" t="str">
            <v>PEPCO HOLDINGS</v>
          </cell>
          <cell r="D34">
            <v>20061214</v>
          </cell>
          <cell r="E34" t="str">
            <v>EPS</v>
          </cell>
          <cell r="F34" t="str">
            <v>ANN</v>
          </cell>
          <cell r="G34">
            <v>1</v>
          </cell>
          <cell r="H34">
            <v>10</v>
          </cell>
          <cell r="I34">
            <v>1.36</v>
          </cell>
          <cell r="J34">
            <v>1.4</v>
          </cell>
          <cell r="K34">
            <v>1</v>
          </cell>
          <cell r="L34">
            <v>20061231</v>
          </cell>
          <cell r="M34">
            <v>1.33</v>
          </cell>
          <cell r="N34">
            <v>20070301</v>
          </cell>
        </row>
        <row r="35">
          <cell r="A35" t="str">
            <v>POR</v>
          </cell>
          <cell r="B35" t="str">
            <v>PORO</v>
          </cell>
          <cell r="C35" t="str">
            <v>PORTLAND GENERAL</v>
          </cell>
          <cell r="D35">
            <v>20061214</v>
          </cell>
          <cell r="E35" t="str">
            <v>EPS</v>
          </cell>
          <cell r="F35" t="str">
            <v>ANN</v>
          </cell>
          <cell r="G35">
            <v>1</v>
          </cell>
          <cell r="H35">
            <v>6</v>
          </cell>
          <cell r="I35">
            <v>0.92</v>
          </cell>
          <cell r="J35">
            <v>0.98</v>
          </cell>
          <cell r="K35">
            <v>1</v>
          </cell>
          <cell r="L35">
            <v>20061231</v>
          </cell>
          <cell r="M35">
            <v>1.1399999999999999</v>
          </cell>
          <cell r="N35">
            <v>20070301</v>
          </cell>
        </row>
        <row r="36">
          <cell r="A36" t="str">
            <v>PPL</v>
          </cell>
          <cell r="B36" t="str">
            <v>PPL</v>
          </cell>
          <cell r="C36" t="str">
            <v>PP&amp;L CORP</v>
          </cell>
          <cell r="D36">
            <v>20061214</v>
          </cell>
          <cell r="E36" t="str">
            <v>EPS</v>
          </cell>
          <cell r="F36" t="str">
            <v>ANN</v>
          </cell>
          <cell r="G36">
            <v>1</v>
          </cell>
          <cell r="H36">
            <v>7</v>
          </cell>
          <cell r="I36">
            <v>2.25</v>
          </cell>
          <cell r="J36">
            <v>2.25</v>
          </cell>
          <cell r="K36">
            <v>1</v>
          </cell>
          <cell r="L36">
            <v>20061231</v>
          </cell>
          <cell r="M36">
            <v>2.2200000000000002</v>
          </cell>
          <cell r="N36">
            <v>20070201</v>
          </cell>
        </row>
        <row r="37">
          <cell r="A37" t="str">
            <v>PSD</v>
          </cell>
          <cell r="B37" t="str">
            <v>PSD</v>
          </cell>
          <cell r="C37" t="str">
            <v>PUGET ENERGY INC</v>
          </cell>
          <cell r="D37">
            <v>20061214</v>
          </cell>
          <cell r="E37" t="str">
            <v>EPS</v>
          </cell>
          <cell r="F37" t="str">
            <v>ANN</v>
          </cell>
          <cell r="G37">
            <v>1</v>
          </cell>
          <cell r="H37">
            <v>7</v>
          </cell>
          <cell r="I37">
            <v>1.5</v>
          </cell>
          <cell r="J37">
            <v>1.49</v>
          </cell>
          <cell r="K37">
            <v>1</v>
          </cell>
          <cell r="L37">
            <v>20061231</v>
          </cell>
          <cell r="M37">
            <v>1.52</v>
          </cell>
          <cell r="N37">
            <v>20070206</v>
          </cell>
        </row>
        <row r="38">
          <cell r="A38" t="str">
            <v>EIX</v>
          </cell>
          <cell r="B38" t="str">
            <v>SCE</v>
          </cell>
          <cell r="C38" t="str">
            <v>EDISON INTL</v>
          </cell>
          <cell r="D38">
            <v>20061214</v>
          </cell>
          <cell r="E38" t="str">
            <v>EPS</v>
          </cell>
          <cell r="F38" t="str">
            <v>ANN</v>
          </cell>
          <cell r="G38">
            <v>1</v>
          </cell>
          <cell r="H38">
            <v>12</v>
          </cell>
          <cell r="I38">
            <v>2.9</v>
          </cell>
          <cell r="J38">
            <v>2.92</v>
          </cell>
          <cell r="K38">
            <v>1</v>
          </cell>
          <cell r="L38">
            <v>20061231</v>
          </cell>
          <cell r="M38">
            <v>3.07</v>
          </cell>
          <cell r="N38">
            <v>20070228</v>
          </cell>
        </row>
        <row r="39">
          <cell r="A39" t="str">
            <v>SCG</v>
          </cell>
          <cell r="B39" t="str">
            <v>SCG</v>
          </cell>
          <cell r="C39" t="str">
            <v>SCANA CP</v>
          </cell>
          <cell r="D39">
            <v>20061214</v>
          </cell>
          <cell r="E39" t="str">
            <v>EPS</v>
          </cell>
          <cell r="F39" t="str">
            <v>ANN</v>
          </cell>
          <cell r="G39">
            <v>1</v>
          </cell>
          <cell r="H39">
            <v>6</v>
          </cell>
          <cell r="I39">
            <v>2.7</v>
          </cell>
          <cell r="J39">
            <v>2.71</v>
          </cell>
          <cell r="K39">
            <v>1</v>
          </cell>
          <cell r="L39">
            <v>20061231</v>
          </cell>
          <cell r="M39">
            <v>2.59</v>
          </cell>
          <cell r="N39">
            <v>20070209</v>
          </cell>
        </row>
        <row r="40">
          <cell r="A40" t="str">
            <v>SRE</v>
          </cell>
          <cell r="B40" t="str">
            <v>SDO</v>
          </cell>
          <cell r="C40" t="str">
            <v>SEMPRA ENERGY</v>
          </cell>
          <cell r="D40">
            <v>20061214</v>
          </cell>
          <cell r="E40" t="str">
            <v>EPS</v>
          </cell>
          <cell r="F40" t="str">
            <v>ANN</v>
          </cell>
          <cell r="G40">
            <v>1</v>
          </cell>
          <cell r="H40">
            <v>4</v>
          </cell>
          <cell r="I40">
            <v>3.67</v>
          </cell>
          <cell r="J40">
            <v>3.65</v>
          </cell>
          <cell r="K40">
            <v>1</v>
          </cell>
          <cell r="L40">
            <v>20061231</v>
          </cell>
          <cell r="M40">
            <v>4.24</v>
          </cell>
          <cell r="N40">
            <v>20070222</v>
          </cell>
        </row>
        <row r="41">
          <cell r="A41" t="str">
            <v>VVC</v>
          </cell>
          <cell r="B41" t="str">
            <v>SIG</v>
          </cell>
          <cell r="C41" t="str">
            <v>VECTREN CORP</v>
          </cell>
          <cell r="D41">
            <v>20061214</v>
          </cell>
          <cell r="E41" t="str">
            <v>EPS</v>
          </cell>
          <cell r="F41" t="str">
            <v>ANN</v>
          </cell>
          <cell r="G41">
            <v>1</v>
          </cell>
          <cell r="H41">
            <v>4</v>
          </cell>
          <cell r="I41">
            <v>1.57</v>
          </cell>
          <cell r="J41">
            <v>1.58</v>
          </cell>
          <cell r="K41">
            <v>1</v>
          </cell>
          <cell r="L41">
            <v>20061231</v>
          </cell>
          <cell r="M41">
            <v>1.53</v>
          </cell>
          <cell r="N41">
            <v>20070131</v>
          </cell>
        </row>
        <row r="42">
          <cell r="A42" t="str">
            <v>SO</v>
          </cell>
          <cell r="B42" t="str">
            <v>SO</v>
          </cell>
          <cell r="C42" t="str">
            <v>SOUTHN CO</v>
          </cell>
          <cell r="D42">
            <v>20061214</v>
          </cell>
          <cell r="E42" t="str">
            <v>EPS</v>
          </cell>
          <cell r="F42" t="str">
            <v>ANN</v>
          </cell>
          <cell r="G42">
            <v>1</v>
          </cell>
          <cell r="H42">
            <v>19</v>
          </cell>
          <cell r="I42">
            <v>2.09</v>
          </cell>
          <cell r="J42">
            <v>2.09</v>
          </cell>
          <cell r="K42">
            <v>1</v>
          </cell>
          <cell r="L42">
            <v>20061231</v>
          </cell>
          <cell r="M42">
            <v>2.1</v>
          </cell>
          <cell r="N42">
            <v>20070125</v>
          </cell>
        </row>
        <row r="43">
          <cell r="A43" t="str">
            <v>TE</v>
          </cell>
          <cell r="B43" t="str">
            <v>TE</v>
          </cell>
          <cell r="C43" t="str">
            <v>TECO ENERGY INC</v>
          </cell>
          <cell r="D43">
            <v>20061214</v>
          </cell>
          <cell r="E43" t="str">
            <v>EPS</v>
          </cell>
          <cell r="F43" t="str">
            <v>ANN</v>
          </cell>
          <cell r="G43">
            <v>1</v>
          </cell>
          <cell r="H43">
            <v>9</v>
          </cell>
          <cell r="I43">
            <v>0.95</v>
          </cell>
          <cell r="J43">
            <v>0.98</v>
          </cell>
          <cell r="K43">
            <v>1</v>
          </cell>
          <cell r="L43">
            <v>20061231</v>
          </cell>
          <cell r="M43">
            <v>1</v>
          </cell>
          <cell r="N43">
            <v>20070206</v>
          </cell>
        </row>
        <row r="44">
          <cell r="A44" t="str">
            <v>AEE</v>
          </cell>
          <cell r="B44" t="str">
            <v>UEP</v>
          </cell>
          <cell r="C44" t="str">
            <v>AMEREN CP</v>
          </cell>
          <cell r="D44">
            <v>20061214</v>
          </cell>
          <cell r="E44" t="str">
            <v>EPS</v>
          </cell>
          <cell r="F44" t="str">
            <v>ANN</v>
          </cell>
          <cell r="G44">
            <v>1</v>
          </cell>
          <cell r="H44">
            <v>5</v>
          </cell>
          <cell r="I44">
            <v>2.75</v>
          </cell>
          <cell r="J44">
            <v>2.8</v>
          </cell>
          <cell r="K44">
            <v>1</v>
          </cell>
          <cell r="L44">
            <v>20061231</v>
          </cell>
          <cell r="M44">
            <v>2.79</v>
          </cell>
          <cell r="N44">
            <v>20070215</v>
          </cell>
        </row>
        <row r="45">
          <cell r="A45" t="str">
            <v>UIL</v>
          </cell>
          <cell r="B45" t="str">
            <v>UIL</v>
          </cell>
          <cell r="C45" t="str">
            <v>UIL HOLDING CORP</v>
          </cell>
          <cell r="D45">
            <v>20061214</v>
          </cell>
          <cell r="E45" t="str">
            <v>EPS</v>
          </cell>
          <cell r="F45" t="str">
            <v>ANN</v>
          </cell>
          <cell r="G45">
            <v>1</v>
          </cell>
          <cell r="H45">
            <v>2</v>
          </cell>
          <cell r="I45">
            <v>1.71</v>
          </cell>
          <cell r="J45">
            <v>1.71</v>
          </cell>
          <cell r="K45">
            <v>1</v>
          </cell>
          <cell r="L45">
            <v>20061231</v>
          </cell>
          <cell r="M45">
            <v>1.57</v>
          </cell>
          <cell r="N45">
            <v>20070220</v>
          </cell>
        </row>
        <row r="46">
          <cell r="A46" t="str">
            <v>WEC</v>
          </cell>
          <cell r="B46" t="str">
            <v>WPC</v>
          </cell>
          <cell r="C46" t="str">
            <v>WISCONSIN ENERGY</v>
          </cell>
          <cell r="D46">
            <v>20061214</v>
          </cell>
          <cell r="E46" t="str">
            <v>EPS</v>
          </cell>
          <cell r="F46" t="str">
            <v>ANN</v>
          </cell>
          <cell r="G46">
            <v>1</v>
          </cell>
          <cell r="H46">
            <v>12</v>
          </cell>
          <cell r="I46">
            <v>1.28</v>
          </cell>
          <cell r="J46">
            <v>1.29</v>
          </cell>
          <cell r="K46">
            <v>1</v>
          </cell>
          <cell r="L46">
            <v>20061231</v>
          </cell>
          <cell r="M46">
            <v>1.29</v>
          </cell>
          <cell r="N46">
            <v>20070207</v>
          </cell>
        </row>
        <row r="47">
          <cell r="A47" t="str">
            <v>LNT</v>
          </cell>
          <cell r="B47" t="str">
            <v>WPL</v>
          </cell>
          <cell r="C47" t="str">
            <v>ALLIANT ENER</v>
          </cell>
          <cell r="D47">
            <v>20061214</v>
          </cell>
          <cell r="E47" t="str">
            <v>EPS</v>
          </cell>
          <cell r="F47" t="str">
            <v>ANN</v>
          </cell>
          <cell r="G47">
            <v>1</v>
          </cell>
          <cell r="H47">
            <v>2</v>
          </cell>
          <cell r="I47">
            <v>1.1299999999999999</v>
          </cell>
          <cell r="J47">
            <v>1.1299999999999999</v>
          </cell>
          <cell r="K47">
            <v>1</v>
          </cell>
          <cell r="L47">
            <v>20061231</v>
          </cell>
          <cell r="M47">
            <v>1.0900000000000001</v>
          </cell>
          <cell r="N47">
            <v>20070208</v>
          </cell>
        </row>
        <row r="48">
          <cell r="A48" t="str">
            <v>WPS</v>
          </cell>
          <cell r="B48" t="str">
            <v>WPS</v>
          </cell>
          <cell r="C48" t="str">
            <v>WPS RESOURCES CP</v>
          </cell>
          <cell r="D48">
            <v>20061214</v>
          </cell>
          <cell r="E48" t="str">
            <v>EPS</v>
          </cell>
          <cell r="F48" t="str">
            <v>ANN</v>
          </cell>
          <cell r="G48">
            <v>1</v>
          </cell>
          <cell r="H48">
            <v>4</v>
          </cell>
          <cell r="I48">
            <v>3.77</v>
          </cell>
          <cell r="J48">
            <v>3.78</v>
          </cell>
          <cell r="K48">
            <v>1</v>
          </cell>
          <cell r="L48">
            <v>20061231</v>
          </cell>
          <cell r="M48">
            <v>3.67</v>
          </cell>
          <cell r="N48">
            <v>20070131</v>
          </cell>
        </row>
        <row r="49">
          <cell r="A49" t="str">
            <v>AVA</v>
          </cell>
          <cell r="B49" t="str">
            <v>WWP</v>
          </cell>
          <cell r="C49" t="str">
            <v>AVISTA CORP</v>
          </cell>
          <cell r="D49">
            <v>20061214</v>
          </cell>
          <cell r="E49" t="str">
            <v>EPS</v>
          </cell>
          <cell r="F49" t="str">
            <v>ANN</v>
          </cell>
          <cell r="G49">
            <v>1</v>
          </cell>
          <cell r="H49">
            <v>2</v>
          </cell>
          <cell r="I49">
            <v>1.46</v>
          </cell>
          <cell r="J49">
            <v>1.46</v>
          </cell>
          <cell r="K49">
            <v>1</v>
          </cell>
          <cell r="L49">
            <v>20061231</v>
          </cell>
          <cell r="M49">
            <v>1.47</v>
          </cell>
          <cell r="N49">
            <v>20070214</v>
          </cell>
        </row>
        <row r="50">
          <cell r="A50" t="str">
            <v>PPL</v>
          </cell>
          <cell r="B50" t="str">
            <v>@1XJ</v>
          </cell>
          <cell r="C50" t="str">
            <v>PUMPKIN PATCH LT</v>
          </cell>
          <cell r="D50">
            <v>20061214</v>
          </cell>
          <cell r="E50" t="str">
            <v>EPS</v>
          </cell>
          <cell r="F50" t="str">
            <v>ANN</v>
          </cell>
          <cell r="G50">
            <v>1</v>
          </cell>
          <cell r="H50">
            <v>6</v>
          </cell>
          <cell r="I50">
            <v>0.192</v>
          </cell>
          <cell r="J50">
            <v>0.193</v>
          </cell>
          <cell r="K50">
            <v>0</v>
          </cell>
          <cell r="L50">
            <v>20070731</v>
          </cell>
          <cell r="M50">
            <v>0.16700000000000001</v>
          </cell>
          <cell r="N50">
            <v>20070917</v>
          </cell>
        </row>
        <row r="51">
          <cell r="A51" t="str">
            <v>PPL</v>
          </cell>
          <cell r="B51" t="str">
            <v>@1Z1</v>
          </cell>
          <cell r="C51" t="str">
            <v>PPL</v>
          </cell>
          <cell r="D51">
            <v>20061214</v>
          </cell>
          <cell r="E51" t="str">
            <v>EPS</v>
          </cell>
          <cell r="F51" t="str">
            <v>ANN</v>
          </cell>
          <cell r="G51">
            <v>1</v>
          </cell>
          <cell r="H51">
            <v>1</v>
          </cell>
          <cell r="I51">
            <v>4.93</v>
          </cell>
          <cell r="J51">
            <v>4.93</v>
          </cell>
          <cell r="K51">
            <v>0</v>
          </cell>
          <cell r="L51">
            <v>20060630</v>
          </cell>
          <cell r="N51">
            <v>20060817</v>
          </cell>
        </row>
        <row r="52">
          <cell r="A52" t="str">
            <v>ETR</v>
          </cell>
          <cell r="B52" t="str">
            <v>@8EN</v>
          </cell>
          <cell r="C52" t="str">
            <v>ENTERPRISE</v>
          </cell>
          <cell r="D52">
            <v>20061214</v>
          </cell>
          <cell r="E52" t="str">
            <v>EPS</v>
          </cell>
          <cell r="F52" t="str">
            <v>ANN</v>
          </cell>
          <cell r="G52">
            <v>1</v>
          </cell>
          <cell r="H52">
            <v>5</v>
          </cell>
          <cell r="I52">
            <v>30.8</v>
          </cell>
          <cell r="J52">
            <v>30.91</v>
          </cell>
          <cell r="K52">
            <v>0</v>
          </cell>
          <cell r="L52">
            <v>20061231</v>
          </cell>
          <cell r="M52">
            <v>34.6</v>
          </cell>
          <cell r="N52">
            <v>20070323</v>
          </cell>
        </row>
        <row r="53">
          <cell r="A53" t="str">
            <v>AGR</v>
          </cell>
          <cell r="B53" t="str">
            <v>@8FV</v>
          </cell>
          <cell r="C53" t="str">
            <v>ABILITY GROUP AS</v>
          </cell>
          <cell r="D53">
            <v>20061214</v>
          </cell>
          <cell r="E53" t="str">
            <v>EPS</v>
          </cell>
          <cell r="F53" t="str">
            <v>ANN</v>
          </cell>
          <cell r="G53">
            <v>1</v>
          </cell>
          <cell r="H53">
            <v>1</v>
          </cell>
          <cell r="I53">
            <v>1.57</v>
          </cell>
          <cell r="J53">
            <v>1.57</v>
          </cell>
          <cell r="K53">
            <v>0</v>
          </cell>
          <cell r="L53">
            <v>20061231</v>
          </cell>
          <cell r="M53">
            <v>0.38650000000000001</v>
          </cell>
          <cell r="N53">
            <v>20070327</v>
          </cell>
        </row>
        <row r="54">
          <cell r="A54" t="str">
            <v>CNP</v>
          </cell>
          <cell r="B54" t="str">
            <v>@8PG</v>
          </cell>
          <cell r="C54" t="str">
            <v>CENTRO PROPERTIE</v>
          </cell>
          <cell r="D54">
            <v>20061214</v>
          </cell>
          <cell r="E54" t="str">
            <v>EPS</v>
          </cell>
          <cell r="F54" t="str">
            <v>ANN</v>
          </cell>
          <cell r="G54">
            <v>1</v>
          </cell>
          <cell r="H54">
            <v>7</v>
          </cell>
          <cell r="I54">
            <v>0.39500000000000002</v>
          </cell>
          <cell r="J54">
            <v>0.39300000000000002</v>
          </cell>
          <cell r="K54">
            <v>0</v>
          </cell>
          <cell r="L54">
            <v>20070630</v>
          </cell>
          <cell r="M54">
            <v>0.39800000000000002</v>
          </cell>
          <cell r="N54">
            <v>20070809</v>
          </cell>
        </row>
        <row r="55">
          <cell r="A55" t="str">
            <v>CNP</v>
          </cell>
          <cell r="B55" t="str">
            <v>@CN0</v>
          </cell>
          <cell r="C55" t="str">
            <v>CNP ASSURANCES</v>
          </cell>
          <cell r="D55">
            <v>20061214</v>
          </cell>
          <cell r="E55" t="str">
            <v>EPS</v>
          </cell>
          <cell r="F55" t="str">
            <v>ANN</v>
          </cell>
          <cell r="G55">
            <v>1</v>
          </cell>
          <cell r="H55">
            <v>15</v>
          </cell>
          <cell r="I55">
            <v>1.53</v>
          </cell>
          <cell r="J55">
            <v>1.57</v>
          </cell>
          <cell r="K55">
            <v>0</v>
          </cell>
          <cell r="L55">
            <v>20061231</v>
          </cell>
          <cell r="M55">
            <v>1.595</v>
          </cell>
          <cell r="N55">
            <v>20070320</v>
          </cell>
        </row>
        <row r="56">
          <cell r="A56" t="str">
            <v>SO</v>
          </cell>
          <cell r="B56" t="str">
            <v>@DAM</v>
          </cell>
          <cell r="C56" t="str">
            <v>SOMFY</v>
          </cell>
          <cell r="D56">
            <v>20061214</v>
          </cell>
          <cell r="E56" t="str">
            <v>EPS</v>
          </cell>
          <cell r="F56" t="str">
            <v>ANN</v>
          </cell>
          <cell r="G56">
            <v>1</v>
          </cell>
          <cell r="H56">
            <v>8</v>
          </cell>
          <cell r="I56">
            <v>2.4900000000000002</v>
          </cell>
          <cell r="J56">
            <v>2.74</v>
          </cell>
          <cell r="K56">
            <v>0</v>
          </cell>
          <cell r="L56">
            <v>20061231</v>
          </cell>
          <cell r="M56">
            <v>2.9140000000000001</v>
          </cell>
          <cell r="N56">
            <v>20070306</v>
          </cell>
        </row>
        <row r="57">
          <cell r="A57" t="str">
            <v>DTE</v>
          </cell>
          <cell r="B57" t="str">
            <v>@DT</v>
          </cell>
          <cell r="C57" t="str">
            <v>DEUTSCHE TELEKOM</v>
          </cell>
          <cell r="D57">
            <v>20061214</v>
          </cell>
          <cell r="E57" t="str">
            <v>EPS</v>
          </cell>
          <cell r="F57" t="str">
            <v>ANN</v>
          </cell>
          <cell r="G57">
            <v>1</v>
          </cell>
          <cell r="H57">
            <v>40</v>
          </cell>
          <cell r="I57">
            <v>0.92</v>
          </cell>
          <cell r="J57">
            <v>0.95</v>
          </cell>
          <cell r="K57">
            <v>0</v>
          </cell>
          <cell r="L57">
            <v>20061231</v>
          </cell>
          <cell r="M57">
            <v>0.74</v>
          </cell>
          <cell r="N57">
            <v>20070301</v>
          </cell>
        </row>
        <row r="58">
          <cell r="A58" t="str">
            <v>PCG</v>
          </cell>
          <cell r="B58" t="str">
            <v>@DTY</v>
          </cell>
          <cell r="C58" t="str">
            <v>PCH GROUP</v>
          </cell>
          <cell r="D58">
            <v>20061214</v>
          </cell>
          <cell r="E58" t="str">
            <v>EPS</v>
          </cell>
          <cell r="F58" t="str">
            <v>ANN</v>
          </cell>
          <cell r="G58">
            <v>1</v>
          </cell>
          <cell r="H58">
            <v>4</v>
          </cell>
          <cell r="I58">
            <v>6.2E-2</v>
          </cell>
          <cell r="J58">
            <v>6.3E-2</v>
          </cell>
          <cell r="K58">
            <v>0</v>
          </cell>
          <cell r="L58">
            <v>20070630</v>
          </cell>
          <cell r="M58">
            <v>5.0999999999999997E-2</v>
          </cell>
          <cell r="N58">
            <v>20070828</v>
          </cell>
        </row>
        <row r="59">
          <cell r="A59" t="str">
            <v>CMS</v>
          </cell>
          <cell r="B59" t="str">
            <v>@HMD</v>
          </cell>
          <cell r="C59" t="str">
            <v>CAHYA MATA SARA.</v>
          </cell>
          <cell r="D59">
            <v>20061214</v>
          </cell>
          <cell r="E59" t="str">
            <v>EPS</v>
          </cell>
          <cell r="F59" t="str">
            <v>ANN</v>
          </cell>
          <cell r="G59">
            <v>1</v>
          </cell>
          <cell r="H59">
            <v>1</v>
          </cell>
          <cell r="I59">
            <v>-0.03</v>
          </cell>
          <cell r="J59">
            <v>-0.03</v>
          </cell>
          <cell r="K59">
            <v>0</v>
          </cell>
          <cell r="L59">
            <v>20061231</v>
          </cell>
          <cell r="M59">
            <v>8.0000000000000002E-3</v>
          </cell>
          <cell r="N59">
            <v>20070228</v>
          </cell>
        </row>
        <row r="60">
          <cell r="A60" t="str">
            <v>PGN</v>
          </cell>
          <cell r="B60" t="str">
            <v>@J5W</v>
          </cell>
          <cell r="C60" t="str">
            <v>POLISH OIL &amp; GAS</v>
          </cell>
          <cell r="D60">
            <v>20061214</v>
          </cell>
          <cell r="E60" t="str">
            <v>EPS</v>
          </cell>
          <cell r="F60" t="str">
            <v>ANN</v>
          </cell>
          <cell r="G60">
            <v>1</v>
          </cell>
          <cell r="H60">
            <v>6</v>
          </cell>
          <cell r="I60">
            <v>0.2</v>
          </cell>
          <cell r="J60">
            <v>0.2</v>
          </cell>
          <cell r="K60">
            <v>0</v>
          </cell>
          <cell r="L60">
            <v>20061231</v>
          </cell>
          <cell r="M60">
            <v>0.20799999999999999</v>
          </cell>
          <cell r="N60">
            <v>20070215</v>
          </cell>
        </row>
        <row r="61">
          <cell r="A61" t="str">
            <v>ETR</v>
          </cell>
          <cell r="B61" t="str">
            <v>@NPD</v>
          </cell>
          <cell r="C61" t="str">
            <v>E*TRADE AUSTRALI</v>
          </cell>
          <cell r="D61">
            <v>20061214</v>
          </cell>
          <cell r="E61" t="str">
            <v>EPS</v>
          </cell>
          <cell r="F61" t="str">
            <v>ANN</v>
          </cell>
          <cell r="G61">
            <v>1</v>
          </cell>
          <cell r="H61">
            <v>1</v>
          </cell>
          <cell r="I61">
            <v>0.26500000000000001</v>
          </cell>
          <cell r="J61">
            <v>0.26500000000000001</v>
          </cell>
          <cell r="K61">
            <v>0</v>
          </cell>
          <cell r="L61">
            <v>20070630</v>
          </cell>
        </row>
        <row r="62">
          <cell r="A62" t="str">
            <v>NST</v>
          </cell>
          <cell r="B62" t="str">
            <v>@NST</v>
          </cell>
          <cell r="C62" t="str">
            <v>NEW STRAITS TIME</v>
          </cell>
          <cell r="D62">
            <v>20061214</v>
          </cell>
          <cell r="E62" t="str">
            <v>EPS</v>
          </cell>
          <cell r="F62" t="str">
            <v>ANN</v>
          </cell>
          <cell r="G62">
            <v>1</v>
          </cell>
          <cell r="H62">
            <v>12</v>
          </cell>
          <cell r="I62">
            <v>-4.2999999999999997E-2</v>
          </cell>
          <cell r="J62">
            <v>-0.20300000000000001</v>
          </cell>
          <cell r="K62">
            <v>0</v>
          </cell>
          <cell r="L62">
            <v>20061231</v>
          </cell>
          <cell r="M62">
            <v>0.113</v>
          </cell>
          <cell r="N62">
            <v>20070510</v>
          </cell>
        </row>
        <row r="63">
          <cell r="A63" t="str">
            <v>POM</v>
          </cell>
          <cell r="B63" t="str">
            <v>@PO8</v>
          </cell>
          <cell r="C63" t="str">
            <v>PLASTIC OMNIUM</v>
          </cell>
          <cell r="D63">
            <v>20061214</v>
          </cell>
          <cell r="E63" t="str">
            <v>EPS</v>
          </cell>
          <cell r="F63" t="str">
            <v>ANN</v>
          </cell>
          <cell r="G63">
            <v>1</v>
          </cell>
          <cell r="H63">
            <v>8</v>
          </cell>
          <cell r="I63">
            <v>0.34</v>
          </cell>
          <cell r="J63">
            <v>0.33</v>
          </cell>
          <cell r="K63">
            <v>0</v>
          </cell>
          <cell r="L63">
            <v>20061231</v>
          </cell>
          <cell r="M63">
            <v>0.29670000000000002</v>
          </cell>
          <cell r="N63">
            <v>20070313</v>
          </cell>
        </row>
        <row r="64">
          <cell r="A64" t="str">
            <v>PGN</v>
          </cell>
          <cell r="B64" t="str">
            <v>@QPA</v>
          </cell>
          <cell r="C64" t="str">
            <v>PARAGON</v>
          </cell>
          <cell r="D64">
            <v>20061214</v>
          </cell>
          <cell r="E64" t="str">
            <v>EPS</v>
          </cell>
          <cell r="F64" t="str">
            <v>ANN</v>
          </cell>
          <cell r="G64">
            <v>1</v>
          </cell>
          <cell r="H64">
            <v>1</v>
          </cell>
          <cell r="I64">
            <v>0.46</v>
          </cell>
          <cell r="J64">
            <v>0.46</v>
          </cell>
          <cell r="K64">
            <v>0</v>
          </cell>
          <cell r="L64">
            <v>20061231</v>
          </cell>
          <cell r="M64">
            <v>0.53800000000000003</v>
          </cell>
          <cell r="N64">
            <v>20070328</v>
          </cell>
        </row>
        <row r="65">
          <cell r="A65" t="str">
            <v>SRE</v>
          </cell>
          <cell r="B65" t="str">
            <v>@QT7</v>
          </cell>
          <cell r="C65" t="str">
            <v>ORG INFORMATICS</v>
          </cell>
          <cell r="D65">
            <v>20061214</v>
          </cell>
          <cell r="E65" t="str">
            <v>EPS</v>
          </cell>
          <cell r="F65" t="str">
            <v>ANN</v>
          </cell>
          <cell r="G65">
            <v>1</v>
          </cell>
          <cell r="H65">
            <v>1</v>
          </cell>
          <cell r="I65">
            <v>9.5</v>
          </cell>
          <cell r="J65">
            <v>9.5</v>
          </cell>
          <cell r="K65">
            <v>0</v>
          </cell>
          <cell r="L65">
            <v>20070331</v>
          </cell>
          <cell r="N65">
            <v>20070523</v>
          </cell>
        </row>
        <row r="66">
          <cell r="A66" t="str">
            <v>CNP</v>
          </cell>
          <cell r="B66" t="str">
            <v>@QYP</v>
          </cell>
          <cell r="C66" t="str">
            <v>CLINPHONE PLC</v>
          </cell>
          <cell r="D66">
            <v>20061214</v>
          </cell>
          <cell r="E66" t="str">
            <v>EPS</v>
          </cell>
          <cell r="F66" t="str">
            <v>ANN</v>
          </cell>
          <cell r="G66">
            <v>1</v>
          </cell>
          <cell r="H66">
            <v>1</v>
          </cell>
          <cell r="I66">
            <v>7.83</v>
          </cell>
          <cell r="J66">
            <v>7.83</v>
          </cell>
          <cell r="K66">
            <v>0</v>
          </cell>
          <cell r="L66">
            <v>20070228</v>
          </cell>
          <cell r="N66">
            <v>20080429</v>
          </cell>
        </row>
        <row r="67">
          <cell r="A67" t="str">
            <v>DTE</v>
          </cell>
          <cell r="B67" t="str">
            <v>@UIU</v>
          </cell>
          <cell r="C67" t="str">
            <v>DATONG ELECTRONI</v>
          </cell>
          <cell r="D67">
            <v>20061214</v>
          </cell>
          <cell r="E67" t="str">
            <v>EPS</v>
          </cell>
          <cell r="F67" t="str">
            <v>ANN</v>
          </cell>
          <cell r="G67">
            <v>1</v>
          </cell>
          <cell r="H67">
            <v>1</v>
          </cell>
          <cell r="I67">
            <v>8.23</v>
          </cell>
          <cell r="J67">
            <v>8.23</v>
          </cell>
          <cell r="K67">
            <v>0</v>
          </cell>
          <cell r="L67">
            <v>20070331</v>
          </cell>
          <cell r="M67">
            <v>8.9130000000000003</v>
          </cell>
          <cell r="N67">
            <v>20070626</v>
          </cell>
        </row>
        <row r="68">
          <cell r="A68" t="str">
            <v>AGR</v>
          </cell>
          <cell r="B68" t="str">
            <v>@V2M</v>
          </cell>
          <cell r="C68" t="str">
            <v>ASSURA GROUP</v>
          </cell>
          <cell r="D68">
            <v>20061214</v>
          </cell>
          <cell r="E68" t="str">
            <v>EPS</v>
          </cell>
          <cell r="F68" t="str">
            <v>ANN</v>
          </cell>
          <cell r="G68">
            <v>1</v>
          </cell>
          <cell r="H68">
            <v>1</v>
          </cell>
          <cell r="I68">
            <v>11.89</v>
          </cell>
          <cell r="J68">
            <v>11.89</v>
          </cell>
          <cell r="K68">
            <v>0</v>
          </cell>
          <cell r="L68">
            <v>20061231</v>
          </cell>
          <cell r="M68">
            <v>8.6195000000000004</v>
          </cell>
          <cell r="N68">
            <v>20070327</v>
          </cell>
        </row>
        <row r="69">
          <cell r="A69" t="str">
            <v>CIN</v>
          </cell>
          <cell r="B69" t="str">
            <v>@W1E</v>
          </cell>
          <cell r="C69" t="str">
            <v>CINTRA CONCESION</v>
          </cell>
          <cell r="D69">
            <v>20061214</v>
          </cell>
          <cell r="E69" t="str">
            <v>EPS</v>
          </cell>
          <cell r="F69" t="str">
            <v>ANN</v>
          </cell>
          <cell r="G69">
            <v>1</v>
          </cell>
          <cell r="H69">
            <v>16</v>
          </cell>
          <cell r="I69">
            <v>0.01</v>
          </cell>
          <cell r="J69">
            <v>0</v>
          </cell>
          <cell r="K69">
            <v>0</v>
          </cell>
          <cell r="L69">
            <v>20061231</v>
          </cell>
          <cell r="M69">
            <v>0.27389999999999998</v>
          </cell>
          <cell r="N69">
            <v>20070222</v>
          </cell>
        </row>
        <row r="70">
          <cell r="A70" t="str">
            <v>CMS</v>
          </cell>
          <cell r="B70" t="str">
            <v>@XJM</v>
          </cell>
          <cell r="C70" t="str">
            <v>COMMUNISIS PLC</v>
          </cell>
          <cell r="D70">
            <v>20061214</v>
          </cell>
          <cell r="E70" t="str">
            <v>EPS</v>
          </cell>
          <cell r="F70" t="str">
            <v>ANN</v>
          </cell>
          <cell r="G70">
            <v>1</v>
          </cell>
          <cell r="H70">
            <v>2</v>
          </cell>
          <cell r="I70">
            <v>7.26</v>
          </cell>
          <cell r="J70">
            <v>7.26</v>
          </cell>
          <cell r="K70">
            <v>0</v>
          </cell>
          <cell r="L70">
            <v>20061231</v>
          </cell>
          <cell r="M70">
            <v>5.7713999999999999</v>
          </cell>
          <cell r="N70">
            <v>20070228</v>
          </cell>
        </row>
        <row r="71">
          <cell r="A71" t="str">
            <v>CIN</v>
          </cell>
          <cell r="B71" t="str">
            <v>@YYN</v>
          </cell>
          <cell r="C71" t="str">
            <v>CIN</v>
          </cell>
          <cell r="D71">
            <v>20061214</v>
          </cell>
          <cell r="E71" t="str">
            <v>EPS</v>
          </cell>
          <cell r="F71" t="str">
            <v>ANN</v>
          </cell>
          <cell r="G71">
            <v>1</v>
          </cell>
          <cell r="H71">
            <v>1</v>
          </cell>
          <cell r="I71">
            <v>0.41</v>
          </cell>
          <cell r="J71">
            <v>0.41</v>
          </cell>
          <cell r="K71">
            <v>0</v>
          </cell>
          <cell r="L71">
            <v>20061231</v>
          </cell>
        </row>
        <row r="72">
          <cell r="A72" t="str">
            <v>EXC</v>
          </cell>
          <cell r="B72" t="str">
            <v>EXC1</v>
          </cell>
          <cell r="C72" t="str">
            <v>EXTREME CCTV</v>
          </cell>
          <cell r="D72">
            <v>20061214</v>
          </cell>
          <cell r="E72" t="str">
            <v>EPS</v>
          </cell>
          <cell r="F72" t="str">
            <v>ANN</v>
          </cell>
          <cell r="G72">
            <v>1</v>
          </cell>
          <cell r="H72">
            <v>2</v>
          </cell>
          <cell r="I72">
            <v>0.1</v>
          </cell>
          <cell r="J72">
            <v>0.1</v>
          </cell>
          <cell r="K72">
            <v>0</v>
          </cell>
          <cell r="L72">
            <v>20060930</v>
          </cell>
          <cell r="M72">
            <v>0.11</v>
          </cell>
          <cell r="N72">
            <v>20061214</v>
          </cell>
        </row>
        <row r="73">
          <cell r="A73" t="str">
            <v>POM</v>
          </cell>
          <cell r="B73" t="str">
            <v>POM1</v>
          </cell>
          <cell r="C73" t="str">
            <v>POLYMET MINING C</v>
          </cell>
          <cell r="D73">
            <v>20061214</v>
          </cell>
          <cell r="E73" t="str">
            <v>EPS</v>
          </cell>
          <cell r="F73" t="str">
            <v>ANN</v>
          </cell>
          <cell r="G73">
            <v>1</v>
          </cell>
          <cell r="H73">
            <v>1</v>
          </cell>
          <cell r="I73">
            <v>-0.3</v>
          </cell>
          <cell r="J73">
            <v>-0.3</v>
          </cell>
          <cell r="K73">
            <v>0</v>
          </cell>
          <cell r="L73">
            <v>20070131</v>
          </cell>
          <cell r="M73">
            <v>-1.8</v>
          </cell>
          <cell r="N73">
            <v>20070501</v>
          </cell>
        </row>
        <row r="74">
          <cell r="A74" t="str">
            <v>PSD</v>
          </cell>
          <cell r="B74" t="str">
            <v>PSD3</v>
          </cell>
          <cell r="C74" t="str">
            <v>PULSE DATA INC</v>
          </cell>
          <cell r="D74">
            <v>20061214</v>
          </cell>
          <cell r="E74" t="str">
            <v>EPS</v>
          </cell>
          <cell r="F74" t="str">
            <v>ANN</v>
          </cell>
          <cell r="G74">
            <v>1</v>
          </cell>
          <cell r="H74">
            <v>3</v>
          </cell>
          <cell r="I74">
            <v>-7.0000000000000007E-2</v>
          </cell>
          <cell r="J74">
            <v>-0.08</v>
          </cell>
          <cell r="K74">
            <v>0</v>
          </cell>
          <cell r="L74">
            <v>20061231</v>
          </cell>
          <cell r="M74">
            <v>-0.1</v>
          </cell>
          <cell r="N74">
            <v>20070319</v>
          </cell>
        </row>
        <row r="75">
          <cell r="A75" t="str">
            <v>SO</v>
          </cell>
          <cell r="B75" t="str">
            <v>SOCA</v>
          </cell>
          <cell r="C75" t="str">
            <v>SOFTCHOICE CORP</v>
          </cell>
          <cell r="D75">
            <v>20061214</v>
          </cell>
          <cell r="E75" t="str">
            <v>EPS</v>
          </cell>
          <cell r="F75" t="str">
            <v>ANN</v>
          </cell>
          <cell r="G75">
            <v>1</v>
          </cell>
          <cell r="H75">
            <v>3</v>
          </cell>
          <cell r="I75">
            <v>0.92</v>
          </cell>
          <cell r="J75">
            <v>0.91</v>
          </cell>
          <cell r="K75">
            <v>0</v>
          </cell>
          <cell r="L75">
            <v>20061231</v>
          </cell>
          <cell r="M75">
            <v>1.04</v>
          </cell>
          <cell r="N75">
            <v>20070212</v>
          </cell>
        </row>
      </sheetData>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RDS"/>
    </sheetNames>
    <sheetDataSet>
      <sheetData sheetId="0">
        <row r="1">
          <cell r="A1" t="str">
            <v>OFTIC</v>
          </cell>
          <cell r="B1" t="str">
            <v>IBES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USFIRM=0 if from .INT file and USFIRM=1 if from .US file</v>
          </cell>
          <cell r="M1" t="str">
            <v>Forecast Period End Date (SAS Format)</v>
          </cell>
          <cell r="N1" t="str">
            <v>Actual Value, from the Detail Actuals File</v>
          </cell>
          <cell r="O1" t="str">
            <v>Announce date of the Actual, from the Detail Actuals File</v>
          </cell>
        </row>
        <row r="2">
          <cell r="A2" t="str">
            <v>AGR</v>
          </cell>
          <cell r="B2" t="str">
            <v>AGRA</v>
          </cell>
          <cell r="C2" t="str">
            <v>AGERE SYSTEMS</v>
          </cell>
          <cell r="D2">
            <v>20061214</v>
          </cell>
          <cell r="E2" t="str">
            <v>EPS</v>
          </cell>
          <cell r="F2" t="str">
            <v>LTG</v>
          </cell>
          <cell r="G2">
            <v>0</v>
          </cell>
          <cell r="H2">
            <v>2</v>
          </cell>
          <cell r="I2">
            <v>15</v>
          </cell>
          <cell r="J2">
            <v>15</v>
          </cell>
          <cell r="K2">
            <v>7.07</v>
          </cell>
          <cell r="L2">
            <v>1</v>
          </cell>
        </row>
        <row r="3">
          <cell r="A3" t="str">
            <v>PNW</v>
          </cell>
          <cell r="B3" t="str">
            <v>AZP</v>
          </cell>
          <cell r="C3" t="str">
            <v>PINNACLE WST CAP</v>
          </cell>
          <cell r="D3">
            <v>20061214</v>
          </cell>
          <cell r="E3" t="str">
            <v>EPS</v>
          </cell>
          <cell r="F3" t="str">
            <v>LTG</v>
          </cell>
          <cell r="G3">
            <v>0</v>
          </cell>
          <cell r="H3">
            <v>3</v>
          </cell>
          <cell r="I3">
            <v>6</v>
          </cell>
          <cell r="J3">
            <v>5</v>
          </cell>
          <cell r="K3">
            <v>1.73</v>
          </cell>
          <cell r="L3">
            <v>1</v>
          </cell>
        </row>
        <row r="4">
          <cell r="A4" t="str">
            <v>CEG</v>
          </cell>
          <cell r="B4" t="str">
            <v>BGE</v>
          </cell>
          <cell r="C4" t="str">
            <v>CONSTELLATION EN</v>
          </cell>
          <cell r="D4">
            <v>20061214</v>
          </cell>
          <cell r="E4" t="str">
            <v>EPS</v>
          </cell>
          <cell r="F4" t="str">
            <v>LTG</v>
          </cell>
          <cell r="G4">
            <v>0</v>
          </cell>
          <cell r="H4">
            <v>3</v>
          </cell>
          <cell r="I4">
            <v>13</v>
          </cell>
          <cell r="J4">
            <v>12</v>
          </cell>
          <cell r="K4">
            <v>1.73</v>
          </cell>
          <cell r="L4">
            <v>1</v>
          </cell>
        </row>
        <row r="5">
          <cell r="A5" t="str">
            <v>BKH</v>
          </cell>
          <cell r="B5" t="str">
            <v>BHP</v>
          </cell>
          <cell r="C5" t="str">
            <v>BLACK HILLS CP</v>
          </cell>
          <cell r="D5">
            <v>20061214</v>
          </cell>
          <cell r="E5" t="str">
            <v>EPS</v>
          </cell>
          <cell r="F5" t="str">
            <v>LTG</v>
          </cell>
          <cell r="G5">
            <v>0</v>
          </cell>
          <cell r="H5">
            <v>2</v>
          </cell>
          <cell r="I5">
            <v>4.5</v>
          </cell>
          <cell r="J5">
            <v>4.5</v>
          </cell>
          <cell r="K5">
            <v>2.12</v>
          </cell>
          <cell r="L5">
            <v>1</v>
          </cell>
        </row>
        <row r="6">
          <cell r="A6" t="str">
            <v>NST</v>
          </cell>
          <cell r="B6" t="str">
            <v>BSE</v>
          </cell>
          <cell r="C6" t="str">
            <v>NSTAR</v>
          </cell>
          <cell r="D6">
            <v>20061214</v>
          </cell>
          <cell r="E6" t="str">
            <v>EPS</v>
          </cell>
          <cell r="F6" t="str">
            <v>LTG</v>
          </cell>
          <cell r="G6">
            <v>0</v>
          </cell>
          <cell r="H6">
            <v>3</v>
          </cell>
          <cell r="I6">
            <v>7</v>
          </cell>
          <cell r="J6">
            <v>6.33</v>
          </cell>
          <cell r="K6">
            <v>1.1499999999999999</v>
          </cell>
          <cell r="L6">
            <v>1</v>
          </cell>
        </row>
        <row r="7">
          <cell r="A7" t="str">
            <v>CMS</v>
          </cell>
          <cell r="B7" t="str">
            <v>CMS</v>
          </cell>
          <cell r="C7" t="str">
            <v>CMS ENERGY CORP</v>
          </cell>
          <cell r="D7">
            <v>20061214</v>
          </cell>
          <cell r="E7" t="str">
            <v>EPS</v>
          </cell>
          <cell r="F7" t="str">
            <v>LTG</v>
          </cell>
          <cell r="G7">
            <v>0</v>
          </cell>
          <cell r="H7">
            <v>3</v>
          </cell>
          <cell r="I7">
            <v>4</v>
          </cell>
          <cell r="J7">
            <v>5</v>
          </cell>
          <cell r="K7">
            <v>2.65</v>
          </cell>
          <cell r="L7">
            <v>1</v>
          </cell>
        </row>
        <row r="8">
          <cell r="A8" t="str">
            <v>CNL</v>
          </cell>
          <cell r="B8" t="str">
            <v>CNL</v>
          </cell>
          <cell r="C8" t="str">
            <v>CLECO CORP</v>
          </cell>
          <cell r="D8">
            <v>20061214</v>
          </cell>
          <cell r="E8" t="str">
            <v>EPS</v>
          </cell>
          <cell r="F8" t="str">
            <v>LTG</v>
          </cell>
          <cell r="G8">
            <v>0</v>
          </cell>
          <cell r="H8">
            <v>1</v>
          </cell>
          <cell r="I8">
            <v>9</v>
          </cell>
          <cell r="J8">
            <v>9</v>
          </cell>
          <cell r="L8">
            <v>1</v>
          </cell>
        </row>
        <row r="9">
          <cell r="A9" t="str">
            <v>PGN</v>
          </cell>
          <cell r="B9" t="str">
            <v>CPL</v>
          </cell>
          <cell r="C9" t="str">
            <v>PROGRESS ENERGY</v>
          </cell>
          <cell r="D9">
            <v>20061214</v>
          </cell>
          <cell r="E9" t="str">
            <v>EPS</v>
          </cell>
          <cell r="F9" t="str">
            <v>LTG</v>
          </cell>
          <cell r="G9">
            <v>0</v>
          </cell>
          <cell r="H9">
            <v>6</v>
          </cell>
          <cell r="I9">
            <v>4.5</v>
          </cell>
          <cell r="J9">
            <v>3.88</v>
          </cell>
          <cell r="K9">
            <v>1.5</v>
          </cell>
          <cell r="L9">
            <v>1</v>
          </cell>
        </row>
        <row r="10">
          <cell r="A10" t="str">
            <v>D</v>
          </cell>
          <cell r="B10" t="str">
            <v>D</v>
          </cell>
          <cell r="C10" t="str">
            <v>DOMINION RES INC</v>
          </cell>
          <cell r="D10">
            <v>20061214</v>
          </cell>
          <cell r="E10" t="str">
            <v>EPS</v>
          </cell>
          <cell r="F10" t="str">
            <v>LTG</v>
          </cell>
          <cell r="G10">
            <v>0</v>
          </cell>
          <cell r="H10">
            <v>2</v>
          </cell>
          <cell r="I10">
            <v>8.5</v>
          </cell>
          <cell r="J10">
            <v>8.5</v>
          </cell>
          <cell r="K10">
            <v>4.95</v>
          </cell>
          <cell r="L10">
            <v>1</v>
          </cell>
        </row>
        <row r="11">
          <cell r="A11" t="str">
            <v>DPL</v>
          </cell>
          <cell r="B11" t="str">
            <v>DPL</v>
          </cell>
          <cell r="C11" t="str">
            <v>DPL INC</v>
          </cell>
          <cell r="D11">
            <v>20061214</v>
          </cell>
          <cell r="E11" t="str">
            <v>EPS</v>
          </cell>
          <cell r="F11" t="str">
            <v>LTG</v>
          </cell>
          <cell r="G11">
            <v>0</v>
          </cell>
          <cell r="H11">
            <v>2</v>
          </cell>
          <cell r="I11">
            <v>7.5</v>
          </cell>
          <cell r="J11">
            <v>7.5</v>
          </cell>
          <cell r="K11">
            <v>3.54</v>
          </cell>
          <cell r="L11">
            <v>1</v>
          </cell>
        </row>
        <row r="12">
          <cell r="A12" t="str">
            <v>DTE</v>
          </cell>
          <cell r="B12" t="str">
            <v>DTE</v>
          </cell>
          <cell r="C12" t="str">
            <v>DTE ENERGY</v>
          </cell>
          <cell r="D12">
            <v>20061214</v>
          </cell>
          <cell r="E12" t="str">
            <v>EPS</v>
          </cell>
          <cell r="F12" t="str">
            <v>LTG</v>
          </cell>
          <cell r="G12">
            <v>0</v>
          </cell>
          <cell r="H12">
            <v>1</v>
          </cell>
          <cell r="I12">
            <v>5</v>
          </cell>
          <cell r="J12">
            <v>5</v>
          </cell>
          <cell r="L12">
            <v>1</v>
          </cell>
        </row>
        <row r="13">
          <cell r="A13" t="str">
            <v>DUK</v>
          </cell>
          <cell r="B13" t="str">
            <v>DUK</v>
          </cell>
          <cell r="C13" t="str">
            <v>DUKE ENERGY CORP</v>
          </cell>
          <cell r="D13">
            <v>20061214</v>
          </cell>
          <cell r="E13" t="str">
            <v>EPS</v>
          </cell>
          <cell r="F13" t="str">
            <v>LTG</v>
          </cell>
          <cell r="G13">
            <v>0</v>
          </cell>
          <cell r="H13">
            <v>3</v>
          </cell>
          <cell r="I13">
            <v>5</v>
          </cell>
          <cell r="J13">
            <v>6.33</v>
          </cell>
          <cell r="K13">
            <v>3.21</v>
          </cell>
          <cell r="L13">
            <v>1</v>
          </cell>
        </row>
        <row r="14">
          <cell r="A14" t="str">
            <v>ED</v>
          </cell>
          <cell r="B14" t="str">
            <v>ED</v>
          </cell>
          <cell r="C14" t="str">
            <v>CONSOLIDATED EDI</v>
          </cell>
          <cell r="D14">
            <v>20061214</v>
          </cell>
          <cell r="E14" t="str">
            <v>EPS</v>
          </cell>
          <cell r="F14" t="str">
            <v>LTG</v>
          </cell>
          <cell r="G14">
            <v>0</v>
          </cell>
          <cell r="H14">
            <v>6</v>
          </cell>
          <cell r="I14">
            <v>3</v>
          </cell>
          <cell r="J14">
            <v>3.01</v>
          </cell>
          <cell r="K14">
            <v>1.4</v>
          </cell>
          <cell r="L14">
            <v>1</v>
          </cell>
        </row>
        <row r="15">
          <cell r="A15" t="str">
            <v>EDE</v>
          </cell>
          <cell r="B15" t="str">
            <v>EDE</v>
          </cell>
          <cell r="C15" t="str">
            <v>EMPIRE DIST ELEC</v>
          </cell>
          <cell r="D15">
            <v>20061214</v>
          </cell>
          <cell r="E15" t="str">
            <v>EPS</v>
          </cell>
          <cell r="F15" t="str">
            <v>LTG</v>
          </cell>
          <cell r="G15">
            <v>0</v>
          </cell>
          <cell r="H15">
            <v>1</v>
          </cell>
          <cell r="I15">
            <v>6</v>
          </cell>
          <cell r="J15">
            <v>6</v>
          </cell>
          <cell r="L15">
            <v>1</v>
          </cell>
        </row>
        <row r="16">
          <cell r="A16" t="str">
            <v>FPL</v>
          </cell>
          <cell r="B16" t="str">
            <v>FPL</v>
          </cell>
          <cell r="C16" t="str">
            <v>FPL GROUP</v>
          </cell>
          <cell r="D16">
            <v>20061214</v>
          </cell>
          <cell r="E16" t="str">
            <v>EPS</v>
          </cell>
          <cell r="F16" t="str">
            <v>LTG</v>
          </cell>
          <cell r="G16">
            <v>0</v>
          </cell>
          <cell r="H16">
            <v>7</v>
          </cell>
          <cell r="I16">
            <v>8</v>
          </cell>
          <cell r="J16">
            <v>7.81</v>
          </cell>
          <cell r="K16">
            <v>2.46</v>
          </cell>
          <cell r="L16">
            <v>1</v>
          </cell>
        </row>
        <row r="17">
          <cell r="A17" t="str">
            <v>HE</v>
          </cell>
          <cell r="B17" t="str">
            <v>HE</v>
          </cell>
          <cell r="C17" t="str">
            <v>HAWAIIAN ELEC</v>
          </cell>
          <cell r="D17">
            <v>20061214</v>
          </cell>
          <cell r="E17" t="str">
            <v>EPS</v>
          </cell>
          <cell r="F17" t="str">
            <v>LTG</v>
          </cell>
          <cell r="G17">
            <v>0</v>
          </cell>
          <cell r="H17">
            <v>4</v>
          </cell>
          <cell r="I17">
            <v>3</v>
          </cell>
          <cell r="J17">
            <v>3.38</v>
          </cell>
          <cell r="K17">
            <v>1.1100000000000001</v>
          </cell>
          <cell r="L17">
            <v>1</v>
          </cell>
        </row>
        <row r="18">
          <cell r="A18" t="str">
            <v>CNP</v>
          </cell>
          <cell r="B18" t="str">
            <v>HOU</v>
          </cell>
          <cell r="C18" t="str">
            <v>CENTERPOINT ENER</v>
          </cell>
          <cell r="D18">
            <v>20061214</v>
          </cell>
          <cell r="E18" t="str">
            <v>EPS</v>
          </cell>
          <cell r="F18" t="str">
            <v>LTG</v>
          </cell>
          <cell r="G18">
            <v>0</v>
          </cell>
          <cell r="H18">
            <v>2</v>
          </cell>
          <cell r="I18">
            <v>10.5</v>
          </cell>
          <cell r="J18">
            <v>10.5</v>
          </cell>
          <cell r="K18">
            <v>10.61</v>
          </cell>
          <cell r="L18">
            <v>1</v>
          </cell>
        </row>
        <row r="19">
          <cell r="A19" t="str">
            <v>IDA</v>
          </cell>
          <cell r="B19" t="str">
            <v>IDA</v>
          </cell>
          <cell r="C19" t="str">
            <v>IDACORP INC.</v>
          </cell>
          <cell r="D19">
            <v>20061214</v>
          </cell>
          <cell r="E19" t="str">
            <v>EPS</v>
          </cell>
          <cell r="F19" t="str">
            <v>LTG</v>
          </cell>
          <cell r="G19">
            <v>0</v>
          </cell>
          <cell r="H19">
            <v>3</v>
          </cell>
          <cell r="I19">
            <v>5</v>
          </cell>
          <cell r="J19">
            <v>4.67</v>
          </cell>
          <cell r="K19">
            <v>0.57999999999999996</v>
          </cell>
          <cell r="L19">
            <v>1</v>
          </cell>
        </row>
        <row r="20">
          <cell r="A20" t="str">
            <v>WR</v>
          </cell>
          <cell r="B20" t="str">
            <v>KAN</v>
          </cell>
          <cell r="C20" t="str">
            <v>WESTAR ENERGY</v>
          </cell>
          <cell r="D20">
            <v>20061214</v>
          </cell>
          <cell r="E20" t="str">
            <v>EPS</v>
          </cell>
          <cell r="F20" t="str">
            <v>LTG</v>
          </cell>
          <cell r="G20">
            <v>0</v>
          </cell>
          <cell r="H20">
            <v>4</v>
          </cell>
          <cell r="I20">
            <v>3</v>
          </cell>
          <cell r="J20">
            <v>3.56</v>
          </cell>
          <cell r="K20">
            <v>2.15</v>
          </cell>
          <cell r="L20">
            <v>1</v>
          </cell>
        </row>
        <row r="21">
          <cell r="A21" t="str">
            <v>GXP</v>
          </cell>
          <cell r="B21" t="str">
            <v>KLT</v>
          </cell>
          <cell r="C21" t="str">
            <v>GREAT PLAINS</v>
          </cell>
          <cell r="D21">
            <v>20061214</v>
          </cell>
          <cell r="E21" t="str">
            <v>EPS</v>
          </cell>
          <cell r="F21" t="str">
            <v>LTG</v>
          </cell>
          <cell r="G21">
            <v>0</v>
          </cell>
          <cell r="H21">
            <v>3</v>
          </cell>
          <cell r="I21">
            <v>2</v>
          </cell>
          <cell r="J21">
            <v>1.84</v>
          </cell>
          <cell r="K21">
            <v>1.25</v>
          </cell>
          <cell r="L21">
            <v>1</v>
          </cell>
        </row>
        <row r="22">
          <cell r="A22" t="str">
            <v>ALE</v>
          </cell>
          <cell r="B22" t="str">
            <v>MPL</v>
          </cell>
          <cell r="C22" t="str">
            <v>ALLETE INC</v>
          </cell>
          <cell r="D22">
            <v>20061214</v>
          </cell>
          <cell r="E22" t="str">
            <v>EPS</v>
          </cell>
          <cell r="F22" t="str">
            <v>LTG</v>
          </cell>
          <cell r="G22">
            <v>0</v>
          </cell>
          <cell r="H22">
            <v>2</v>
          </cell>
          <cell r="I22">
            <v>8.5</v>
          </cell>
          <cell r="J22">
            <v>8.5</v>
          </cell>
          <cell r="K22">
            <v>4.95</v>
          </cell>
          <cell r="L22">
            <v>1</v>
          </cell>
        </row>
        <row r="23">
          <cell r="A23" t="str">
            <v>ETR</v>
          </cell>
          <cell r="B23" t="str">
            <v>MSU</v>
          </cell>
          <cell r="C23" t="str">
            <v>ENTERGY CP</v>
          </cell>
          <cell r="D23">
            <v>20061214</v>
          </cell>
          <cell r="E23" t="str">
            <v>EPS</v>
          </cell>
          <cell r="F23" t="str">
            <v>LTG</v>
          </cell>
          <cell r="G23">
            <v>0</v>
          </cell>
          <cell r="H23">
            <v>4</v>
          </cell>
          <cell r="I23">
            <v>8</v>
          </cell>
          <cell r="J23">
            <v>8.25</v>
          </cell>
          <cell r="K23">
            <v>1.26</v>
          </cell>
          <cell r="L23">
            <v>1</v>
          </cell>
        </row>
        <row r="24">
          <cell r="A24" t="str">
            <v>EAS</v>
          </cell>
          <cell r="B24" t="str">
            <v>NGE</v>
          </cell>
          <cell r="C24" t="str">
            <v>ENERGY EAST CORP</v>
          </cell>
          <cell r="D24">
            <v>20061214</v>
          </cell>
          <cell r="E24" t="str">
            <v>EPS</v>
          </cell>
          <cell r="F24" t="str">
            <v>LTG</v>
          </cell>
          <cell r="G24">
            <v>0</v>
          </cell>
          <cell r="H24">
            <v>2</v>
          </cell>
          <cell r="I24">
            <v>4.5</v>
          </cell>
          <cell r="J24">
            <v>4.5</v>
          </cell>
          <cell r="K24">
            <v>0.71</v>
          </cell>
          <cell r="L24">
            <v>1</v>
          </cell>
        </row>
        <row r="25">
          <cell r="A25" t="str">
            <v>XEL</v>
          </cell>
          <cell r="B25" t="str">
            <v>NSP</v>
          </cell>
          <cell r="C25" t="str">
            <v>XCEL ENERGY INC</v>
          </cell>
          <cell r="D25">
            <v>20061214</v>
          </cell>
          <cell r="E25" t="str">
            <v>EPS</v>
          </cell>
          <cell r="F25" t="str">
            <v>LTG</v>
          </cell>
          <cell r="G25">
            <v>0</v>
          </cell>
          <cell r="H25">
            <v>5</v>
          </cell>
          <cell r="I25">
            <v>6</v>
          </cell>
          <cell r="J25">
            <v>6.4</v>
          </cell>
          <cell r="K25">
            <v>1.52</v>
          </cell>
          <cell r="L25">
            <v>1</v>
          </cell>
        </row>
        <row r="26">
          <cell r="A26" t="str">
            <v>NU</v>
          </cell>
          <cell r="B26" t="str">
            <v>NU</v>
          </cell>
          <cell r="C26" t="str">
            <v>NORTHEAST UTILS</v>
          </cell>
          <cell r="D26">
            <v>20061214</v>
          </cell>
          <cell r="E26" t="str">
            <v>EPS</v>
          </cell>
          <cell r="F26" t="str">
            <v>LTG</v>
          </cell>
          <cell r="G26">
            <v>0</v>
          </cell>
          <cell r="H26">
            <v>5</v>
          </cell>
          <cell r="I26">
            <v>12</v>
          </cell>
          <cell r="J26">
            <v>11.4</v>
          </cell>
          <cell r="K26">
            <v>3.71</v>
          </cell>
          <cell r="L26">
            <v>1</v>
          </cell>
        </row>
        <row r="27">
          <cell r="A27" t="str">
            <v>FE</v>
          </cell>
          <cell r="B27" t="str">
            <v>OEC</v>
          </cell>
          <cell r="C27" t="str">
            <v>FIRSTENERGY CORP</v>
          </cell>
          <cell r="D27">
            <v>20061214</v>
          </cell>
          <cell r="E27" t="str">
            <v>EPS</v>
          </cell>
          <cell r="F27" t="str">
            <v>LTG</v>
          </cell>
          <cell r="G27">
            <v>0</v>
          </cell>
          <cell r="H27">
            <v>4</v>
          </cell>
          <cell r="I27">
            <v>5</v>
          </cell>
          <cell r="J27">
            <v>6.75</v>
          </cell>
          <cell r="K27">
            <v>3.5</v>
          </cell>
          <cell r="L27">
            <v>1</v>
          </cell>
        </row>
        <row r="28">
          <cell r="A28" t="str">
            <v>OTTR</v>
          </cell>
          <cell r="B28" t="str">
            <v>OTTR</v>
          </cell>
          <cell r="C28" t="str">
            <v>OTTER TAIL CORP.</v>
          </cell>
          <cell r="D28">
            <v>20061214</v>
          </cell>
          <cell r="E28" t="str">
            <v>EPS</v>
          </cell>
          <cell r="F28" t="str">
            <v>LTG</v>
          </cell>
          <cell r="G28">
            <v>0</v>
          </cell>
          <cell r="H28">
            <v>4</v>
          </cell>
          <cell r="I28">
            <v>5.5</v>
          </cell>
          <cell r="J28">
            <v>5.4</v>
          </cell>
          <cell r="K28">
            <v>1.1399999999999999</v>
          </cell>
          <cell r="L28">
            <v>1</v>
          </cell>
        </row>
        <row r="29">
          <cell r="A29" t="str">
            <v>PCG</v>
          </cell>
          <cell r="B29" t="str">
            <v>PCG</v>
          </cell>
          <cell r="C29" t="str">
            <v>P G &amp; E CORP</v>
          </cell>
          <cell r="D29">
            <v>20061214</v>
          </cell>
          <cell r="E29" t="str">
            <v>EPS</v>
          </cell>
          <cell r="F29" t="str">
            <v>LTG</v>
          </cell>
          <cell r="G29">
            <v>0</v>
          </cell>
          <cell r="H29">
            <v>4</v>
          </cell>
          <cell r="I29">
            <v>7.75</v>
          </cell>
          <cell r="J29">
            <v>7.79</v>
          </cell>
          <cell r="K29">
            <v>0.49</v>
          </cell>
          <cell r="L29">
            <v>1</v>
          </cell>
        </row>
        <row r="30">
          <cell r="A30" t="str">
            <v>EXC</v>
          </cell>
          <cell r="B30" t="str">
            <v>PE</v>
          </cell>
          <cell r="C30" t="str">
            <v>EXELON CORP</v>
          </cell>
          <cell r="D30">
            <v>20061214</v>
          </cell>
          <cell r="E30" t="str">
            <v>EPS</v>
          </cell>
          <cell r="F30" t="str">
            <v>LTG</v>
          </cell>
          <cell r="G30">
            <v>0</v>
          </cell>
          <cell r="H30">
            <v>6</v>
          </cell>
          <cell r="I30">
            <v>9.5</v>
          </cell>
          <cell r="J30">
            <v>10.58</v>
          </cell>
          <cell r="K30">
            <v>4.6100000000000003</v>
          </cell>
          <cell r="L30">
            <v>1</v>
          </cell>
        </row>
        <row r="31">
          <cell r="A31" t="str">
            <v>PEG</v>
          </cell>
          <cell r="B31" t="str">
            <v>PEG</v>
          </cell>
          <cell r="C31" t="str">
            <v>PUB SVC ENTERS</v>
          </cell>
          <cell r="D31">
            <v>20061214</v>
          </cell>
          <cell r="E31" t="str">
            <v>EPS</v>
          </cell>
          <cell r="F31" t="str">
            <v>LTG</v>
          </cell>
          <cell r="G31">
            <v>0</v>
          </cell>
          <cell r="H31">
            <v>2</v>
          </cell>
          <cell r="I31">
            <v>5</v>
          </cell>
          <cell r="J31">
            <v>5</v>
          </cell>
          <cell r="K31">
            <v>1.41</v>
          </cell>
          <cell r="L31">
            <v>1</v>
          </cell>
        </row>
        <row r="32">
          <cell r="A32" t="str">
            <v>PNM</v>
          </cell>
          <cell r="B32" t="str">
            <v>PNM</v>
          </cell>
          <cell r="C32" t="str">
            <v>PNM RESOURCES</v>
          </cell>
          <cell r="D32">
            <v>20061214</v>
          </cell>
          <cell r="E32" t="str">
            <v>EPS</v>
          </cell>
          <cell r="F32" t="str">
            <v>LTG</v>
          </cell>
          <cell r="G32">
            <v>0</v>
          </cell>
          <cell r="H32">
            <v>3</v>
          </cell>
          <cell r="I32">
            <v>12</v>
          </cell>
          <cell r="J32">
            <v>12.27</v>
          </cell>
          <cell r="K32">
            <v>6.4</v>
          </cell>
          <cell r="L32">
            <v>1</v>
          </cell>
        </row>
        <row r="33">
          <cell r="A33" t="str">
            <v>POM</v>
          </cell>
          <cell r="B33" t="str">
            <v>POM</v>
          </cell>
          <cell r="C33" t="str">
            <v>PEPCO HOLDINGS</v>
          </cell>
          <cell r="D33">
            <v>20061214</v>
          </cell>
          <cell r="E33" t="str">
            <v>EPS</v>
          </cell>
          <cell r="F33" t="str">
            <v>LTG</v>
          </cell>
          <cell r="G33">
            <v>0</v>
          </cell>
          <cell r="H33">
            <v>2</v>
          </cell>
          <cell r="I33">
            <v>8</v>
          </cell>
          <cell r="J33">
            <v>8</v>
          </cell>
          <cell r="K33">
            <v>5.66</v>
          </cell>
          <cell r="L33">
            <v>1</v>
          </cell>
        </row>
        <row r="34">
          <cell r="A34" t="str">
            <v>POR</v>
          </cell>
          <cell r="B34" t="str">
            <v>PORO</v>
          </cell>
          <cell r="C34" t="str">
            <v>PORTLAND GENERAL</v>
          </cell>
          <cell r="D34">
            <v>20061214</v>
          </cell>
          <cell r="E34" t="str">
            <v>EPS</v>
          </cell>
          <cell r="F34" t="str">
            <v>LTG</v>
          </cell>
          <cell r="G34">
            <v>0</v>
          </cell>
          <cell r="H34">
            <v>3</v>
          </cell>
          <cell r="I34">
            <v>6.17</v>
          </cell>
          <cell r="J34">
            <v>6.72</v>
          </cell>
          <cell r="K34">
            <v>3.04</v>
          </cell>
          <cell r="L34">
            <v>1</v>
          </cell>
        </row>
        <row r="35">
          <cell r="A35" t="str">
            <v>PPL</v>
          </cell>
          <cell r="B35" t="str">
            <v>PPL</v>
          </cell>
          <cell r="C35" t="str">
            <v>PP&amp;L CORP</v>
          </cell>
          <cell r="D35">
            <v>20061214</v>
          </cell>
          <cell r="E35" t="str">
            <v>EPS</v>
          </cell>
          <cell r="F35" t="str">
            <v>LTG</v>
          </cell>
          <cell r="G35">
            <v>0</v>
          </cell>
          <cell r="H35">
            <v>6</v>
          </cell>
          <cell r="I35">
            <v>10.5</v>
          </cell>
          <cell r="J35">
            <v>10.67</v>
          </cell>
          <cell r="K35">
            <v>3.01</v>
          </cell>
          <cell r="L35">
            <v>1</v>
          </cell>
        </row>
        <row r="36">
          <cell r="A36" t="str">
            <v>PSD</v>
          </cell>
          <cell r="B36" t="str">
            <v>PSD</v>
          </cell>
          <cell r="C36" t="str">
            <v>PUGET ENERGY INC</v>
          </cell>
          <cell r="D36">
            <v>20061214</v>
          </cell>
          <cell r="E36" t="str">
            <v>EPS</v>
          </cell>
          <cell r="F36" t="str">
            <v>LTG</v>
          </cell>
          <cell r="G36">
            <v>0</v>
          </cell>
          <cell r="H36">
            <v>3</v>
          </cell>
          <cell r="I36">
            <v>4</v>
          </cell>
          <cell r="J36">
            <v>4.83</v>
          </cell>
          <cell r="K36">
            <v>2.36</v>
          </cell>
          <cell r="L36">
            <v>1</v>
          </cell>
        </row>
        <row r="37">
          <cell r="A37" t="str">
            <v>EIX</v>
          </cell>
          <cell r="B37" t="str">
            <v>SCE</v>
          </cell>
          <cell r="C37" t="str">
            <v>EDISON INTL</v>
          </cell>
          <cell r="D37">
            <v>20061214</v>
          </cell>
          <cell r="E37" t="str">
            <v>EPS</v>
          </cell>
          <cell r="F37" t="str">
            <v>LTG</v>
          </cell>
          <cell r="G37">
            <v>0</v>
          </cell>
          <cell r="H37">
            <v>2</v>
          </cell>
          <cell r="I37">
            <v>6.5</v>
          </cell>
          <cell r="J37">
            <v>6.5</v>
          </cell>
          <cell r="K37">
            <v>0.71</v>
          </cell>
          <cell r="L37">
            <v>1</v>
          </cell>
        </row>
        <row r="38">
          <cell r="A38" t="str">
            <v>SCG</v>
          </cell>
          <cell r="B38" t="str">
            <v>SCG</v>
          </cell>
          <cell r="C38" t="str">
            <v>SCANA CP</v>
          </cell>
          <cell r="D38">
            <v>20061214</v>
          </cell>
          <cell r="E38" t="str">
            <v>EPS</v>
          </cell>
          <cell r="F38" t="str">
            <v>LTG</v>
          </cell>
          <cell r="G38">
            <v>0</v>
          </cell>
          <cell r="H38">
            <v>5</v>
          </cell>
          <cell r="I38">
            <v>5</v>
          </cell>
          <cell r="J38">
            <v>4.42</v>
          </cell>
          <cell r="K38">
            <v>0.85</v>
          </cell>
          <cell r="L38">
            <v>1</v>
          </cell>
        </row>
        <row r="39">
          <cell r="A39" t="str">
            <v>SRE</v>
          </cell>
          <cell r="B39" t="str">
            <v>SDO</v>
          </cell>
          <cell r="C39" t="str">
            <v>SEMPRA ENERGY</v>
          </cell>
          <cell r="D39">
            <v>20061214</v>
          </cell>
          <cell r="E39" t="str">
            <v>EPS</v>
          </cell>
          <cell r="F39" t="str">
            <v>LTG</v>
          </cell>
          <cell r="G39">
            <v>0</v>
          </cell>
          <cell r="H39">
            <v>3</v>
          </cell>
          <cell r="I39">
            <v>4.29</v>
          </cell>
          <cell r="J39">
            <v>5.7</v>
          </cell>
          <cell r="K39">
            <v>3.61</v>
          </cell>
          <cell r="L39">
            <v>1</v>
          </cell>
        </row>
        <row r="40">
          <cell r="A40" t="str">
            <v>VVC</v>
          </cell>
          <cell r="B40" t="str">
            <v>SIG</v>
          </cell>
          <cell r="C40" t="str">
            <v>VECTREN CORP</v>
          </cell>
          <cell r="D40">
            <v>20061214</v>
          </cell>
          <cell r="E40" t="str">
            <v>EPS</v>
          </cell>
          <cell r="F40" t="str">
            <v>LTG</v>
          </cell>
          <cell r="G40">
            <v>0</v>
          </cell>
          <cell r="H40">
            <v>2</v>
          </cell>
          <cell r="I40">
            <v>5.0999999999999996</v>
          </cell>
          <cell r="J40">
            <v>5.0999999999999996</v>
          </cell>
          <cell r="K40">
            <v>2.97</v>
          </cell>
          <cell r="L40">
            <v>1</v>
          </cell>
        </row>
        <row r="41">
          <cell r="A41" t="str">
            <v>SO</v>
          </cell>
          <cell r="B41" t="str">
            <v>SO</v>
          </cell>
          <cell r="C41" t="str">
            <v>SOUTHN CO</v>
          </cell>
          <cell r="D41">
            <v>20061214</v>
          </cell>
          <cell r="E41" t="str">
            <v>EPS</v>
          </cell>
          <cell r="F41" t="str">
            <v>LTG</v>
          </cell>
          <cell r="G41">
            <v>0</v>
          </cell>
          <cell r="H41">
            <v>7</v>
          </cell>
          <cell r="I41">
            <v>5</v>
          </cell>
          <cell r="J41">
            <v>5</v>
          </cell>
          <cell r="K41">
            <v>0.57999999999999996</v>
          </cell>
          <cell r="L41">
            <v>1</v>
          </cell>
        </row>
        <row r="42">
          <cell r="A42" t="str">
            <v>TE</v>
          </cell>
          <cell r="B42" t="str">
            <v>TE</v>
          </cell>
          <cell r="C42" t="str">
            <v>TECO ENERGY INC</v>
          </cell>
          <cell r="D42">
            <v>20061214</v>
          </cell>
          <cell r="E42" t="str">
            <v>EPS</v>
          </cell>
          <cell r="F42" t="str">
            <v>LTG</v>
          </cell>
          <cell r="G42">
            <v>0</v>
          </cell>
          <cell r="H42">
            <v>2</v>
          </cell>
          <cell r="I42">
            <v>3</v>
          </cell>
          <cell r="J42">
            <v>3</v>
          </cell>
          <cell r="K42">
            <v>0</v>
          </cell>
          <cell r="L42">
            <v>1</v>
          </cell>
        </row>
        <row r="43">
          <cell r="A43" t="str">
            <v>AEE</v>
          </cell>
          <cell r="B43" t="str">
            <v>UEP</v>
          </cell>
          <cell r="C43" t="str">
            <v>AMEREN CP</v>
          </cell>
          <cell r="D43">
            <v>20061214</v>
          </cell>
          <cell r="E43" t="str">
            <v>EPS</v>
          </cell>
          <cell r="F43" t="str">
            <v>LTG</v>
          </cell>
          <cell r="G43">
            <v>0</v>
          </cell>
          <cell r="H43">
            <v>4</v>
          </cell>
          <cell r="I43">
            <v>5</v>
          </cell>
          <cell r="J43">
            <v>6.25</v>
          </cell>
          <cell r="K43">
            <v>4.72</v>
          </cell>
          <cell r="L43">
            <v>1</v>
          </cell>
        </row>
        <row r="44">
          <cell r="A44" t="str">
            <v>UIL</v>
          </cell>
          <cell r="B44" t="str">
            <v>UIL</v>
          </cell>
          <cell r="C44" t="str">
            <v>UIL HOLDING CORP</v>
          </cell>
          <cell r="D44">
            <v>20061214</v>
          </cell>
          <cell r="E44" t="str">
            <v>EPS</v>
          </cell>
          <cell r="F44" t="str">
            <v>LTG</v>
          </cell>
          <cell r="G44">
            <v>0</v>
          </cell>
          <cell r="H44">
            <v>2</v>
          </cell>
          <cell r="I44">
            <v>13</v>
          </cell>
          <cell r="J44">
            <v>13</v>
          </cell>
          <cell r="K44">
            <v>7.07</v>
          </cell>
          <cell r="L44">
            <v>1</v>
          </cell>
        </row>
        <row r="45">
          <cell r="A45" t="str">
            <v>WEC</v>
          </cell>
          <cell r="B45" t="str">
            <v>WPC</v>
          </cell>
          <cell r="C45" t="str">
            <v>WISCONSIN ENERGY</v>
          </cell>
          <cell r="D45">
            <v>20061214</v>
          </cell>
          <cell r="E45" t="str">
            <v>EPS</v>
          </cell>
          <cell r="F45" t="str">
            <v>LTG</v>
          </cell>
          <cell r="G45">
            <v>0</v>
          </cell>
          <cell r="H45">
            <v>6</v>
          </cell>
          <cell r="I45">
            <v>8</v>
          </cell>
          <cell r="J45">
            <v>7.81</v>
          </cell>
          <cell r="K45">
            <v>2.4</v>
          </cell>
          <cell r="L45">
            <v>1</v>
          </cell>
        </row>
        <row r="46">
          <cell r="A46" t="str">
            <v>LNT</v>
          </cell>
          <cell r="B46" t="str">
            <v>WPL</v>
          </cell>
          <cell r="C46" t="str">
            <v>ALLIANT ENER</v>
          </cell>
          <cell r="D46">
            <v>20061214</v>
          </cell>
          <cell r="E46" t="str">
            <v>EPS</v>
          </cell>
          <cell r="F46" t="str">
            <v>LTG</v>
          </cell>
          <cell r="G46">
            <v>0</v>
          </cell>
          <cell r="H46">
            <v>1</v>
          </cell>
          <cell r="I46">
            <v>5</v>
          </cell>
          <cell r="J46">
            <v>5</v>
          </cell>
          <cell r="L46">
            <v>1</v>
          </cell>
        </row>
        <row r="47">
          <cell r="A47" t="str">
            <v>WPS</v>
          </cell>
          <cell r="B47" t="str">
            <v>WPS</v>
          </cell>
          <cell r="C47" t="str">
            <v>WPS RESOURCES CP</v>
          </cell>
          <cell r="D47">
            <v>20061214</v>
          </cell>
          <cell r="E47" t="str">
            <v>EPS</v>
          </cell>
          <cell r="F47" t="str">
            <v>LTG</v>
          </cell>
          <cell r="G47">
            <v>0</v>
          </cell>
          <cell r="H47">
            <v>2</v>
          </cell>
          <cell r="I47">
            <v>4.5</v>
          </cell>
          <cell r="J47">
            <v>4.5</v>
          </cell>
          <cell r="K47">
            <v>0.71</v>
          </cell>
          <cell r="L47">
            <v>1</v>
          </cell>
        </row>
        <row r="48">
          <cell r="A48" t="str">
            <v>AVA</v>
          </cell>
          <cell r="B48" t="str">
            <v>WWP</v>
          </cell>
          <cell r="C48" t="str">
            <v>AVISTA CORP</v>
          </cell>
          <cell r="D48">
            <v>20061214</v>
          </cell>
          <cell r="E48" t="str">
            <v>EPS</v>
          </cell>
          <cell r="F48" t="str">
            <v>LTG</v>
          </cell>
          <cell r="G48">
            <v>0</v>
          </cell>
          <cell r="H48">
            <v>2</v>
          </cell>
          <cell r="I48">
            <v>5.5</v>
          </cell>
          <cell r="J48">
            <v>5.5</v>
          </cell>
          <cell r="K48">
            <v>0.71</v>
          </cell>
          <cell r="L48">
            <v>1</v>
          </cell>
        </row>
        <row r="49">
          <cell r="A49" t="str">
            <v>PPL</v>
          </cell>
          <cell r="B49" t="str">
            <v>@1XJ</v>
          </cell>
          <cell r="C49" t="str">
            <v>PUMPKIN PATCH LT</v>
          </cell>
          <cell r="D49">
            <v>20061214</v>
          </cell>
          <cell r="E49" t="str">
            <v>EPS</v>
          </cell>
          <cell r="F49" t="str">
            <v>LTG</v>
          </cell>
          <cell r="G49">
            <v>0</v>
          </cell>
          <cell r="H49">
            <v>3</v>
          </cell>
          <cell r="I49">
            <v>14.15</v>
          </cell>
          <cell r="J49">
            <v>15.72</v>
          </cell>
          <cell r="K49">
            <v>3.75</v>
          </cell>
          <cell r="L49">
            <v>0</v>
          </cell>
        </row>
        <row r="50">
          <cell r="A50" t="str">
            <v>PPL</v>
          </cell>
          <cell r="B50" t="str">
            <v>@1Z1</v>
          </cell>
          <cell r="C50" t="str">
            <v>PPL</v>
          </cell>
          <cell r="D50">
            <v>20061214</v>
          </cell>
          <cell r="E50" t="str">
            <v>EPS</v>
          </cell>
          <cell r="F50" t="str">
            <v>LTG</v>
          </cell>
          <cell r="G50">
            <v>0</v>
          </cell>
          <cell r="H50">
            <v>1</v>
          </cell>
          <cell r="I50">
            <v>16</v>
          </cell>
          <cell r="J50">
            <v>16</v>
          </cell>
          <cell r="L50">
            <v>0</v>
          </cell>
        </row>
        <row r="51">
          <cell r="A51" t="str">
            <v>CNP</v>
          </cell>
          <cell r="B51" t="str">
            <v>@8PG</v>
          </cell>
          <cell r="C51" t="str">
            <v>CENTRO PROPERTIE</v>
          </cell>
          <cell r="D51">
            <v>20061214</v>
          </cell>
          <cell r="E51" t="str">
            <v>EPS</v>
          </cell>
          <cell r="F51" t="str">
            <v>LTG</v>
          </cell>
          <cell r="G51">
            <v>0</v>
          </cell>
          <cell r="H51">
            <v>2</v>
          </cell>
          <cell r="I51">
            <v>3.95</v>
          </cell>
          <cell r="J51">
            <v>3.95</v>
          </cell>
          <cell r="K51">
            <v>7.0000000000000007E-2</v>
          </cell>
          <cell r="L51">
            <v>0</v>
          </cell>
        </row>
        <row r="52">
          <cell r="A52" t="str">
            <v>CNP</v>
          </cell>
          <cell r="B52" t="str">
            <v>@CN0</v>
          </cell>
          <cell r="C52" t="str">
            <v>CNP ASSURANCES</v>
          </cell>
          <cell r="D52">
            <v>20061214</v>
          </cell>
          <cell r="E52" t="str">
            <v>EPS</v>
          </cell>
          <cell r="F52" t="str">
            <v>LTG</v>
          </cell>
          <cell r="G52">
            <v>0</v>
          </cell>
          <cell r="H52">
            <v>2</v>
          </cell>
          <cell r="I52">
            <v>2.5</v>
          </cell>
          <cell r="J52">
            <v>2.5</v>
          </cell>
          <cell r="K52">
            <v>0.71</v>
          </cell>
          <cell r="L52">
            <v>0</v>
          </cell>
        </row>
        <row r="53">
          <cell r="A53" t="str">
            <v>DTE</v>
          </cell>
          <cell r="B53" t="str">
            <v>@DT</v>
          </cell>
          <cell r="C53" t="str">
            <v>DEUTSCHE TELEKOM</v>
          </cell>
          <cell r="D53">
            <v>20061214</v>
          </cell>
          <cell r="E53" t="str">
            <v>EPS</v>
          </cell>
          <cell r="F53" t="str">
            <v>LTG</v>
          </cell>
          <cell r="G53">
            <v>0</v>
          </cell>
          <cell r="H53">
            <v>4</v>
          </cell>
          <cell r="I53">
            <v>-2.25</v>
          </cell>
          <cell r="J53">
            <v>0.71</v>
          </cell>
          <cell r="K53">
            <v>8.4600000000000009</v>
          </cell>
          <cell r="L53">
            <v>0</v>
          </cell>
        </row>
        <row r="54">
          <cell r="A54" t="str">
            <v>PCG</v>
          </cell>
          <cell r="B54" t="str">
            <v>@DTY</v>
          </cell>
          <cell r="C54" t="str">
            <v>PCH GROUP</v>
          </cell>
          <cell r="D54">
            <v>20061214</v>
          </cell>
          <cell r="E54" t="str">
            <v>EPS</v>
          </cell>
          <cell r="F54" t="str">
            <v>LTG</v>
          </cell>
          <cell r="G54">
            <v>0</v>
          </cell>
          <cell r="H54">
            <v>1</v>
          </cell>
          <cell r="I54">
            <v>-1</v>
          </cell>
          <cell r="J54">
            <v>-1</v>
          </cell>
          <cell r="L54">
            <v>0</v>
          </cell>
        </row>
        <row r="55">
          <cell r="A55" t="str">
            <v>PGN</v>
          </cell>
          <cell r="B55" t="str">
            <v>@J5W</v>
          </cell>
          <cell r="C55" t="str">
            <v>POLISH OIL &amp; GAS</v>
          </cell>
          <cell r="D55">
            <v>20061214</v>
          </cell>
          <cell r="E55" t="str">
            <v>EPS</v>
          </cell>
          <cell r="F55" t="str">
            <v>LTG</v>
          </cell>
          <cell r="G55">
            <v>0</v>
          </cell>
          <cell r="H55">
            <v>1</v>
          </cell>
          <cell r="I55">
            <v>9</v>
          </cell>
          <cell r="J55">
            <v>9</v>
          </cell>
          <cell r="L55">
            <v>0</v>
          </cell>
        </row>
        <row r="56">
          <cell r="A56" t="str">
            <v>ETR</v>
          </cell>
          <cell r="B56" t="str">
            <v>@NPD</v>
          </cell>
          <cell r="C56" t="str">
            <v>E*TRADE AUSTRALI</v>
          </cell>
          <cell r="D56">
            <v>20061214</v>
          </cell>
          <cell r="E56" t="str">
            <v>EPS</v>
          </cell>
          <cell r="F56" t="str">
            <v>LTG</v>
          </cell>
          <cell r="G56">
            <v>0</v>
          </cell>
          <cell r="H56">
            <v>1</v>
          </cell>
          <cell r="I56">
            <v>7.98</v>
          </cell>
          <cell r="J56">
            <v>7.98</v>
          </cell>
          <cell r="L56">
            <v>0</v>
          </cell>
        </row>
        <row r="57">
          <cell r="A57" t="str">
            <v>NST</v>
          </cell>
          <cell r="B57" t="str">
            <v>@NST</v>
          </cell>
          <cell r="C57" t="str">
            <v>NEW STRAITS TIME</v>
          </cell>
          <cell r="D57">
            <v>20061214</v>
          </cell>
          <cell r="E57" t="str">
            <v>EPS</v>
          </cell>
          <cell r="F57" t="str">
            <v>LTG</v>
          </cell>
          <cell r="G57">
            <v>0</v>
          </cell>
          <cell r="H57">
            <v>1</v>
          </cell>
          <cell r="I57">
            <v>1.1399999999999999</v>
          </cell>
          <cell r="J57">
            <v>1.1399999999999999</v>
          </cell>
          <cell r="L57">
            <v>0</v>
          </cell>
        </row>
        <row r="58">
          <cell r="A58" t="str">
            <v>POM</v>
          </cell>
          <cell r="B58" t="str">
            <v>@PO8</v>
          </cell>
          <cell r="C58" t="str">
            <v>PLASTIC OMNIUM</v>
          </cell>
          <cell r="D58">
            <v>20061214</v>
          </cell>
          <cell r="E58" t="str">
            <v>EPS</v>
          </cell>
          <cell r="F58" t="str">
            <v>LTG</v>
          </cell>
          <cell r="G58">
            <v>0</v>
          </cell>
          <cell r="H58">
            <v>1</v>
          </cell>
          <cell r="I58">
            <v>3</v>
          </cell>
          <cell r="J58">
            <v>3</v>
          </cell>
          <cell r="L58">
            <v>0</v>
          </cell>
        </row>
        <row r="59">
          <cell r="A59" t="str">
            <v>CIN</v>
          </cell>
          <cell r="B59" t="str">
            <v>@W1E</v>
          </cell>
          <cell r="C59" t="str">
            <v>CINTRA CONCESION</v>
          </cell>
          <cell r="D59">
            <v>20061214</v>
          </cell>
          <cell r="E59" t="str">
            <v>EPS</v>
          </cell>
          <cell r="F59" t="str">
            <v>LTG</v>
          </cell>
          <cell r="G59">
            <v>0</v>
          </cell>
          <cell r="H59">
            <v>1</v>
          </cell>
          <cell r="I59">
            <v>10</v>
          </cell>
          <cell r="J59">
            <v>10</v>
          </cell>
          <cell r="L59">
            <v>0</v>
          </cell>
        </row>
      </sheetData>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xtw8wkz92sncvl"/>
    </sheetNames>
    <sheetDataSet>
      <sheetData sheetId="0">
        <row r="1">
          <cell r="B1" t="str">
            <v>Official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USFIRM=0 if from .INT file and USFIRM=1 if from .US file</v>
          </cell>
          <cell r="M1" t="str">
            <v>Forecast Period End Date (SAS Format)</v>
          </cell>
          <cell r="N1" t="str">
            <v>Actual Value, from the Detail Actuals File</v>
          </cell>
          <cell r="O1" t="str">
            <v>Announce date of the Actual, from the Detail Actuals File</v>
          </cell>
        </row>
        <row r="2">
          <cell r="B2" t="str">
            <v>ATG</v>
          </cell>
          <cell r="C2" t="str">
            <v>AGL RESOURCES</v>
          </cell>
          <cell r="D2">
            <v>39065</v>
          </cell>
          <cell r="E2" t="str">
            <v>EPS</v>
          </cell>
          <cell r="F2" t="str">
            <v>ANN</v>
          </cell>
          <cell r="G2" t="str">
            <v>1</v>
          </cell>
          <cell r="H2">
            <v>9</v>
          </cell>
          <cell r="I2">
            <v>2.65</v>
          </cell>
          <cell r="J2">
            <v>2.66</v>
          </cell>
          <cell r="K2">
            <v>0.03</v>
          </cell>
          <cell r="L2">
            <v>1</v>
          </cell>
          <cell r="M2">
            <v>39082</v>
          </cell>
          <cell r="N2">
            <v>2.72</v>
          </cell>
          <cell r="O2">
            <v>39114</v>
          </cell>
        </row>
        <row r="3">
          <cell r="B3" t="str">
            <v>CGC</v>
          </cell>
          <cell r="C3" t="str">
            <v>CASCADE NAT GAS</v>
          </cell>
          <cell r="D3">
            <v>39065</v>
          </cell>
          <cell r="E3" t="str">
            <v>EPS</v>
          </cell>
          <cell r="F3" t="str">
            <v>ANN</v>
          </cell>
          <cell r="G3" t="str">
            <v>1</v>
          </cell>
          <cell r="H3">
            <v>2</v>
          </cell>
          <cell r="I3">
            <v>1.17</v>
          </cell>
          <cell r="J3">
            <v>1.17</v>
          </cell>
          <cell r="K3">
            <v>0.05</v>
          </cell>
          <cell r="L3">
            <v>1</v>
          </cell>
          <cell r="M3">
            <v>39355</v>
          </cell>
          <cell r="N3">
            <v>1.0900000000000001</v>
          </cell>
          <cell r="O3">
            <v>39083</v>
          </cell>
        </row>
        <row r="4">
          <cell r="B4" t="str">
            <v>CPK</v>
          </cell>
          <cell r="C4" t="str">
            <v>CHESAPEAKE UTIL</v>
          </cell>
          <cell r="D4">
            <v>39065</v>
          </cell>
          <cell r="E4" t="str">
            <v>EPS</v>
          </cell>
          <cell r="F4" t="str">
            <v>ANN</v>
          </cell>
          <cell r="G4" t="str">
            <v>1</v>
          </cell>
          <cell r="H4">
            <v>2</v>
          </cell>
          <cell r="I4">
            <v>1.2</v>
          </cell>
          <cell r="J4">
            <v>1.2</v>
          </cell>
          <cell r="K4">
            <v>0</v>
          </cell>
          <cell r="L4">
            <v>1</v>
          </cell>
          <cell r="M4">
            <v>39082</v>
          </cell>
          <cell r="N4">
            <v>1.1467000000000001</v>
          </cell>
          <cell r="O4">
            <v>39142</v>
          </cell>
        </row>
        <row r="5">
          <cell r="B5" t="str">
            <v>ATO</v>
          </cell>
          <cell r="C5" t="str">
            <v>ATMOS ENERGY CP</v>
          </cell>
          <cell r="D5">
            <v>39065</v>
          </cell>
          <cell r="E5" t="str">
            <v>EPS</v>
          </cell>
          <cell r="F5" t="str">
            <v>ANN</v>
          </cell>
          <cell r="G5" t="str">
            <v>1</v>
          </cell>
          <cell r="H5">
            <v>7</v>
          </cell>
          <cell r="I5">
            <v>1.95</v>
          </cell>
          <cell r="J5">
            <v>1.96</v>
          </cell>
          <cell r="K5">
            <v>0.05</v>
          </cell>
          <cell r="L5">
            <v>1</v>
          </cell>
          <cell r="M5">
            <v>39355</v>
          </cell>
          <cell r="N5">
            <v>1.92</v>
          </cell>
          <cell r="O5">
            <v>39393</v>
          </cell>
        </row>
        <row r="6">
          <cell r="B6" t="str">
            <v>GAS</v>
          </cell>
          <cell r="C6" t="str">
            <v>NICOR INC</v>
          </cell>
          <cell r="D6">
            <v>39065</v>
          </cell>
          <cell r="E6" t="str">
            <v>EPS</v>
          </cell>
          <cell r="F6" t="str">
            <v>ANN</v>
          </cell>
          <cell r="G6" t="str">
            <v>1</v>
          </cell>
          <cell r="H6">
            <v>3</v>
          </cell>
          <cell r="I6">
            <v>2.69</v>
          </cell>
          <cell r="J6">
            <v>2.69</v>
          </cell>
          <cell r="K6">
            <v>0.04</v>
          </cell>
          <cell r="L6">
            <v>1</v>
          </cell>
          <cell r="M6">
            <v>39082</v>
          </cell>
          <cell r="N6">
            <v>3.03</v>
          </cell>
          <cell r="O6">
            <v>39136</v>
          </cell>
        </row>
        <row r="7">
          <cell r="B7" t="str">
            <v>LG</v>
          </cell>
          <cell r="C7" t="str">
            <v>LACLEDE GROUP</v>
          </cell>
          <cell r="D7">
            <v>39065</v>
          </cell>
          <cell r="E7" t="str">
            <v>EPS</v>
          </cell>
          <cell r="F7" t="str">
            <v>ANN</v>
          </cell>
          <cell r="G7" t="str">
            <v>1</v>
          </cell>
          <cell r="H7">
            <v>2</v>
          </cell>
          <cell r="I7">
            <v>2.13</v>
          </cell>
          <cell r="J7">
            <v>2.13</v>
          </cell>
          <cell r="K7">
            <v>0.04</v>
          </cell>
          <cell r="L7">
            <v>1</v>
          </cell>
          <cell r="M7">
            <v>39355</v>
          </cell>
          <cell r="N7">
            <v>2.31</v>
          </cell>
          <cell r="O7">
            <v>39381</v>
          </cell>
        </row>
        <row r="8">
          <cell r="B8" t="str">
            <v>KSE</v>
          </cell>
          <cell r="C8" t="str">
            <v>KEYSPAN CP</v>
          </cell>
          <cell r="D8">
            <v>39065</v>
          </cell>
          <cell r="E8" t="str">
            <v>EPS</v>
          </cell>
          <cell r="F8" t="str">
            <v>ANN</v>
          </cell>
          <cell r="G8" t="str">
            <v>1</v>
          </cell>
          <cell r="H8">
            <v>4</v>
          </cell>
          <cell r="I8">
            <v>2.33</v>
          </cell>
          <cell r="J8">
            <v>2.3199999999999998</v>
          </cell>
          <cell r="K8">
            <v>0.1</v>
          </cell>
          <cell r="L8">
            <v>1</v>
          </cell>
          <cell r="M8">
            <v>39082</v>
          </cell>
          <cell r="N8">
            <v>2.46</v>
          </cell>
          <cell r="O8">
            <v>39135</v>
          </cell>
        </row>
        <row r="9">
          <cell r="B9" t="str">
            <v>NI</v>
          </cell>
          <cell r="C9" t="str">
            <v>NISOURCE INC</v>
          </cell>
          <cell r="D9">
            <v>39065</v>
          </cell>
          <cell r="E9" t="str">
            <v>EPS</v>
          </cell>
          <cell r="F9" t="str">
            <v>ANN</v>
          </cell>
          <cell r="G9" t="str">
            <v>1</v>
          </cell>
          <cell r="H9">
            <v>8</v>
          </cell>
          <cell r="I9">
            <v>1.33</v>
          </cell>
          <cell r="J9">
            <v>1.33</v>
          </cell>
          <cell r="K9">
            <v>0.05</v>
          </cell>
          <cell r="L9">
            <v>1</v>
          </cell>
          <cell r="M9">
            <v>39082</v>
          </cell>
          <cell r="N9">
            <v>1.28</v>
          </cell>
          <cell r="O9">
            <v>39112</v>
          </cell>
        </row>
        <row r="10">
          <cell r="B10" t="str">
            <v>NJR</v>
          </cell>
          <cell r="C10" t="str">
            <v>NEW JERSEY RES</v>
          </cell>
          <cell r="D10">
            <v>39065</v>
          </cell>
          <cell r="E10" t="str">
            <v>EPS</v>
          </cell>
          <cell r="F10" t="str">
            <v>ANN</v>
          </cell>
          <cell r="G10" t="str">
            <v>1</v>
          </cell>
          <cell r="H10">
            <v>4</v>
          </cell>
          <cell r="I10">
            <v>0.97</v>
          </cell>
          <cell r="J10">
            <v>0.96</v>
          </cell>
          <cell r="K10">
            <v>0.01</v>
          </cell>
          <cell r="L10">
            <v>1</v>
          </cell>
          <cell r="M10">
            <v>39355</v>
          </cell>
          <cell r="N10">
            <v>1.05</v>
          </cell>
          <cell r="O10">
            <v>39401</v>
          </cell>
        </row>
        <row r="11">
          <cell r="B11" t="str">
            <v>NWN</v>
          </cell>
          <cell r="C11" t="str">
            <v>NW NATURAL GAS</v>
          </cell>
          <cell r="D11">
            <v>39065</v>
          </cell>
          <cell r="E11" t="str">
            <v>EPS</v>
          </cell>
          <cell r="F11" t="str">
            <v>ANN</v>
          </cell>
          <cell r="G11" t="str">
            <v>1</v>
          </cell>
          <cell r="H11">
            <v>6</v>
          </cell>
          <cell r="I11">
            <v>2.2400000000000002</v>
          </cell>
          <cell r="J11">
            <v>2.2200000000000002</v>
          </cell>
          <cell r="K11">
            <v>0.04</v>
          </cell>
          <cell r="L11">
            <v>1</v>
          </cell>
          <cell r="M11">
            <v>39082</v>
          </cell>
          <cell r="N11">
            <v>2.29</v>
          </cell>
          <cell r="O11">
            <v>39128</v>
          </cell>
        </row>
        <row r="12">
          <cell r="B12" t="str">
            <v>PEC</v>
          </cell>
          <cell r="C12" t="str">
            <v>PIKE ELECTRIC</v>
          </cell>
          <cell r="D12">
            <v>39065</v>
          </cell>
          <cell r="E12" t="str">
            <v>EPS</v>
          </cell>
          <cell r="F12" t="str">
            <v>ANN</v>
          </cell>
          <cell r="G12" t="str">
            <v>1</v>
          </cell>
          <cell r="H12">
            <v>4</v>
          </cell>
          <cell r="I12">
            <v>0.54</v>
          </cell>
          <cell r="J12">
            <v>0.52</v>
          </cell>
          <cell r="K12">
            <v>0.04</v>
          </cell>
          <cell r="L12">
            <v>1</v>
          </cell>
          <cell r="M12">
            <v>39263</v>
          </cell>
          <cell r="N12">
            <v>0.55000000000000004</v>
          </cell>
          <cell r="O12">
            <v>39322</v>
          </cell>
        </row>
        <row r="13">
          <cell r="B13" t="str">
            <v>PNY</v>
          </cell>
          <cell r="C13" t="str">
            <v>PIEDMONT NAT GAS</v>
          </cell>
          <cell r="D13">
            <v>39065</v>
          </cell>
          <cell r="E13" t="str">
            <v>EPS</v>
          </cell>
          <cell r="F13" t="str">
            <v>ANN</v>
          </cell>
          <cell r="G13" t="str">
            <v>1</v>
          </cell>
          <cell r="H13">
            <v>5</v>
          </cell>
          <cell r="I13">
            <v>1.3</v>
          </cell>
          <cell r="J13">
            <v>1.29</v>
          </cell>
          <cell r="K13">
            <v>0.02</v>
          </cell>
          <cell r="L13">
            <v>1</v>
          </cell>
          <cell r="M13">
            <v>39021</v>
          </cell>
          <cell r="N13">
            <v>1.28</v>
          </cell>
          <cell r="O13">
            <v>39066</v>
          </cell>
        </row>
        <row r="14">
          <cell r="B14" t="str">
            <v>SJI</v>
          </cell>
          <cell r="C14" t="str">
            <v>SO JERSEY INDS</v>
          </cell>
          <cell r="D14">
            <v>39065</v>
          </cell>
          <cell r="E14" t="str">
            <v>EPS</v>
          </cell>
          <cell r="F14" t="str">
            <v>ANN</v>
          </cell>
          <cell r="G14" t="str">
            <v>1</v>
          </cell>
          <cell r="H14">
            <v>3</v>
          </cell>
          <cell r="I14">
            <v>0.91</v>
          </cell>
          <cell r="J14">
            <v>0.92</v>
          </cell>
          <cell r="K14">
            <v>0.01</v>
          </cell>
          <cell r="L14">
            <v>1</v>
          </cell>
          <cell r="M14">
            <v>39082</v>
          </cell>
          <cell r="N14">
            <v>0.92500000000000004</v>
          </cell>
          <cell r="O14">
            <v>39141</v>
          </cell>
        </row>
        <row r="15">
          <cell r="B15" t="str">
            <v>SWX</v>
          </cell>
          <cell r="C15" t="str">
            <v>SOUTHWEST GAS</v>
          </cell>
          <cell r="D15">
            <v>39065</v>
          </cell>
          <cell r="E15" t="str">
            <v>EPS</v>
          </cell>
          <cell r="F15" t="str">
            <v>ANN</v>
          </cell>
          <cell r="G15" t="str">
            <v>1</v>
          </cell>
          <cell r="H15">
            <v>5</v>
          </cell>
          <cell r="I15">
            <v>2.02</v>
          </cell>
          <cell r="J15">
            <v>2.0299999999999998</v>
          </cell>
          <cell r="K15">
            <v>0.05</v>
          </cell>
          <cell r="L15">
            <v>1</v>
          </cell>
          <cell r="M15">
            <v>39082</v>
          </cell>
          <cell r="N15">
            <v>1.98</v>
          </cell>
          <cell r="O15">
            <v>39140</v>
          </cell>
        </row>
        <row r="16">
          <cell r="B16" t="str">
            <v>WGL</v>
          </cell>
          <cell r="C16" t="str">
            <v>WGL HOLDING INC</v>
          </cell>
          <cell r="D16">
            <v>39065</v>
          </cell>
          <cell r="E16" t="str">
            <v>EPS</v>
          </cell>
          <cell r="F16" t="str">
            <v>ANN</v>
          </cell>
          <cell r="G16" t="str">
            <v>1</v>
          </cell>
          <cell r="H16">
            <v>5</v>
          </cell>
          <cell r="I16">
            <v>1.88</v>
          </cell>
          <cell r="J16">
            <v>1.88</v>
          </cell>
          <cell r="K16">
            <v>0.02</v>
          </cell>
          <cell r="L16">
            <v>1</v>
          </cell>
          <cell r="M16">
            <v>39355</v>
          </cell>
          <cell r="N16">
            <v>2.1</v>
          </cell>
          <cell r="O16">
            <v>39393</v>
          </cell>
        </row>
      </sheetData>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s4eumzpmcr8yucg"/>
    </sheetNames>
    <sheetDataSet>
      <sheetData sheetId="0">
        <row r="1">
          <cell r="B1" t="str">
            <v>Official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Forecast Period End Date (SAS Format)</v>
          </cell>
          <cell r="M1" t="str">
            <v>Actual Value, from the Detail Actuals File</v>
          </cell>
          <cell r="N1" t="str">
            <v>Announce date of the Actual, from the Detail Actuals File</v>
          </cell>
        </row>
        <row r="2">
          <cell r="B2" t="str">
            <v>ATG</v>
          </cell>
          <cell r="C2" t="str">
            <v>AGL RESOURCES</v>
          </cell>
          <cell r="D2">
            <v>39065</v>
          </cell>
          <cell r="E2" t="str">
            <v>EPS</v>
          </cell>
          <cell r="F2" t="str">
            <v>LTG</v>
          </cell>
          <cell r="G2" t="str">
            <v>0</v>
          </cell>
          <cell r="H2">
            <v>6</v>
          </cell>
          <cell r="I2">
            <v>4.13</v>
          </cell>
          <cell r="J2">
            <v>4.21</v>
          </cell>
          <cell r="K2">
            <v>0.75</v>
          </cell>
        </row>
        <row r="3">
          <cell r="B3" t="str">
            <v>CPK</v>
          </cell>
          <cell r="C3" t="str">
            <v>CHESAPEAKE UTIL</v>
          </cell>
          <cell r="D3">
            <v>39065</v>
          </cell>
          <cell r="E3" t="str">
            <v>EPS</v>
          </cell>
          <cell r="F3" t="str">
            <v>LTG</v>
          </cell>
          <cell r="G3" t="str">
            <v>0</v>
          </cell>
          <cell r="H3">
            <v>1</v>
          </cell>
          <cell r="I3">
            <v>6</v>
          </cell>
          <cell r="J3">
            <v>6</v>
          </cell>
        </row>
        <row r="4">
          <cell r="B4" t="str">
            <v>ATO</v>
          </cell>
          <cell r="C4" t="str">
            <v>ATMOS ENERGY CP</v>
          </cell>
          <cell r="D4">
            <v>39065</v>
          </cell>
          <cell r="E4" t="str">
            <v>EPS</v>
          </cell>
          <cell r="F4" t="str">
            <v>LTG</v>
          </cell>
          <cell r="G4" t="str">
            <v>0</v>
          </cell>
          <cell r="H4">
            <v>3</v>
          </cell>
          <cell r="I4">
            <v>6</v>
          </cell>
          <cell r="J4">
            <v>6.17</v>
          </cell>
          <cell r="K4">
            <v>0.76</v>
          </cell>
        </row>
        <row r="5">
          <cell r="B5" t="str">
            <v>GAS</v>
          </cell>
          <cell r="C5" t="str">
            <v>NICOR INC</v>
          </cell>
          <cell r="D5">
            <v>39065</v>
          </cell>
          <cell r="E5" t="str">
            <v>EPS</v>
          </cell>
          <cell r="F5" t="str">
            <v>LTG</v>
          </cell>
          <cell r="G5" t="str">
            <v>0</v>
          </cell>
          <cell r="H5">
            <v>2</v>
          </cell>
          <cell r="I5">
            <v>3.5</v>
          </cell>
          <cell r="J5">
            <v>3.5</v>
          </cell>
          <cell r="K5">
            <v>0.71</v>
          </cell>
        </row>
        <row r="6">
          <cell r="B6" t="str">
            <v>KSE</v>
          </cell>
          <cell r="C6" t="str">
            <v>KEYSPAN CP</v>
          </cell>
          <cell r="D6">
            <v>39065</v>
          </cell>
          <cell r="E6" t="str">
            <v>EPS</v>
          </cell>
          <cell r="F6" t="str">
            <v>LTG</v>
          </cell>
          <cell r="G6" t="str">
            <v>0</v>
          </cell>
          <cell r="H6">
            <v>2</v>
          </cell>
          <cell r="I6">
            <v>2.75</v>
          </cell>
          <cell r="J6">
            <v>2.75</v>
          </cell>
          <cell r="K6">
            <v>0.35</v>
          </cell>
        </row>
        <row r="7">
          <cell r="B7" t="str">
            <v>NI</v>
          </cell>
          <cell r="C7" t="str">
            <v>NISOURCE INC</v>
          </cell>
          <cell r="D7">
            <v>39065</v>
          </cell>
          <cell r="E7" t="str">
            <v>EPS</v>
          </cell>
          <cell r="F7" t="str">
            <v>LTG</v>
          </cell>
          <cell r="G7" t="str">
            <v>0</v>
          </cell>
          <cell r="H7">
            <v>6</v>
          </cell>
          <cell r="I7">
            <v>3.5</v>
          </cell>
          <cell r="J7">
            <v>3.33</v>
          </cell>
          <cell r="K7">
            <v>1.21</v>
          </cell>
        </row>
        <row r="8">
          <cell r="B8" t="str">
            <v>NJR</v>
          </cell>
          <cell r="C8" t="str">
            <v>NEW JERSEY RES</v>
          </cell>
          <cell r="D8">
            <v>39065</v>
          </cell>
          <cell r="E8" t="str">
            <v>EPS</v>
          </cell>
          <cell r="F8" t="str">
            <v>LTG</v>
          </cell>
          <cell r="G8" t="str">
            <v>0</v>
          </cell>
          <cell r="H8">
            <v>2</v>
          </cell>
          <cell r="I8">
            <v>6</v>
          </cell>
          <cell r="J8">
            <v>6</v>
          </cell>
          <cell r="K8">
            <v>1.41</v>
          </cell>
        </row>
        <row r="9">
          <cell r="B9" t="str">
            <v>NWN</v>
          </cell>
          <cell r="C9" t="str">
            <v>NW NATURAL GAS</v>
          </cell>
          <cell r="D9">
            <v>39065</v>
          </cell>
          <cell r="E9" t="str">
            <v>EPS</v>
          </cell>
          <cell r="F9" t="str">
            <v>LTG</v>
          </cell>
          <cell r="G9" t="str">
            <v>0</v>
          </cell>
          <cell r="H9">
            <v>4</v>
          </cell>
          <cell r="I9">
            <v>5</v>
          </cell>
          <cell r="J9">
            <v>4.88</v>
          </cell>
          <cell r="K9">
            <v>1.03</v>
          </cell>
        </row>
        <row r="10">
          <cell r="B10" t="str">
            <v>PNY</v>
          </cell>
          <cell r="C10" t="str">
            <v>PIEDMONT NAT GAS</v>
          </cell>
          <cell r="D10">
            <v>39065</v>
          </cell>
          <cell r="E10" t="str">
            <v>EPS</v>
          </cell>
          <cell r="F10" t="str">
            <v>LTG</v>
          </cell>
          <cell r="G10" t="str">
            <v>0</v>
          </cell>
          <cell r="H10">
            <v>2</v>
          </cell>
          <cell r="I10">
            <v>4</v>
          </cell>
          <cell r="J10">
            <v>4</v>
          </cell>
          <cell r="K10">
            <v>0</v>
          </cell>
        </row>
        <row r="11">
          <cell r="B11" t="str">
            <v>SJI</v>
          </cell>
          <cell r="C11" t="str">
            <v>SO JERSEY INDS</v>
          </cell>
          <cell r="D11">
            <v>39065</v>
          </cell>
          <cell r="E11" t="str">
            <v>EPS</v>
          </cell>
          <cell r="F11" t="str">
            <v>LTG</v>
          </cell>
          <cell r="G11" t="str">
            <v>0</v>
          </cell>
          <cell r="H11">
            <v>2</v>
          </cell>
          <cell r="I11">
            <v>6.5</v>
          </cell>
          <cell r="J11">
            <v>6.5</v>
          </cell>
          <cell r="K11">
            <v>0.71</v>
          </cell>
        </row>
        <row r="12">
          <cell r="B12" t="str">
            <v>SWX</v>
          </cell>
          <cell r="C12" t="str">
            <v>SOUTHWEST GAS</v>
          </cell>
          <cell r="D12">
            <v>39065</v>
          </cell>
          <cell r="E12" t="str">
            <v>EPS</v>
          </cell>
          <cell r="F12" t="str">
            <v>LTG</v>
          </cell>
          <cell r="G12" t="str">
            <v>0</v>
          </cell>
          <cell r="H12">
            <v>1</v>
          </cell>
          <cell r="I12">
            <v>3</v>
          </cell>
          <cell r="J12">
            <v>3</v>
          </cell>
        </row>
        <row r="13">
          <cell r="B13" t="str">
            <v>WGL</v>
          </cell>
          <cell r="C13" t="str">
            <v>WGL HOLDING INC</v>
          </cell>
          <cell r="D13">
            <v>39065</v>
          </cell>
          <cell r="E13" t="str">
            <v>EPS</v>
          </cell>
          <cell r="F13" t="str">
            <v>LTG</v>
          </cell>
          <cell r="G13" t="str">
            <v>0</v>
          </cell>
          <cell r="H13">
            <v>3</v>
          </cell>
          <cell r="I13">
            <v>3</v>
          </cell>
          <cell r="J13">
            <v>3.33</v>
          </cell>
          <cell r="K13">
            <v>0.57999999999999996</v>
          </cell>
        </row>
        <row r="14">
          <cell r="B14" t="str">
            <v>LG</v>
          </cell>
          <cell r="C14" t="str">
            <v>LACLEDE GROUP</v>
          </cell>
          <cell r="D14">
            <v>38974</v>
          </cell>
          <cell r="E14" t="str">
            <v>EPS</v>
          </cell>
          <cell r="F14" t="str">
            <v>LTG</v>
          </cell>
          <cell r="G14" t="str">
            <v>0</v>
          </cell>
          <cell r="H14">
            <v>1</v>
          </cell>
          <cell r="I14">
            <v>4</v>
          </cell>
          <cell r="J14">
            <v>4</v>
          </cell>
          <cell r="K14"/>
        </row>
      </sheetData>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RDS"/>
    </sheetNames>
    <sheetDataSet>
      <sheetData sheetId="0">
        <row r="1">
          <cell r="A1" t="str">
            <v>OFTIC</v>
          </cell>
          <cell r="B1" t="str">
            <v>IBES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USFIRM=0 if from .INT file and USFIRM=1 if from .US file</v>
          </cell>
          <cell r="L1" t="str">
            <v>Forecast Period End Date (SAS Format)</v>
          </cell>
          <cell r="M1" t="str">
            <v>Actual Value, from the Detail Actuals File</v>
          </cell>
          <cell r="N1" t="str">
            <v>Announce date of the Actual, from the Detail Actuals File</v>
          </cell>
        </row>
        <row r="2">
          <cell r="A2" t="str">
            <v>AGR</v>
          </cell>
          <cell r="B2" t="str">
            <v>AGRA</v>
          </cell>
          <cell r="C2" t="str">
            <v>AGERE SYSTEMS</v>
          </cell>
          <cell r="D2">
            <v>20051215</v>
          </cell>
          <cell r="E2" t="str">
            <v>EPS</v>
          </cell>
          <cell r="F2" t="str">
            <v>ANN</v>
          </cell>
          <cell r="G2">
            <v>1</v>
          </cell>
          <cell r="H2">
            <v>11</v>
          </cell>
          <cell r="I2">
            <v>0.55000000000000004</v>
          </cell>
          <cell r="J2">
            <v>0.5</v>
          </cell>
          <cell r="K2">
            <v>1</v>
          </cell>
          <cell r="L2">
            <v>20060930</v>
          </cell>
          <cell r="M2">
            <v>0.69</v>
          </cell>
          <cell r="N2">
            <v>20061031</v>
          </cell>
        </row>
        <row r="3">
          <cell r="A3" t="str">
            <v>PNW</v>
          </cell>
          <cell r="B3" t="str">
            <v>AZP</v>
          </cell>
          <cell r="C3" t="str">
            <v>PINNACLE WST CAP</v>
          </cell>
          <cell r="D3">
            <v>20051215</v>
          </cell>
          <cell r="E3" t="str">
            <v>EPS</v>
          </cell>
          <cell r="F3" t="str">
            <v>ANN</v>
          </cell>
          <cell r="G3">
            <v>1</v>
          </cell>
          <cell r="H3">
            <v>9</v>
          </cell>
          <cell r="I3">
            <v>3.15</v>
          </cell>
          <cell r="J3">
            <v>3.16</v>
          </cell>
          <cell r="K3">
            <v>1</v>
          </cell>
          <cell r="L3">
            <v>20051231</v>
          </cell>
          <cell r="M3">
            <v>3.29</v>
          </cell>
          <cell r="N3">
            <v>20060201</v>
          </cell>
        </row>
        <row r="4">
          <cell r="A4" t="str">
            <v>CEG</v>
          </cell>
          <cell r="B4" t="str">
            <v>BGE</v>
          </cell>
          <cell r="C4" t="str">
            <v>CONSTELLATION EN</v>
          </cell>
          <cell r="D4">
            <v>20051215</v>
          </cell>
          <cell r="E4" t="str">
            <v>EPS</v>
          </cell>
          <cell r="F4" t="str">
            <v>ANN</v>
          </cell>
          <cell r="G4">
            <v>1</v>
          </cell>
          <cell r="H4">
            <v>13</v>
          </cell>
          <cell r="I4">
            <v>3.5</v>
          </cell>
          <cell r="J4">
            <v>3.51</v>
          </cell>
          <cell r="K4">
            <v>1</v>
          </cell>
          <cell r="L4">
            <v>20051231</v>
          </cell>
          <cell r="M4">
            <v>3.62</v>
          </cell>
          <cell r="N4">
            <v>20060131</v>
          </cell>
        </row>
        <row r="5">
          <cell r="A5" t="str">
            <v>BKH</v>
          </cell>
          <cell r="B5" t="str">
            <v>BHP</v>
          </cell>
          <cell r="C5" t="str">
            <v>BLACK HILLS CP</v>
          </cell>
          <cell r="D5">
            <v>20051215</v>
          </cell>
          <cell r="E5" t="str">
            <v>EPS</v>
          </cell>
          <cell r="F5" t="str">
            <v>ANN</v>
          </cell>
          <cell r="G5">
            <v>1</v>
          </cell>
          <cell r="H5">
            <v>2</v>
          </cell>
          <cell r="I5">
            <v>1.97</v>
          </cell>
          <cell r="J5">
            <v>1.97</v>
          </cell>
          <cell r="K5">
            <v>1</v>
          </cell>
          <cell r="L5">
            <v>20051231</v>
          </cell>
          <cell r="M5">
            <v>2.27</v>
          </cell>
          <cell r="N5">
            <v>20060207</v>
          </cell>
        </row>
        <row r="6">
          <cell r="A6" t="str">
            <v>NST</v>
          </cell>
          <cell r="B6" t="str">
            <v>BSE</v>
          </cell>
          <cell r="C6" t="str">
            <v>NSTAR</v>
          </cell>
          <cell r="D6">
            <v>20051215</v>
          </cell>
          <cell r="E6" t="str">
            <v>EPS</v>
          </cell>
          <cell r="F6" t="str">
            <v>ANN</v>
          </cell>
          <cell r="G6">
            <v>1</v>
          </cell>
          <cell r="H6">
            <v>6</v>
          </cell>
          <cell r="I6">
            <v>1.85</v>
          </cell>
          <cell r="J6">
            <v>1.84</v>
          </cell>
          <cell r="K6">
            <v>1</v>
          </cell>
          <cell r="L6">
            <v>20051231</v>
          </cell>
          <cell r="M6">
            <v>1.83</v>
          </cell>
          <cell r="N6">
            <v>20060126</v>
          </cell>
        </row>
        <row r="7">
          <cell r="A7" t="str">
            <v>CIN</v>
          </cell>
          <cell r="B7" t="str">
            <v>CIN</v>
          </cell>
          <cell r="C7" t="str">
            <v>CINERGY CORP</v>
          </cell>
          <cell r="D7">
            <v>20051215</v>
          </cell>
          <cell r="E7" t="str">
            <v>EPS</v>
          </cell>
          <cell r="F7" t="str">
            <v>ANN</v>
          </cell>
          <cell r="G7">
            <v>1</v>
          </cell>
          <cell r="H7">
            <v>11</v>
          </cell>
          <cell r="I7">
            <v>2.7</v>
          </cell>
          <cell r="J7">
            <v>2.68</v>
          </cell>
          <cell r="K7">
            <v>1</v>
          </cell>
          <cell r="L7">
            <v>20051231</v>
          </cell>
          <cell r="M7">
            <v>2.81</v>
          </cell>
          <cell r="N7">
            <v>20060131</v>
          </cell>
        </row>
        <row r="8">
          <cell r="A8" t="str">
            <v>CMS</v>
          </cell>
          <cell r="B8" t="str">
            <v>CMS</v>
          </cell>
          <cell r="C8" t="str">
            <v>CMS ENERGY CORP</v>
          </cell>
          <cell r="D8">
            <v>20051215</v>
          </cell>
          <cell r="E8" t="str">
            <v>EPS</v>
          </cell>
          <cell r="F8" t="str">
            <v>ANN</v>
          </cell>
          <cell r="G8">
            <v>1</v>
          </cell>
          <cell r="H8">
            <v>6</v>
          </cell>
          <cell r="I8">
            <v>1</v>
          </cell>
          <cell r="J8">
            <v>0.97</v>
          </cell>
          <cell r="K8">
            <v>1</v>
          </cell>
          <cell r="L8">
            <v>20051231</v>
          </cell>
          <cell r="M8">
            <v>0.96</v>
          </cell>
          <cell r="N8">
            <v>20060223</v>
          </cell>
        </row>
        <row r="9">
          <cell r="A9" t="str">
            <v>CNL</v>
          </cell>
          <cell r="B9" t="str">
            <v>CNL</v>
          </cell>
          <cell r="C9" t="str">
            <v>CLECO CORP</v>
          </cell>
          <cell r="D9">
            <v>20051215</v>
          </cell>
          <cell r="E9" t="str">
            <v>EPS</v>
          </cell>
          <cell r="F9" t="str">
            <v>ANN</v>
          </cell>
          <cell r="G9">
            <v>1</v>
          </cell>
          <cell r="H9">
            <v>4</v>
          </cell>
          <cell r="I9">
            <v>1.57</v>
          </cell>
          <cell r="J9">
            <v>1.51</v>
          </cell>
          <cell r="K9">
            <v>1</v>
          </cell>
          <cell r="L9">
            <v>20051231</v>
          </cell>
          <cell r="M9">
            <v>1.43</v>
          </cell>
          <cell r="N9">
            <v>20060228</v>
          </cell>
        </row>
        <row r="10">
          <cell r="A10" t="str">
            <v>PGN</v>
          </cell>
          <cell r="B10" t="str">
            <v>CPL</v>
          </cell>
          <cell r="C10" t="str">
            <v>PROGRESS ENERGY</v>
          </cell>
          <cell r="D10">
            <v>20051215</v>
          </cell>
          <cell r="E10" t="str">
            <v>EPS</v>
          </cell>
          <cell r="F10" t="str">
            <v>ANN</v>
          </cell>
          <cell r="G10">
            <v>1</v>
          </cell>
          <cell r="H10">
            <v>16</v>
          </cell>
          <cell r="I10">
            <v>3.1</v>
          </cell>
          <cell r="J10">
            <v>3.1</v>
          </cell>
          <cell r="K10">
            <v>1</v>
          </cell>
          <cell r="L10">
            <v>20051231</v>
          </cell>
          <cell r="M10">
            <v>3.33</v>
          </cell>
          <cell r="N10">
            <v>20060215</v>
          </cell>
        </row>
        <row r="11">
          <cell r="A11" t="str">
            <v>D</v>
          </cell>
          <cell r="B11" t="str">
            <v>D</v>
          </cell>
          <cell r="C11" t="str">
            <v>DOMINION RES INC</v>
          </cell>
          <cell r="D11">
            <v>20051215</v>
          </cell>
          <cell r="E11" t="str">
            <v>EPS</v>
          </cell>
          <cell r="F11" t="str">
            <v>ANN</v>
          </cell>
          <cell r="G11">
            <v>1</v>
          </cell>
          <cell r="H11">
            <v>18</v>
          </cell>
          <cell r="I11">
            <v>2.08</v>
          </cell>
          <cell r="J11">
            <v>2.11</v>
          </cell>
          <cell r="K11">
            <v>1</v>
          </cell>
          <cell r="L11">
            <v>20051231</v>
          </cell>
          <cell r="M11">
            <v>2.2650000000000001</v>
          </cell>
          <cell r="N11">
            <v>20060126</v>
          </cell>
        </row>
        <row r="12">
          <cell r="A12" t="str">
            <v>DPL</v>
          </cell>
          <cell r="B12" t="str">
            <v>DPL</v>
          </cell>
          <cell r="C12" t="str">
            <v>DPL INC</v>
          </cell>
          <cell r="D12">
            <v>20051215</v>
          </cell>
          <cell r="E12" t="str">
            <v>EPS</v>
          </cell>
          <cell r="F12" t="str">
            <v>ANN</v>
          </cell>
          <cell r="G12">
            <v>1</v>
          </cell>
          <cell r="H12">
            <v>2</v>
          </cell>
          <cell r="I12">
            <v>1.07</v>
          </cell>
          <cell r="J12">
            <v>1.07</v>
          </cell>
          <cell r="K12">
            <v>1</v>
          </cell>
          <cell r="L12">
            <v>20051231</v>
          </cell>
          <cell r="M12">
            <v>1.1499999999999999</v>
          </cell>
          <cell r="N12">
            <v>20060215</v>
          </cell>
        </row>
        <row r="13">
          <cell r="A13" t="str">
            <v>DTE</v>
          </cell>
          <cell r="B13" t="str">
            <v>DTE</v>
          </cell>
          <cell r="C13" t="str">
            <v>DTE ENERGY</v>
          </cell>
          <cell r="D13">
            <v>20051215</v>
          </cell>
          <cell r="E13" t="str">
            <v>EPS</v>
          </cell>
          <cell r="F13" t="str">
            <v>ANN</v>
          </cell>
          <cell r="G13">
            <v>1</v>
          </cell>
          <cell r="H13">
            <v>6</v>
          </cell>
          <cell r="I13">
            <v>3.2</v>
          </cell>
          <cell r="J13">
            <v>3.29</v>
          </cell>
          <cell r="K13">
            <v>1</v>
          </cell>
          <cell r="L13">
            <v>20051231</v>
          </cell>
          <cell r="M13">
            <v>3.27</v>
          </cell>
          <cell r="N13">
            <v>20060215</v>
          </cell>
        </row>
        <row r="14">
          <cell r="A14" t="str">
            <v>DUK</v>
          </cell>
          <cell r="B14" t="str">
            <v>DUK</v>
          </cell>
          <cell r="C14" t="str">
            <v>DUKE ENERGY CORP</v>
          </cell>
          <cell r="D14">
            <v>20051215</v>
          </cell>
          <cell r="E14" t="str">
            <v>EPS</v>
          </cell>
          <cell r="F14" t="str">
            <v>ANN</v>
          </cell>
          <cell r="G14">
            <v>1</v>
          </cell>
          <cell r="H14">
            <v>23</v>
          </cell>
          <cell r="I14">
            <v>4.95</v>
          </cell>
          <cell r="J14">
            <v>4.91</v>
          </cell>
          <cell r="K14">
            <v>1</v>
          </cell>
          <cell r="L14">
            <v>20051231</v>
          </cell>
          <cell r="M14">
            <v>5.19</v>
          </cell>
          <cell r="N14">
            <v>20060201</v>
          </cell>
        </row>
        <row r="15">
          <cell r="A15" t="str">
            <v>ED</v>
          </cell>
          <cell r="B15" t="str">
            <v>ED</v>
          </cell>
          <cell r="C15" t="str">
            <v>CONSOLIDATED EDI</v>
          </cell>
          <cell r="D15">
            <v>20051215</v>
          </cell>
          <cell r="E15" t="str">
            <v>EPS</v>
          </cell>
          <cell r="F15" t="str">
            <v>ANN</v>
          </cell>
          <cell r="G15">
            <v>1</v>
          </cell>
          <cell r="H15">
            <v>16</v>
          </cell>
          <cell r="I15">
            <v>2.9</v>
          </cell>
          <cell r="J15">
            <v>2.92</v>
          </cell>
          <cell r="K15">
            <v>1</v>
          </cell>
          <cell r="L15">
            <v>20051231</v>
          </cell>
          <cell r="M15">
            <v>3</v>
          </cell>
          <cell r="N15">
            <v>20060126</v>
          </cell>
        </row>
        <row r="16">
          <cell r="A16" t="str">
            <v>EDE</v>
          </cell>
          <cell r="B16" t="str">
            <v>EDE</v>
          </cell>
          <cell r="C16" t="str">
            <v>EMPIRE DIST ELEC</v>
          </cell>
          <cell r="D16">
            <v>20051215</v>
          </cell>
          <cell r="E16" t="str">
            <v>EPS</v>
          </cell>
          <cell r="F16" t="str">
            <v>ANN</v>
          </cell>
          <cell r="G16">
            <v>1</v>
          </cell>
          <cell r="H16">
            <v>3</v>
          </cell>
          <cell r="I16">
            <v>1.03</v>
          </cell>
          <cell r="J16">
            <v>1.05</v>
          </cell>
          <cell r="K16">
            <v>1</v>
          </cell>
          <cell r="L16">
            <v>20051231</v>
          </cell>
          <cell r="M16">
            <v>0.92</v>
          </cell>
          <cell r="N16">
            <v>20060202</v>
          </cell>
        </row>
        <row r="17">
          <cell r="A17" t="str">
            <v>FPL</v>
          </cell>
          <cell r="B17" t="str">
            <v>FPL</v>
          </cell>
          <cell r="C17" t="str">
            <v>FPL GROUP</v>
          </cell>
          <cell r="D17">
            <v>20051215</v>
          </cell>
          <cell r="E17" t="str">
            <v>EPS</v>
          </cell>
          <cell r="F17" t="str">
            <v>ANN</v>
          </cell>
          <cell r="G17">
            <v>1</v>
          </cell>
          <cell r="H17">
            <v>18</v>
          </cell>
          <cell r="I17">
            <v>0.63</v>
          </cell>
          <cell r="J17">
            <v>0.63</v>
          </cell>
          <cell r="K17">
            <v>1</v>
          </cell>
          <cell r="L17">
            <v>20051231</v>
          </cell>
          <cell r="M17">
            <v>0.64500000000000002</v>
          </cell>
          <cell r="N17">
            <v>20060127</v>
          </cell>
        </row>
        <row r="18">
          <cell r="A18" t="str">
            <v>HE</v>
          </cell>
          <cell r="B18" t="str">
            <v>HE</v>
          </cell>
          <cell r="C18" t="str">
            <v>HAWAIIAN ELEC</v>
          </cell>
          <cell r="D18">
            <v>20051215</v>
          </cell>
          <cell r="E18" t="str">
            <v>EPS</v>
          </cell>
          <cell r="F18" t="str">
            <v>ANN</v>
          </cell>
          <cell r="G18">
            <v>1</v>
          </cell>
          <cell r="H18">
            <v>5</v>
          </cell>
          <cell r="I18">
            <v>1.56</v>
          </cell>
          <cell r="J18">
            <v>1.53</v>
          </cell>
          <cell r="K18">
            <v>1</v>
          </cell>
          <cell r="L18">
            <v>20051231</v>
          </cell>
          <cell r="M18">
            <v>1.57</v>
          </cell>
          <cell r="N18">
            <v>20060130</v>
          </cell>
        </row>
        <row r="19">
          <cell r="A19" t="str">
            <v>CNP</v>
          </cell>
          <cell r="B19" t="str">
            <v>HOU</v>
          </cell>
          <cell r="C19" t="str">
            <v>CENTERPOINT ENER</v>
          </cell>
          <cell r="D19">
            <v>20051215</v>
          </cell>
          <cell r="E19" t="str">
            <v>EPS</v>
          </cell>
          <cell r="F19" t="str">
            <v>ANN</v>
          </cell>
          <cell r="G19">
            <v>1</v>
          </cell>
          <cell r="H19">
            <v>11</v>
          </cell>
          <cell r="I19">
            <v>0.67</v>
          </cell>
          <cell r="J19">
            <v>0.68</v>
          </cell>
          <cell r="K19">
            <v>1</v>
          </cell>
          <cell r="L19">
            <v>20051231</v>
          </cell>
          <cell r="M19">
            <v>0.67</v>
          </cell>
          <cell r="N19">
            <v>20060228</v>
          </cell>
        </row>
        <row r="20">
          <cell r="A20" t="str">
            <v>IDA</v>
          </cell>
          <cell r="B20" t="str">
            <v>IDA</v>
          </cell>
          <cell r="C20" t="str">
            <v>IDACORP INC.</v>
          </cell>
          <cell r="D20">
            <v>20051215</v>
          </cell>
          <cell r="E20" t="str">
            <v>EPS</v>
          </cell>
          <cell r="F20" t="str">
            <v>ANN</v>
          </cell>
          <cell r="G20">
            <v>1</v>
          </cell>
          <cell r="H20">
            <v>2</v>
          </cell>
          <cell r="I20">
            <v>1.67</v>
          </cell>
          <cell r="J20">
            <v>1.67</v>
          </cell>
          <cell r="K20">
            <v>1</v>
          </cell>
          <cell r="L20">
            <v>20051231</v>
          </cell>
          <cell r="M20">
            <v>1.62</v>
          </cell>
          <cell r="N20">
            <v>20060209</v>
          </cell>
        </row>
        <row r="21">
          <cell r="A21" t="str">
            <v>WR</v>
          </cell>
          <cell r="B21" t="str">
            <v>KAN</v>
          </cell>
          <cell r="C21" t="str">
            <v>WESTAR ENERGY</v>
          </cell>
          <cell r="D21">
            <v>20051215</v>
          </cell>
          <cell r="E21" t="str">
            <v>EPS</v>
          </cell>
          <cell r="F21" t="str">
            <v>ANN</v>
          </cell>
          <cell r="G21">
            <v>1</v>
          </cell>
          <cell r="H21">
            <v>2</v>
          </cell>
          <cell r="I21">
            <v>1.63</v>
          </cell>
          <cell r="J21">
            <v>1.63</v>
          </cell>
          <cell r="K21">
            <v>1</v>
          </cell>
          <cell r="L21">
            <v>20051231</v>
          </cell>
          <cell r="M21">
            <v>1.34</v>
          </cell>
          <cell r="N21">
            <v>20060313</v>
          </cell>
        </row>
        <row r="22">
          <cell r="A22" t="str">
            <v>GXP</v>
          </cell>
          <cell r="B22" t="str">
            <v>KLT</v>
          </cell>
          <cell r="C22" t="str">
            <v>GREAT PLAINS</v>
          </cell>
          <cell r="D22">
            <v>20051215</v>
          </cell>
          <cell r="E22" t="str">
            <v>EPS</v>
          </cell>
          <cell r="F22" t="str">
            <v>ANN</v>
          </cell>
          <cell r="G22">
            <v>1</v>
          </cell>
          <cell r="H22">
            <v>4</v>
          </cell>
          <cell r="I22">
            <v>2.12</v>
          </cell>
          <cell r="J22">
            <v>2.13</v>
          </cell>
          <cell r="K22">
            <v>1</v>
          </cell>
          <cell r="L22">
            <v>20051231</v>
          </cell>
          <cell r="M22">
            <v>2.23</v>
          </cell>
          <cell r="N22">
            <v>20060209</v>
          </cell>
        </row>
        <row r="23">
          <cell r="A23" t="str">
            <v>ALE</v>
          </cell>
          <cell r="B23" t="str">
            <v>MPL</v>
          </cell>
          <cell r="C23" t="str">
            <v>ALLETE INC</v>
          </cell>
          <cell r="D23">
            <v>20051215</v>
          </cell>
          <cell r="E23" t="str">
            <v>EPS</v>
          </cell>
          <cell r="F23" t="str">
            <v>ANN</v>
          </cell>
          <cell r="G23">
            <v>1</v>
          </cell>
          <cell r="H23">
            <v>2</v>
          </cell>
          <cell r="I23">
            <v>2.27</v>
          </cell>
          <cell r="J23">
            <v>2.27</v>
          </cell>
          <cell r="K23">
            <v>1</v>
          </cell>
          <cell r="L23">
            <v>20051231</v>
          </cell>
          <cell r="M23">
            <v>2.63</v>
          </cell>
          <cell r="N23">
            <v>20060216</v>
          </cell>
        </row>
        <row r="24">
          <cell r="A24" t="str">
            <v>ETR</v>
          </cell>
          <cell r="B24" t="str">
            <v>MSU</v>
          </cell>
          <cell r="C24" t="str">
            <v>ENTERGY CP</v>
          </cell>
          <cell r="D24">
            <v>20051215</v>
          </cell>
          <cell r="E24" t="str">
            <v>EPS</v>
          </cell>
          <cell r="F24" t="str">
            <v>ANN</v>
          </cell>
          <cell r="G24">
            <v>1</v>
          </cell>
          <cell r="H24">
            <v>15</v>
          </cell>
          <cell r="I24">
            <v>4.42</v>
          </cell>
          <cell r="J24">
            <v>4.43</v>
          </cell>
          <cell r="K24">
            <v>1</v>
          </cell>
          <cell r="L24">
            <v>20051231</v>
          </cell>
          <cell r="M24">
            <v>4.3600000000000003</v>
          </cell>
          <cell r="N24">
            <v>20060131</v>
          </cell>
        </row>
        <row r="25">
          <cell r="A25" t="str">
            <v>EAS</v>
          </cell>
          <cell r="B25" t="str">
            <v>NGE</v>
          </cell>
          <cell r="C25" t="str">
            <v>ENERGY EAST CORP</v>
          </cell>
          <cell r="D25">
            <v>20051215</v>
          </cell>
          <cell r="E25" t="str">
            <v>EPS</v>
          </cell>
          <cell r="F25" t="str">
            <v>ANN</v>
          </cell>
          <cell r="G25">
            <v>1</v>
          </cell>
          <cell r="H25">
            <v>3</v>
          </cell>
          <cell r="I25">
            <v>1.8</v>
          </cell>
          <cell r="J25">
            <v>1.78</v>
          </cell>
          <cell r="K25">
            <v>1</v>
          </cell>
          <cell r="L25">
            <v>20051231</v>
          </cell>
          <cell r="M25">
            <v>1.78</v>
          </cell>
          <cell r="N25">
            <v>20060209</v>
          </cell>
        </row>
        <row r="26">
          <cell r="A26" t="str">
            <v>XEL</v>
          </cell>
          <cell r="B26" t="str">
            <v>NSP</v>
          </cell>
          <cell r="C26" t="str">
            <v>XCEL ENERGY INC</v>
          </cell>
          <cell r="D26">
            <v>20051215</v>
          </cell>
          <cell r="E26" t="str">
            <v>EPS</v>
          </cell>
          <cell r="F26" t="str">
            <v>ANN</v>
          </cell>
          <cell r="G26">
            <v>1</v>
          </cell>
          <cell r="H26">
            <v>12</v>
          </cell>
          <cell r="I26">
            <v>1.2</v>
          </cell>
          <cell r="J26">
            <v>1.22</v>
          </cell>
          <cell r="K26">
            <v>1</v>
          </cell>
          <cell r="L26">
            <v>20051231</v>
          </cell>
          <cell r="M26">
            <v>1.2</v>
          </cell>
          <cell r="N26">
            <v>20060201</v>
          </cell>
        </row>
        <row r="27">
          <cell r="A27" t="str">
            <v>NU</v>
          </cell>
          <cell r="B27" t="str">
            <v>NU</v>
          </cell>
          <cell r="C27" t="str">
            <v>NORTHEAST UTILS</v>
          </cell>
          <cell r="D27">
            <v>20051215</v>
          </cell>
          <cell r="E27" t="str">
            <v>EPS</v>
          </cell>
          <cell r="F27" t="str">
            <v>ANN</v>
          </cell>
          <cell r="G27">
            <v>1</v>
          </cell>
          <cell r="H27">
            <v>5</v>
          </cell>
          <cell r="I27">
            <v>1.1499999999999999</v>
          </cell>
          <cell r="J27">
            <v>1.1299999999999999</v>
          </cell>
          <cell r="K27">
            <v>1</v>
          </cell>
          <cell r="L27">
            <v>20051231</v>
          </cell>
          <cell r="M27">
            <v>0.83</v>
          </cell>
          <cell r="N27">
            <v>20060215</v>
          </cell>
        </row>
        <row r="28">
          <cell r="A28" t="str">
            <v>FE</v>
          </cell>
          <cell r="B28" t="str">
            <v>OEC</v>
          </cell>
          <cell r="C28" t="str">
            <v>FIRSTENERGY CORP</v>
          </cell>
          <cell r="D28">
            <v>20051215</v>
          </cell>
          <cell r="E28" t="str">
            <v>EPS</v>
          </cell>
          <cell r="F28" t="str">
            <v>ANN</v>
          </cell>
          <cell r="G28">
            <v>1</v>
          </cell>
          <cell r="H28">
            <v>14</v>
          </cell>
          <cell r="I28">
            <v>2.95</v>
          </cell>
          <cell r="J28">
            <v>2.96</v>
          </cell>
          <cell r="K28">
            <v>1</v>
          </cell>
          <cell r="L28">
            <v>20051231</v>
          </cell>
          <cell r="M28">
            <v>3</v>
          </cell>
          <cell r="N28">
            <v>20060215</v>
          </cell>
        </row>
        <row r="29">
          <cell r="A29" t="str">
            <v>OGE</v>
          </cell>
          <cell r="B29" t="str">
            <v>OGE</v>
          </cell>
          <cell r="C29" t="str">
            <v>OGE ENERGY CORP</v>
          </cell>
          <cell r="D29">
            <v>20051215</v>
          </cell>
          <cell r="E29" t="str">
            <v>EPS</v>
          </cell>
          <cell r="F29" t="str">
            <v>ANN</v>
          </cell>
          <cell r="G29">
            <v>1</v>
          </cell>
          <cell r="H29">
            <v>4</v>
          </cell>
          <cell r="I29">
            <v>0.87</v>
          </cell>
          <cell r="J29">
            <v>0.87</v>
          </cell>
          <cell r="K29">
            <v>1</v>
          </cell>
          <cell r="L29">
            <v>20051231</v>
          </cell>
          <cell r="M29">
            <v>0.91500000000000004</v>
          </cell>
          <cell r="N29">
            <v>20060224</v>
          </cell>
        </row>
        <row r="30">
          <cell r="A30" t="str">
            <v>OTTR</v>
          </cell>
          <cell r="B30" t="str">
            <v>OTTR</v>
          </cell>
          <cell r="C30" t="str">
            <v>OTTER TAIL CORP.</v>
          </cell>
          <cell r="D30">
            <v>20051215</v>
          </cell>
          <cell r="E30" t="str">
            <v>EPS</v>
          </cell>
          <cell r="F30" t="str">
            <v>ANN</v>
          </cell>
          <cell r="G30">
            <v>1</v>
          </cell>
          <cell r="H30">
            <v>4</v>
          </cell>
          <cell r="I30">
            <v>1.7</v>
          </cell>
          <cell r="J30">
            <v>1.71</v>
          </cell>
          <cell r="K30">
            <v>1</v>
          </cell>
          <cell r="L30">
            <v>20051231</v>
          </cell>
          <cell r="M30">
            <v>1.78</v>
          </cell>
          <cell r="N30">
            <v>20060206</v>
          </cell>
        </row>
        <row r="31">
          <cell r="A31" t="str">
            <v>PCG</v>
          </cell>
          <cell r="B31" t="str">
            <v>PCG</v>
          </cell>
          <cell r="C31" t="str">
            <v>P G &amp; E CORP</v>
          </cell>
          <cell r="D31">
            <v>20051215</v>
          </cell>
          <cell r="E31" t="str">
            <v>EPS</v>
          </cell>
          <cell r="F31" t="str">
            <v>ANN</v>
          </cell>
          <cell r="G31">
            <v>1</v>
          </cell>
          <cell r="H31">
            <v>14</v>
          </cell>
          <cell r="I31">
            <v>2.2999999999999998</v>
          </cell>
          <cell r="J31">
            <v>2.29</v>
          </cell>
          <cell r="K31">
            <v>1</v>
          </cell>
          <cell r="L31">
            <v>20051231</v>
          </cell>
          <cell r="M31">
            <v>2.34</v>
          </cell>
          <cell r="N31">
            <v>20060217</v>
          </cell>
        </row>
        <row r="32">
          <cell r="A32" t="str">
            <v>EXC</v>
          </cell>
          <cell r="B32" t="str">
            <v>PE</v>
          </cell>
          <cell r="C32" t="str">
            <v>EXELON CORP</v>
          </cell>
          <cell r="D32">
            <v>20051215</v>
          </cell>
          <cell r="E32" t="str">
            <v>EPS</v>
          </cell>
          <cell r="F32" t="str">
            <v>ANN</v>
          </cell>
          <cell r="G32">
            <v>1</v>
          </cell>
          <cell r="H32">
            <v>14</v>
          </cell>
          <cell r="I32">
            <v>3.1</v>
          </cell>
          <cell r="J32">
            <v>3.11</v>
          </cell>
          <cell r="K32">
            <v>1</v>
          </cell>
          <cell r="L32">
            <v>20051231</v>
          </cell>
          <cell r="M32">
            <v>3.09</v>
          </cell>
          <cell r="N32">
            <v>20060125</v>
          </cell>
        </row>
        <row r="33">
          <cell r="A33" t="str">
            <v>PEG</v>
          </cell>
          <cell r="B33" t="str">
            <v>PEG</v>
          </cell>
          <cell r="C33" t="str">
            <v>PUB SVC ENTERS</v>
          </cell>
          <cell r="D33">
            <v>20051215</v>
          </cell>
          <cell r="E33" t="str">
            <v>EPS</v>
          </cell>
          <cell r="F33" t="str">
            <v>ANN</v>
          </cell>
          <cell r="G33">
            <v>1</v>
          </cell>
          <cell r="H33">
            <v>6</v>
          </cell>
          <cell r="I33">
            <v>1.65</v>
          </cell>
          <cell r="J33">
            <v>1.63</v>
          </cell>
          <cell r="K33">
            <v>1</v>
          </cell>
          <cell r="L33">
            <v>20051231</v>
          </cell>
          <cell r="M33">
            <v>1.825</v>
          </cell>
          <cell r="N33">
            <v>20060202</v>
          </cell>
        </row>
        <row r="34">
          <cell r="A34" t="str">
            <v>PNM</v>
          </cell>
          <cell r="B34" t="str">
            <v>PNM</v>
          </cell>
          <cell r="C34" t="str">
            <v>PNM RESOURCES</v>
          </cell>
          <cell r="D34">
            <v>20051215</v>
          </cell>
          <cell r="E34" t="str">
            <v>EPS</v>
          </cell>
          <cell r="F34" t="str">
            <v>ANN</v>
          </cell>
          <cell r="G34">
            <v>1</v>
          </cell>
          <cell r="H34">
            <v>8</v>
          </cell>
          <cell r="I34">
            <v>1.57</v>
          </cell>
          <cell r="J34">
            <v>1.57</v>
          </cell>
          <cell r="K34">
            <v>1</v>
          </cell>
          <cell r="L34">
            <v>20051231</v>
          </cell>
          <cell r="M34">
            <v>1.57</v>
          </cell>
          <cell r="N34">
            <v>20060130</v>
          </cell>
        </row>
        <row r="35">
          <cell r="A35" t="str">
            <v>POM</v>
          </cell>
          <cell r="B35" t="str">
            <v>POM</v>
          </cell>
          <cell r="C35" t="str">
            <v>PEPCO HOLDINGS</v>
          </cell>
          <cell r="D35">
            <v>20051215</v>
          </cell>
          <cell r="E35" t="str">
            <v>EPS</v>
          </cell>
          <cell r="F35" t="str">
            <v>ANN</v>
          </cell>
          <cell r="G35">
            <v>1</v>
          </cell>
          <cell r="H35">
            <v>9</v>
          </cell>
          <cell r="I35">
            <v>1.5</v>
          </cell>
          <cell r="J35">
            <v>1.5</v>
          </cell>
          <cell r="K35">
            <v>1</v>
          </cell>
          <cell r="L35">
            <v>20051231</v>
          </cell>
          <cell r="M35">
            <v>1.52</v>
          </cell>
          <cell r="N35">
            <v>20060313</v>
          </cell>
        </row>
        <row r="36">
          <cell r="A36" t="str">
            <v>PPL</v>
          </cell>
          <cell r="B36" t="str">
            <v>PPL</v>
          </cell>
          <cell r="C36" t="str">
            <v>PP&amp;L CORP</v>
          </cell>
          <cell r="D36">
            <v>20051215</v>
          </cell>
          <cell r="E36" t="str">
            <v>EPS</v>
          </cell>
          <cell r="F36" t="str">
            <v>ANN</v>
          </cell>
          <cell r="G36">
            <v>1</v>
          </cell>
          <cell r="H36">
            <v>10</v>
          </cell>
          <cell r="I36">
            <v>2.0499999999999998</v>
          </cell>
          <cell r="J36">
            <v>2.06</v>
          </cell>
          <cell r="K36">
            <v>1</v>
          </cell>
          <cell r="L36">
            <v>20051231</v>
          </cell>
          <cell r="M36">
            <v>2.08</v>
          </cell>
          <cell r="N36">
            <v>20060201</v>
          </cell>
        </row>
        <row r="37">
          <cell r="A37" t="str">
            <v>PSD</v>
          </cell>
          <cell r="B37" t="str">
            <v>PSD</v>
          </cell>
          <cell r="C37" t="str">
            <v>PUGET ENERGY INC</v>
          </cell>
          <cell r="D37">
            <v>20051215</v>
          </cell>
          <cell r="E37" t="str">
            <v>EPS</v>
          </cell>
          <cell r="F37" t="str">
            <v>ANN</v>
          </cell>
          <cell r="G37">
            <v>1</v>
          </cell>
          <cell r="H37">
            <v>7</v>
          </cell>
          <cell r="I37">
            <v>1.36</v>
          </cell>
          <cell r="J37">
            <v>1.37</v>
          </cell>
          <cell r="K37">
            <v>1</v>
          </cell>
          <cell r="L37">
            <v>20051231</v>
          </cell>
          <cell r="M37">
            <v>1.42</v>
          </cell>
          <cell r="N37">
            <v>20060207</v>
          </cell>
        </row>
        <row r="38">
          <cell r="A38" t="str">
            <v>EIX</v>
          </cell>
          <cell r="B38" t="str">
            <v>SCE</v>
          </cell>
          <cell r="C38" t="str">
            <v>EDISON INTL</v>
          </cell>
          <cell r="D38">
            <v>20051215</v>
          </cell>
          <cell r="E38" t="str">
            <v>EPS</v>
          </cell>
          <cell r="F38" t="str">
            <v>ANN</v>
          </cell>
          <cell r="G38">
            <v>1</v>
          </cell>
          <cell r="H38">
            <v>10</v>
          </cell>
          <cell r="I38">
            <v>2.84</v>
          </cell>
          <cell r="J38">
            <v>2.81</v>
          </cell>
          <cell r="K38">
            <v>1</v>
          </cell>
          <cell r="L38">
            <v>20051231</v>
          </cell>
          <cell r="M38">
            <v>3.13</v>
          </cell>
          <cell r="N38">
            <v>20060307</v>
          </cell>
        </row>
        <row r="39">
          <cell r="A39" t="str">
            <v>SCG</v>
          </cell>
          <cell r="B39" t="str">
            <v>SCG</v>
          </cell>
          <cell r="C39" t="str">
            <v>SCANA CP</v>
          </cell>
          <cell r="D39">
            <v>20051215</v>
          </cell>
          <cell r="E39" t="str">
            <v>EPS</v>
          </cell>
          <cell r="F39" t="str">
            <v>ANN</v>
          </cell>
          <cell r="G39">
            <v>1</v>
          </cell>
          <cell r="H39">
            <v>6</v>
          </cell>
          <cell r="I39">
            <v>2.74</v>
          </cell>
          <cell r="J39">
            <v>2.73</v>
          </cell>
          <cell r="K39">
            <v>1</v>
          </cell>
          <cell r="L39">
            <v>20051231</v>
          </cell>
          <cell r="M39">
            <v>2.78</v>
          </cell>
          <cell r="N39">
            <v>20060210</v>
          </cell>
        </row>
        <row r="40">
          <cell r="A40" t="str">
            <v>SRE</v>
          </cell>
          <cell r="B40" t="str">
            <v>SDO</v>
          </cell>
          <cell r="C40" t="str">
            <v>SEMPRA ENERGY</v>
          </cell>
          <cell r="D40">
            <v>20051215</v>
          </cell>
          <cell r="E40" t="str">
            <v>EPS</v>
          </cell>
          <cell r="F40" t="str">
            <v>ANN</v>
          </cell>
          <cell r="G40">
            <v>1</v>
          </cell>
          <cell r="H40">
            <v>8</v>
          </cell>
          <cell r="I40">
            <v>3.55</v>
          </cell>
          <cell r="J40">
            <v>3.48</v>
          </cell>
          <cell r="K40">
            <v>1</v>
          </cell>
          <cell r="L40">
            <v>20051231</v>
          </cell>
          <cell r="M40">
            <v>4.17</v>
          </cell>
          <cell r="N40">
            <v>20060222</v>
          </cell>
        </row>
        <row r="41">
          <cell r="A41" t="str">
            <v>VVC</v>
          </cell>
          <cell r="B41" t="str">
            <v>SIG</v>
          </cell>
          <cell r="C41" t="str">
            <v>VECTREN CORP</v>
          </cell>
          <cell r="D41">
            <v>20051215</v>
          </cell>
          <cell r="E41" t="str">
            <v>EPS</v>
          </cell>
          <cell r="F41" t="str">
            <v>ANN</v>
          </cell>
          <cell r="G41">
            <v>1</v>
          </cell>
          <cell r="H41">
            <v>6</v>
          </cell>
          <cell r="I41">
            <v>1.8</v>
          </cell>
          <cell r="J41">
            <v>1.8</v>
          </cell>
          <cell r="K41">
            <v>1</v>
          </cell>
          <cell r="L41">
            <v>20051231</v>
          </cell>
          <cell r="M41">
            <v>1.8</v>
          </cell>
          <cell r="N41">
            <v>20060208</v>
          </cell>
        </row>
        <row r="42">
          <cell r="A42" t="str">
            <v>SO</v>
          </cell>
          <cell r="B42" t="str">
            <v>SO</v>
          </cell>
          <cell r="C42" t="str">
            <v>SOUTHN CO</v>
          </cell>
          <cell r="D42">
            <v>20051215</v>
          </cell>
          <cell r="E42" t="str">
            <v>EPS</v>
          </cell>
          <cell r="F42" t="str">
            <v>ANN</v>
          </cell>
          <cell r="G42">
            <v>1</v>
          </cell>
          <cell r="H42">
            <v>19</v>
          </cell>
          <cell r="I42">
            <v>2.12</v>
          </cell>
          <cell r="J42">
            <v>2.13</v>
          </cell>
          <cell r="K42">
            <v>1</v>
          </cell>
          <cell r="L42">
            <v>20051231</v>
          </cell>
          <cell r="M42">
            <v>2.14</v>
          </cell>
          <cell r="N42">
            <v>20060126</v>
          </cell>
        </row>
        <row r="43">
          <cell r="A43" t="str">
            <v>TE</v>
          </cell>
          <cell r="B43" t="str">
            <v>TE</v>
          </cell>
          <cell r="C43" t="str">
            <v>TECO ENERGY INC</v>
          </cell>
          <cell r="D43">
            <v>20051215</v>
          </cell>
          <cell r="E43" t="str">
            <v>EPS</v>
          </cell>
          <cell r="F43" t="str">
            <v>ANN</v>
          </cell>
          <cell r="G43">
            <v>1</v>
          </cell>
          <cell r="H43">
            <v>12</v>
          </cell>
          <cell r="I43">
            <v>1.1499999999999999</v>
          </cell>
          <cell r="J43">
            <v>1.1399999999999999</v>
          </cell>
          <cell r="K43">
            <v>1</v>
          </cell>
          <cell r="L43">
            <v>20051231</v>
          </cell>
          <cell r="M43">
            <v>1.22</v>
          </cell>
          <cell r="N43">
            <v>20060131</v>
          </cell>
        </row>
        <row r="44">
          <cell r="A44" t="str">
            <v>AEE</v>
          </cell>
          <cell r="B44" t="str">
            <v>UEP</v>
          </cell>
          <cell r="C44" t="str">
            <v>AMEREN CP</v>
          </cell>
          <cell r="D44">
            <v>20051215</v>
          </cell>
          <cell r="E44" t="str">
            <v>EPS</v>
          </cell>
          <cell r="F44" t="str">
            <v>ANN</v>
          </cell>
          <cell r="G44">
            <v>1</v>
          </cell>
          <cell r="H44">
            <v>10</v>
          </cell>
          <cell r="I44">
            <v>3.16</v>
          </cell>
          <cell r="J44">
            <v>3.18</v>
          </cell>
          <cell r="K44">
            <v>1</v>
          </cell>
          <cell r="L44">
            <v>20051231</v>
          </cell>
          <cell r="M44">
            <v>3.13</v>
          </cell>
          <cell r="N44">
            <v>20060214</v>
          </cell>
        </row>
        <row r="45">
          <cell r="A45" t="str">
            <v>UIL</v>
          </cell>
          <cell r="B45" t="str">
            <v>UIL</v>
          </cell>
          <cell r="C45" t="str">
            <v>UIL HOLDING CORP</v>
          </cell>
          <cell r="D45">
            <v>20051215</v>
          </cell>
          <cell r="E45" t="str">
            <v>EPS</v>
          </cell>
          <cell r="F45" t="str">
            <v>ANN</v>
          </cell>
          <cell r="G45">
            <v>1</v>
          </cell>
          <cell r="H45">
            <v>1</v>
          </cell>
          <cell r="I45">
            <v>1.2</v>
          </cell>
          <cell r="J45">
            <v>1.2</v>
          </cell>
          <cell r="K45">
            <v>1</v>
          </cell>
          <cell r="L45">
            <v>20051231</v>
          </cell>
          <cell r="M45">
            <v>1.284</v>
          </cell>
          <cell r="N45">
            <v>20060217</v>
          </cell>
        </row>
        <row r="46">
          <cell r="A46" t="str">
            <v>WEC</v>
          </cell>
          <cell r="B46" t="str">
            <v>WPC</v>
          </cell>
          <cell r="C46" t="str">
            <v>WISCONSIN ENERGY</v>
          </cell>
          <cell r="D46">
            <v>20051215</v>
          </cell>
          <cell r="E46" t="str">
            <v>EPS</v>
          </cell>
          <cell r="F46" t="str">
            <v>ANN</v>
          </cell>
          <cell r="G46">
            <v>1</v>
          </cell>
          <cell r="H46">
            <v>10</v>
          </cell>
          <cell r="I46">
            <v>1.2</v>
          </cell>
          <cell r="J46">
            <v>1.2</v>
          </cell>
          <cell r="K46">
            <v>1</v>
          </cell>
          <cell r="L46">
            <v>20051231</v>
          </cell>
          <cell r="M46">
            <v>1.21</v>
          </cell>
          <cell r="N46">
            <v>20060208</v>
          </cell>
        </row>
        <row r="47">
          <cell r="A47" t="str">
            <v>LNT</v>
          </cell>
          <cell r="B47" t="str">
            <v>WPL</v>
          </cell>
          <cell r="C47" t="str">
            <v>ALLIANT ENER</v>
          </cell>
          <cell r="D47">
            <v>20051215</v>
          </cell>
          <cell r="E47" t="str">
            <v>EPS</v>
          </cell>
          <cell r="F47" t="str">
            <v>ANN</v>
          </cell>
          <cell r="G47">
            <v>1</v>
          </cell>
          <cell r="H47">
            <v>2</v>
          </cell>
          <cell r="I47">
            <v>1.01</v>
          </cell>
          <cell r="J47">
            <v>1.01</v>
          </cell>
          <cell r="K47">
            <v>1</v>
          </cell>
          <cell r="L47">
            <v>20051231</v>
          </cell>
          <cell r="M47">
            <v>1.1599999999999999</v>
          </cell>
          <cell r="N47">
            <v>20060208</v>
          </cell>
        </row>
        <row r="48">
          <cell r="A48" t="str">
            <v>WPS</v>
          </cell>
          <cell r="B48" t="str">
            <v>WPS</v>
          </cell>
          <cell r="C48" t="str">
            <v>WPS RESOURCES CP</v>
          </cell>
          <cell r="D48">
            <v>20051215</v>
          </cell>
          <cell r="E48" t="str">
            <v>EPS</v>
          </cell>
          <cell r="F48" t="str">
            <v>ANN</v>
          </cell>
          <cell r="G48">
            <v>1</v>
          </cell>
          <cell r="H48">
            <v>2</v>
          </cell>
          <cell r="I48">
            <v>3.98</v>
          </cell>
          <cell r="J48">
            <v>3.98</v>
          </cell>
          <cell r="K48">
            <v>1</v>
          </cell>
          <cell r="L48">
            <v>20051231</v>
          </cell>
          <cell r="M48">
            <v>4.1100000000000003</v>
          </cell>
          <cell r="N48">
            <v>20060131</v>
          </cell>
        </row>
        <row r="49">
          <cell r="A49" t="str">
            <v>AVA</v>
          </cell>
          <cell r="B49" t="str">
            <v>WWP</v>
          </cell>
          <cell r="C49" t="str">
            <v>AVISTA CORP</v>
          </cell>
          <cell r="D49">
            <v>20051215</v>
          </cell>
          <cell r="E49" t="str">
            <v>EPS</v>
          </cell>
          <cell r="F49" t="str">
            <v>ANN</v>
          </cell>
          <cell r="G49">
            <v>1</v>
          </cell>
          <cell r="H49">
            <v>2</v>
          </cell>
          <cell r="I49">
            <v>0.79</v>
          </cell>
          <cell r="J49">
            <v>0.79</v>
          </cell>
          <cell r="K49">
            <v>1</v>
          </cell>
          <cell r="L49">
            <v>20051231</v>
          </cell>
          <cell r="M49">
            <v>0.92</v>
          </cell>
          <cell r="N49">
            <v>20060210</v>
          </cell>
        </row>
        <row r="50">
          <cell r="A50" t="str">
            <v>PPL</v>
          </cell>
          <cell r="B50" t="str">
            <v>@1XJ</v>
          </cell>
          <cell r="C50" t="str">
            <v>PUMPKIN PATCH LT</v>
          </cell>
          <cell r="D50">
            <v>20051215</v>
          </cell>
          <cell r="E50" t="str">
            <v>EPS</v>
          </cell>
          <cell r="F50" t="str">
            <v>ANN</v>
          </cell>
          <cell r="G50">
            <v>1</v>
          </cell>
          <cell r="H50">
            <v>3</v>
          </cell>
          <cell r="I50">
            <v>0.14599999999999999</v>
          </cell>
          <cell r="J50">
            <v>0.14599999999999999</v>
          </cell>
          <cell r="K50">
            <v>0</v>
          </cell>
          <cell r="L50">
            <v>20050731</v>
          </cell>
          <cell r="M50">
            <v>0.14910000000000001</v>
          </cell>
          <cell r="N50">
            <v>20051222</v>
          </cell>
        </row>
        <row r="51">
          <cell r="A51" t="str">
            <v>CEG</v>
          </cell>
          <cell r="B51" t="str">
            <v>@1XM</v>
          </cell>
          <cell r="C51" t="str">
            <v>CEC GROUP LIMITE</v>
          </cell>
          <cell r="D51">
            <v>20051215</v>
          </cell>
          <cell r="E51" t="str">
            <v>EPS</v>
          </cell>
          <cell r="F51" t="str">
            <v>ANN</v>
          </cell>
          <cell r="G51">
            <v>1</v>
          </cell>
          <cell r="H51">
            <v>1</v>
          </cell>
          <cell r="I51">
            <v>0.19</v>
          </cell>
          <cell r="J51">
            <v>0.19</v>
          </cell>
          <cell r="K51">
            <v>0</v>
          </cell>
          <cell r="L51">
            <v>20060630</v>
          </cell>
          <cell r="M51">
            <v>0.18160000000000001</v>
          </cell>
          <cell r="N51">
            <v>20060913</v>
          </cell>
        </row>
        <row r="52">
          <cell r="A52" t="str">
            <v>ETR</v>
          </cell>
          <cell r="B52" t="str">
            <v>@8EN</v>
          </cell>
          <cell r="C52" t="str">
            <v>ENTERPRISE</v>
          </cell>
          <cell r="D52">
            <v>20051215</v>
          </cell>
          <cell r="E52" t="str">
            <v>EPS</v>
          </cell>
          <cell r="F52" t="str">
            <v>ANN</v>
          </cell>
          <cell r="G52">
            <v>1</v>
          </cell>
          <cell r="H52">
            <v>5</v>
          </cell>
          <cell r="I52">
            <v>26.21</v>
          </cell>
          <cell r="J52">
            <v>26.15</v>
          </cell>
          <cell r="K52">
            <v>0</v>
          </cell>
          <cell r="L52">
            <v>20051231</v>
          </cell>
          <cell r="M52">
            <v>26.56</v>
          </cell>
          <cell r="N52">
            <v>20060320</v>
          </cell>
        </row>
        <row r="53">
          <cell r="A53" t="str">
            <v>CNP</v>
          </cell>
          <cell r="B53" t="str">
            <v>@8PG</v>
          </cell>
          <cell r="C53" t="str">
            <v>CENTRO PROPERTIE</v>
          </cell>
          <cell r="D53">
            <v>20051215</v>
          </cell>
          <cell r="E53" t="str">
            <v>EPS</v>
          </cell>
          <cell r="F53" t="str">
            <v>ANN</v>
          </cell>
          <cell r="G53">
            <v>1</v>
          </cell>
          <cell r="H53">
            <v>4</v>
          </cell>
          <cell r="I53">
            <v>0.37</v>
          </cell>
          <cell r="J53">
            <v>0.37</v>
          </cell>
          <cell r="K53">
            <v>0</v>
          </cell>
          <cell r="L53">
            <v>20060630</v>
          </cell>
          <cell r="M53">
            <v>0.38</v>
          </cell>
          <cell r="N53">
            <v>20060808</v>
          </cell>
        </row>
        <row r="54">
          <cell r="A54" t="str">
            <v>CNP</v>
          </cell>
          <cell r="B54" t="str">
            <v>@CN0</v>
          </cell>
          <cell r="C54" t="str">
            <v>CNP ASSURANCES</v>
          </cell>
          <cell r="D54">
            <v>20051215</v>
          </cell>
          <cell r="E54" t="str">
            <v>EPS</v>
          </cell>
          <cell r="F54" t="str">
            <v>ANN</v>
          </cell>
          <cell r="G54">
            <v>1</v>
          </cell>
          <cell r="H54">
            <v>10</v>
          </cell>
          <cell r="I54">
            <v>1.27</v>
          </cell>
          <cell r="J54">
            <v>1.29</v>
          </cell>
          <cell r="K54">
            <v>0</v>
          </cell>
          <cell r="L54">
            <v>20051231</v>
          </cell>
          <cell r="M54">
            <v>1.6979</v>
          </cell>
          <cell r="N54">
            <v>20060404</v>
          </cell>
        </row>
        <row r="55">
          <cell r="A55" t="str">
            <v>SO</v>
          </cell>
          <cell r="B55" t="str">
            <v>@DAM</v>
          </cell>
          <cell r="C55" t="str">
            <v>SOMFY</v>
          </cell>
          <cell r="D55">
            <v>20051215</v>
          </cell>
          <cell r="E55" t="str">
            <v>EPS</v>
          </cell>
          <cell r="F55" t="str">
            <v>ANN</v>
          </cell>
          <cell r="G55">
            <v>1</v>
          </cell>
          <cell r="H55">
            <v>6</v>
          </cell>
          <cell r="I55">
            <v>2.27</v>
          </cell>
          <cell r="J55">
            <v>2.2599999999999998</v>
          </cell>
          <cell r="K55">
            <v>0</v>
          </cell>
          <cell r="L55">
            <v>20051231</v>
          </cell>
          <cell r="M55">
            <v>2.4020000000000001</v>
          </cell>
          <cell r="N55">
            <v>20060307</v>
          </cell>
        </row>
        <row r="56">
          <cell r="A56" t="str">
            <v>DTE</v>
          </cell>
          <cell r="B56" t="str">
            <v>@DT</v>
          </cell>
          <cell r="C56" t="str">
            <v>DEUTSCHE TELEKOM</v>
          </cell>
          <cell r="D56">
            <v>20051215</v>
          </cell>
          <cell r="E56" t="str">
            <v>EPS</v>
          </cell>
          <cell r="F56" t="str">
            <v>ANN</v>
          </cell>
          <cell r="G56">
            <v>1</v>
          </cell>
          <cell r="H56">
            <v>33</v>
          </cell>
          <cell r="I56">
            <v>1.1499999999999999</v>
          </cell>
          <cell r="J56">
            <v>1.1599999999999999</v>
          </cell>
          <cell r="K56">
            <v>0</v>
          </cell>
          <cell r="L56">
            <v>20051231</v>
          </cell>
          <cell r="M56">
            <v>1.31</v>
          </cell>
          <cell r="N56">
            <v>20060302</v>
          </cell>
        </row>
        <row r="57">
          <cell r="A57" t="str">
            <v>PCG</v>
          </cell>
          <cell r="B57" t="str">
            <v>@DTY</v>
          </cell>
          <cell r="C57" t="str">
            <v>PCH GROUP</v>
          </cell>
          <cell r="D57">
            <v>20051215</v>
          </cell>
          <cell r="E57" t="str">
            <v>EPS</v>
          </cell>
          <cell r="F57" t="str">
            <v>ANN</v>
          </cell>
          <cell r="G57">
            <v>1</v>
          </cell>
          <cell r="H57">
            <v>1</v>
          </cell>
          <cell r="I57">
            <v>7.2999999999999995E-2</v>
          </cell>
          <cell r="J57">
            <v>7.2999999999999995E-2</v>
          </cell>
          <cell r="K57">
            <v>0</v>
          </cell>
          <cell r="L57">
            <v>20060630</v>
          </cell>
          <cell r="M57">
            <v>9.4E-2</v>
          </cell>
          <cell r="N57">
            <v>20060908</v>
          </cell>
        </row>
        <row r="58">
          <cell r="A58" t="str">
            <v>EDE</v>
          </cell>
          <cell r="B58" t="str">
            <v>@E2L</v>
          </cell>
          <cell r="C58" t="str">
            <v>EDEGEL</v>
          </cell>
          <cell r="D58">
            <v>20051215</v>
          </cell>
          <cell r="E58" t="str">
            <v>EPS</v>
          </cell>
          <cell r="F58" t="str">
            <v>ANN</v>
          </cell>
          <cell r="G58">
            <v>1</v>
          </cell>
          <cell r="H58">
            <v>1</v>
          </cell>
          <cell r="I58">
            <v>0.02</v>
          </cell>
          <cell r="J58">
            <v>0.02</v>
          </cell>
          <cell r="K58">
            <v>0</v>
          </cell>
          <cell r="L58">
            <v>20051231</v>
          </cell>
          <cell r="M58">
            <v>7.5999999999999998E-2</v>
          </cell>
          <cell r="N58">
            <v>20060115</v>
          </cell>
        </row>
        <row r="59">
          <cell r="A59" t="str">
            <v>PGN</v>
          </cell>
          <cell r="B59" t="str">
            <v>@L35</v>
          </cell>
          <cell r="C59" t="str">
            <v>PERUSAHAAN GAS N</v>
          </cell>
          <cell r="D59">
            <v>20051215</v>
          </cell>
          <cell r="E59" t="str">
            <v>EPS</v>
          </cell>
          <cell r="F59" t="str">
            <v>ANN</v>
          </cell>
          <cell r="G59">
            <v>1</v>
          </cell>
          <cell r="H59">
            <v>8</v>
          </cell>
          <cell r="I59">
            <v>32.9</v>
          </cell>
          <cell r="J59">
            <v>33</v>
          </cell>
          <cell r="K59">
            <v>0</v>
          </cell>
          <cell r="L59">
            <v>20051231</v>
          </cell>
          <cell r="M59">
            <v>38.6</v>
          </cell>
          <cell r="N59">
            <v>20060330</v>
          </cell>
        </row>
        <row r="60">
          <cell r="A60" t="str">
            <v>ETR</v>
          </cell>
          <cell r="B60" t="str">
            <v>@NPD</v>
          </cell>
          <cell r="C60" t="str">
            <v>E*TRADE AUSTRALI</v>
          </cell>
          <cell r="D60">
            <v>20051215</v>
          </cell>
          <cell r="E60" t="str">
            <v>EPS</v>
          </cell>
          <cell r="F60" t="str">
            <v>ANN</v>
          </cell>
          <cell r="G60">
            <v>1</v>
          </cell>
          <cell r="H60">
            <v>1</v>
          </cell>
          <cell r="I60">
            <v>0.193</v>
          </cell>
          <cell r="J60">
            <v>0.193</v>
          </cell>
          <cell r="K60">
            <v>0</v>
          </cell>
          <cell r="L60">
            <v>20060630</v>
          </cell>
          <cell r="M60">
            <v>0.19989999999999999</v>
          </cell>
          <cell r="N60">
            <v>20060821</v>
          </cell>
        </row>
        <row r="61">
          <cell r="A61" t="str">
            <v>NST</v>
          </cell>
          <cell r="B61" t="str">
            <v>@NST</v>
          </cell>
          <cell r="C61" t="str">
            <v>NEW STRAITS TIME</v>
          </cell>
          <cell r="D61">
            <v>20051215</v>
          </cell>
          <cell r="E61" t="str">
            <v>EPS</v>
          </cell>
          <cell r="F61" t="str">
            <v>ANN</v>
          </cell>
          <cell r="G61">
            <v>1</v>
          </cell>
          <cell r="H61">
            <v>12</v>
          </cell>
          <cell r="I61">
            <v>5.8999999999999997E-2</v>
          </cell>
          <cell r="J61">
            <v>0.06</v>
          </cell>
          <cell r="K61">
            <v>0</v>
          </cell>
          <cell r="L61">
            <v>20051231</v>
          </cell>
          <cell r="M61">
            <v>5.7200000000000001E-2</v>
          </cell>
          <cell r="N61">
            <v>20060223</v>
          </cell>
        </row>
        <row r="62">
          <cell r="A62" t="str">
            <v>PGN</v>
          </cell>
          <cell r="B62" t="str">
            <v>@PGW</v>
          </cell>
          <cell r="C62" t="str">
            <v>PHARMAGENE PLC</v>
          </cell>
          <cell r="D62">
            <v>20051215</v>
          </cell>
          <cell r="E62" t="str">
            <v>EPS</v>
          </cell>
          <cell r="F62" t="str">
            <v>ANN</v>
          </cell>
          <cell r="G62">
            <v>1</v>
          </cell>
          <cell r="H62">
            <v>1</v>
          </cell>
          <cell r="I62">
            <v>-12</v>
          </cell>
          <cell r="J62">
            <v>-12</v>
          </cell>
          <cell r="K62">
            <v>0</v>
          </cell>
          <cell r="L62">
            <v>20051231</v>
          </cell>
          <cell r="M62">
            <v>-8.93</v>
          </cell>
          <cell r="N62">
            <v>20060320</v>
          </cell>
        </row>
        <row r="63">
          <cell r="A63" t="str">
            <v>POM</v>
          </cell>
          <cell r="B63" t="str">
            <v>@PO8</v>
          </cell>
          <cell r="C63" t="str">
            <v>PLASTIC OMNIUM</v>
          </cell>
          <cell r="D63">
            <v>20051215</v>
          </cell>
          <cell r="E63" t="str">
            <v>EPS</v>
          </cell>
          <cell r="F63" t="str">
            <v>ANN</v>
          </cell>
          <cell r="G63">
            <v>1</v>
          </cell>
          <cell r="H63">
            <v>9</v>
          </cell>
          <cell r="I63">
            <v>0.34</v>
          </cell>
          <cell r="J63">
            <v>0.35</v>
          </cell>
          <cell r="K63">
            <v>0</v>
          </cell>
          <cell r="L63">
            <v>20051231</v>
          </cell>
          <cell r="M63">
            <v>0.32440000000000002</v>
          </cell>
          <cell r="N63">
            <v>20060321</v>
          </cell>
        </row>
        <row r="64">
          <cell r="A64" t="str">
            <v>PGN</v>
          </cell>
          <cell r="B64" t="str">
            <v>@QPA</v>
          </cell>
          <cell r="C64" t="str">
            <v>PARAGON</v>
          </cell>
          <cell r="D64">
            <v>20051215</v>
          </cell>
          <cell r="E64" t="str">
            <v>EPS</v>
          </cell>
          <cell r="F64" t="str">
            <v>ANN</v>
          </cell>
          <cell r="G64">
            <v>1</v>
          </cell>
          <cell r="H64">
            <v>1</v>
          </cell>
          <cell r="I64">
            <v>0.74</v>
          </cell>
          <cell r="J64">
            <v>0.74</v>
          </cell>
          <cell r="K64">
            <v>0</v>
          </cell>
          <cell r="L64">
            <v>20051231</v>
          </cell>
          <cell r="M64">
            <v>0.311</v>
          </cell>
          <cell r="N64">
            <v>20060412</v>
          </cell>
        </row>
        <row r="65">
          <cell r="A65" t="str">
            <v>CIN</v>
          </cell>
          <cell r="B65" t="str">
            <v>@W1E</v>
          </cell>
          <cell r="C65" t="str">
            <v>CINTRA CONCESION</v>
          </cell>
          <cell r="D65">
            <v>20051215</v>
          </cell>
          <cell r="E65" t="str">
            <v>EPS</v>
          </cell>
          <cell r="F65" t="str">
            <v>ANN</v>
          </cell>
          <cell r="G65">
            <v>1</v>
          </cell>
          <cell r="H65">
            <v>10</v>
          </cell>
          <cell r="I65">
            <v>0.05</v>
          </cell>
          <cell r="J65">
            <v>0.06</v>
          </cell>
          <cell r="K65">
            <v>0</v>
          </cell>
          <cell r="L65">
            <v>20051231</v>
          </cell>
          <cell r="M65">
            <v>6.0499999999999998E-2</v>
          </cell>
          <cell r="N65">
            <v>20060224</v>
          </cell>
        </row>
        <row r="66">
          <cell r="A66" t="str">
            <v>CMS</v>
          </cell>
          <cell r="B66" t="str">
            <v>@XJM</v>
          </cell>
          <cell r="C66" t="str">
            <v>COMMUNISIS PLC</v>
          </cell>
          <cell r="D66">
            <v>20051215</v>
          </cell>
          <cell r="E66" t="str">
            <v>EPS</v>
          </cell>
          <cell r="F66" t="str">
            <v>ANN</v>
          </cell>
          <cell r="G66">
            <v>1</v>
          </cell>
          <cell r="H66">
            <v>1</v>
          </cell>
          <cell r="I66">
            <v>5.93</v>
          </cell>
          <cell r="J66">
            <v>5.93</v>
          </cell>
          <cell r="K66">
            <v>0</v>
          </cell>
          <cell r="L66">
            <v>20051231</v>
          </cell>
          <cell r="M66">
            <v>6.2812000000000001</v>
          </cell>
          <cell r="N66">
            <v>20060302</v>
          </cell>
        </row>
        <row r="67">
          <cell r="A67" t="str">
            <v>CIN</v>
          </cell>
          <cell r="B67" t="str">
            <v>@YYN</v>
          </cell>
          <cell r="C67" t="str">
            <v>CIN</v>
          </cell>
          <cell r="D67">
            <v>20051215</v>
          </cell>
          <cell r="E67" t="str">
            <v>EPS</v>
          </cell>
          <cell r="F67" t="str">
            <v>ANN</v>
          </cell>
          <cell r="G67">
            <v>1</v>
          </cell>
          <cell r="H67">
            <v>2</v>
          </cell>
          <cell r="I67">
            <v>0.67</v>
          </cell>
          <cell r="J67">
            <v>0.67</v>
          </cell>
          <cell r="K67">
            <v>0</v>
          </cell>
          <cell r="L67">
            <v>20051231</v>
          </cell>
          <cell r="M67">
            <v>0.33</v>
          </cell>
          <cell r="N67">
            <v>20060401</v>
          </cell>
        </row>
        <row r="68">
          <cell r="A68" t="str">
            <v>ALE</v>
          </cell>
          <cell r="B68" t="str">
            <v>ALE1</v>
          </cell>
          <cell r="C68" t="str">
            <v>SLEEMAN BREWS</v>
          </cell>
          <cell r="D68">
            <v>20051215</v>
          </cell>
          <cell r="E68" t="str">
            <v>EPS</v>
          </cell>
          <cell r="F68" t="str">
            <v>ANN</v>
          </cell>
          <cell r="G68">
            <v>1</v>
          </cell>
          <cell r="H68">
            <v>7</v>
          </cell>
          <cell r="I68">
            <v>0.82</v>
          </cell>
          <cell r="J68">
            <v>0.82</v>
          </cell>
          <cell r="K68">
            <v>0</v>
          </cell>
          <cell r="L68">
            <v>20051231</v>
          </cell>
          <cell r="M68">
            <v>0.6</v>
          </cell>
          <cell r="N68">
            <v>20060302</v>
          </cell>
        </row>
        <row r="69">
          <cell r="A69" t="str">
            <v>EXC</v>
          </cell>
          <cell r="B69" t="str">
            <v>EXC1</v>
          </cell>
          <cell r="C69" t="str">
            <v>EXTREME CCTV</v>
          </cell>
          <cell r="D69">
            <v>20051215</v>
          </cell>
          <cell r="E69" t="str">
            <v>EPS</v>
          </cell>
          <cell r="F69" t="str">
            <v>ANN</v>
          </cell>
          <cell r="G69">
            <v>1</v>
          </cell>
          <cell r="H69">
            <v>1</v>
          </cell>
          <cell r="I69">
            <v>7.0000000000000007E-2</v>
          </cell>
          <cell r="J69">
            <v>7.0000000000000007E-2</v>
          </cell>
          <cell r="K69">
            <v>0</v>
          </cell>
          <cell r="L69">
            <v>20060930</v>
          </cell>
          <cell r="M69">
            <v>0.11</v>
          </cell>
          <cell r="N69">
            <v>20061214</v>
          </cell>
        </row>
        <row r="70">
          <cell r="A70" t="str">
            <v>FE</v>
          </cell>
          <cell r="B70" t="str">
            <v>FE1</v>
          </cell>
          <cell r="C70" t="str">
            <v>FIND ENERGY LTD</v>
          </cell>
          <cell r="D70">
            <v>20051215</v>
          </cell>
          <cell r="E70" t="str">
            <v>EPS</v>
          </cell>
          <cell r="F70" t="str">
            <v>ANN</v>
          </cell>
          <cell r="G70">
            <v>1</v>
          </cell>
          <cell r="H70">
            <v>2</v>
          </cell>
          <cell r="I70">
            <v>0.34</v>
          </cell>
          <cell r="J70">
            <v>0.34</v>
          </cell>
          <cell r="K70">
            <v>0</v>
          </cell>
          <cell r="L70">
            <v>20051231</v>
          </cell>
          <cell r="M70">
            <v>0.36</v>
          </cell>
          <cell r="N70">
            <v>20060308</v>
          </cell>
        </row>
        <row r="71">
          <cell r="A71" t="str">
            <v>PEG</v>
          </cell>
          <cell r="B71" t="str">
            <v>PEG1</v>
          </cell>
          <cell r="C71" t="str">
            <v>PEREGRINE ENERGY</v>
          </cell>
          <cell r="D71">
            <v>20051215</v>
          </cell>
          <cell r="E71" t="str">
            <v>EPS</v>
          </cell>
          <cell r="F71" t="str">
            <v>ANN</v>
          </cell>
          <cell r="G71">
            <v>1</v>
          </cell>
          <cell r="H71">
            <v>3</v>
          </cell>
          <cell r="I71">
            <v>-0.02</v>
          </cell>
          <cell r="J71">
            <v>-0.01</v>
          </cell>
          <cell r="K71">
            <v>0</v>
          </cell>
          <cell r="L71">
            <v>20051231</v>
          </cell>
          <cell r="M71">
            <v>-7.0000000000000007E-2</v>
          </cell>
          <cell r="N71">
            <v>20060215</v>
          </cell>
        </row>
        <row r="72">
          <cell r="A72" t="str">
            <v>PSD</v>
          </cell>
          <cell r="B72" t="str">
            <v>PSD3</v>
          </cell>
          <cell r="C72" t="str">
            <v>PULSE DATA INC</v>
          </cell>
          <cell r="D72">
            <v>20051215</v>
          </cell>
          <cell r="E72" t="str">
            <v>EPS</v>
          </cell>
          <cell r="F72" t="str">
            <v>ANN</v>
          </cell>
          <cell r="G72">
            <v>1</v>
          </cell>
          <cell r="H72">
            <v>2</v>
          </cell>
          <cell r="I72">
            <v>0.12</v>
          </cell>
          <cell r="J72">
            <v>0.12</v>
          </cell>
          <cell r="K72">
            <v>0</v>
          </cell>
          <cell r="L72">
            <v>20051231</v>
          </cell>
          <cell r="M72">
            <v>0.14000000000000001</v>
          </cell>
          <cell r="N72">
            <v>20060327</v>
          </cell>
        </row>
        <row r="73">
          <cell r="A73" t="str">
            <v>SO</v>
          </cell>
          <cell r="B73" t="str">
            <v>SOCA</v>
          </cell>
          <cell r="C73" t="str">
            <v>SOFTCHOICE CORP</v>
          </cell>
          <cell r="D73">
            <v>20051215</v>
          </cell>
          <cell r="E73" t="str">
            <v>EPS</v>
          </cell>
          <cell r="F73" t="str">
            <v>ANN</v>
          </cell>
          <cell r="G73">
            <v>1</v>
          </cell>
          <cell r="H73">
            <v>2</v>
          </cell>
          <cell r="I73">
            <v>0.89</v>
          </cell>
          <cell r="J73">
            <v>0.89</v>
          </cell>
          <cell r="K73">
            <v>0</v>
          </cell>
          <cell r="L73">
            <v>20051231</v>
          </cell>
          <cell r="M73">
            <v>0.93</v>
          </cell>
          <cell r="N73">
            <v>20060213</v>
          </cell>
        </row>
      </sheetData>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RDS"/>
    </sheetNames>
    <sheetDataSet>
      <sheetData sheetId="0">
        <row r="1">
          <cell r="A1" t="str">
            <v>OFTIC</v>
          </cell>
          <cell r="B1" t="str">
            <v>IBES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USFIRM=0 if from .INT file and USFIRM=1 if from .US file</v>
          </cell>
          <cell r="M1" t="str">
            <v>Forecast Period End Date (SAS Format)</v>
          </cell>
          <cell r="N1" t="str">
            <v>Actual Value, from the Detail Actuals File</v>
          </cell>
          <cell r="O1" t="str">
            <v>Announce date of the Actual, from the Detail Actuals File</v>
          </cell>
        </row>
        <row r="2">
          <cell r="A2" t="str">
            <v>AGR</v>
          </cell>
          <cell r="B2" t="str">
            <v>AGRA</v>
          </cell>
          <cell r="C2" t="str">
            <v>AGERE SYSTEMS</v>
          </cell>
          <cell r="D2">
            <v>20051215</v>
          </cell>
          <cell r="E2" t="str">
            <v>EPS</v>
          </cell>
          <cell r="F2" t="str">
            <v>LTG</v>
          </cell>
          <cell r="G2">
            <v>0</v>
          </cell>
          <cell r="H2">
            <v>4</v>
          </cell>
          <cell r="I2">
            <v>12.5</v>
          </cell>
          <cell r="J2">
            <v>13.75</v>
          </cell>
          <cell r="K2">
            <v>4.79</v>
          </cell>
          <cell r="L2">
            <v>1</v>
          </cell>
        </row>
        <row r="3">
          <cell r="A3" t="str">
            <v>PNW</v>
          </cell>
          <cell r="B3" t="str">
            <v>AZP</v>
          </cell>
          <cell r="C3" t="str">
            <v>PINNACLE WST CAP</v>
          </cell>
          <cell r="D3">
            <v>20051215</v>
          </cell>
          <cell r="E3" t="str">
            <v>EPS</v>
          </cell>
          <cell r="F3" t="str">
            <v>LTG</v>
          </cell>
          <cell r="G3">
            <v>0</v>
          </cell>
          <cell r="H3">
            <v>5</v>
          </cell>
          <cell r="I3">
            <v>5</v>
          </cell>
          <cell r="J3">
            <v>6</v>
          </cell>
          <cell r="K3">
            <v>3.54</v>
          </cell>
          <cell r="L3">
            <v>1</v>
          </cell>
        </row>
        <row r="4">
          <cell r="A4" t="str">
            <v>CEG</v>
          </cell>
          <cell r="B4" t="str">
            <v>BGE</v>
          </cell>
          <cell r="C4" t="str">
            <v>CONSTELLATION EN</v>
          </cell>
          <cell r="D4">
            <v>20051215</v>
          </cell>
          <cell r="E4" t="str">
            <v>EPS</v>
          </cell>
          <cell r="F4" t="str">
            <v>LTG</v>
          </cell>
          <cell r="G4">
            <v>0</v>
          </cell>
          <cell r="H4">
            <v>7</v>
          </cell>
          <cell r="I4">
            <v>12</v>
          </cell>
          <cell r="J4">
            <v>11.43</v>
          </cell>
          <cell r="K4">
            <v>2.7</v>
          </cell>
          <cell r="L4">
            <v>1</v>
          </cell>
        </row>
        <row r="5">
          <cell r="A5" t="str">
            <v>BKH</v>
          </cell>
          <cell r="B5" t="str">
            <v>BHP</v>
          </cell>
          <cell r="C5" t="str">
            <v>BLACK HILLS CP</v>
          </cell>
          <cell r="D5">
            <v>20051215</v>
          </cell>
          <cell r="E5" t="str">
            <v>EPS</v>
          </cell>
          <cell r="F5" t="str">
            <v>LTG</v>
          </cell>
          <cell r="G5">
            <v>0</v>
          </cell>
          <cell r="H5">
            <v>1</v>
          </cell>
          <cell r="I5">
            <v>6</v>
          </cell>
          <cell r="J5">
            <v>6</v>
          </cell>
          <cell r="L5">
            <v>1</v>
          </cell>
        </row>
        <row r="6">
          <cell r="A6" t="str">
            <v>NST</v>
          </cell>
          <cell r="B6" t="str">
            <v>BSE</v>
          </cell>
          <cell r="C6" t="str">
            <v>NSTAR</v>
          </cell>
          <cell r="D6">
            <v>20051215</v>
          </cell>
          <cell r="E6" t="str">
            <v>EPS</v>
          </cell>
          <cell r="F6" t="str">
            <v>LTG</v>
          </cell>
          <cell r="G6">
            <v>0</v>
          </cell>
          <cell r="H6">
            <v>4</v>
          </cell>
          <cell r="I6">
            <v>5</v>
          </cell>
          <cell r="J6">
            <v>4.75</v>
          </cell>
          <cell r="K6">
            <v>0.5</v>
          </cell>
          <cell r="L6">
            <v>1</v>
          </cell>
        </row>
        <row r="7">
          <cell r="A7" t="str">
            <v>CIN</v>
          </cell>
          <cell r="B7" t="str">
            <v>CIN</v>
          </cell>
          <cell r="C7" t="str">
            <v>CINERGY CORP</v>
          </cell>
          <cell r="D7">
            <v>20051215</v>
          </cell>
          <cell r="E7" t="str">
            <v>EPS</v>
          </cell>
          <cell r="F7" t="str">
            <v>LTG</v>
          </cell>
          <cell r="G7">
            <v>0</v>
          </cell>
          <cell r="H7">
            <v>5</v>
          </cell>
          <cell r="I7">
            <v>5</v>
          </cell>
          <cell r="J7">
            <v>4.8</v>
          </cell>
          <cell r="K7">
            <v>0.45</v>
          </cell>
          <cell r="L7">
            <v>1</v>
          </cell>
        </row>
        <row r="8">
          <cell r="A8" t="str">
            <v>CMS</v>
          </cell>
          <cell r="B8" t="str">
            <v>CMS</v>
          </cell>
          <cell r="C8" t="str">
            <v>CMS ENERGY CORP</v>
          </cell>
          <cell r="D8">
            <v>20051215</v>
          </cell>
          <cell r="E8" t="str">
            <v>EPS</v>
          </cell>
          <cell r="F8" t="str">
            <v>LTG</v>
          </cell>
          <cell r="G8">
            <v>0</v>
          </cell>
          <cell r="H8">
            <v>6</v>
          </cell>
          <cell r="I8">
            <v>6.5</v>
          </cell>
          <cell r="J8">
            <v>7.33</v>
          </cell>
          <cell r="K8">
            <v>3.56</v>
          </cell>
          <cell r="L8">
            <v>1</v>
          </cell>
        </row>
        <row r="9">
          <cell r="A9" t="str">
            <v>CNL</v>
          </cell>
          <cell r="B9" t="str">
            <v>CNL</v>
          </cell>
          <cell r="C9" t="str">
            <v>CLECO CORP</v>
          </cell>
          <cell r="D9">
            <v>20051215</v>
          </cell>
          <cell r="E9" t="str">
            <v>EPS</v>
          </cell>
          <cell r="F9" t="str">
            <v>LTG</v>
          </cell>
          <cell r="G9">
            <v>0</v>
          </cell>
          <cell r="H9">
            <v>3</v>
          </cell>
          <cell r="I9">
            <v>4.93</v>
          </cell>
          <cell r="J9">
            <v>4.9800000000000004</v>
          </cell>
          <cell r="K9">
            <v>1</v>
          </cell>
          <cell r="L9">
            <v>1</v>
          </cell>
        </row>
        <row r="10">
          <cell r="A10" t="str">
            <v>PGN</v>
          </cell>
          <cell r="B10" t="str">
            <v>CPL</v>
          </cell>
          <cell r="C10" t="str">
            <v>PROGRESS ENERGY</v>
          </cell>
          <cell r="D10">
            <v>20051215</v>
          </cell>
          <cell r="E10" t="str">
            <v>EPS</v>
          </cell>
          <cell r="F10" t="str">
            <v>LTG</v>
          </cell>
          <cell r="G10">
            <v>0</v>
          </cell>
          <cell r="H10">
            <v>6</v>
          </cell>
          <cell r="I10">
            <v>3.75</v>
          </cell>
          <cell r="J10">
            <v>3.92</v>
          </cell>
          <cell r="K10">
            <v>0.92</v>
          </cell>
          <cell r="L10">
            <v>1</v>
          </cell>
        </row>
        <row r="11">
          <cell r="A11" t="str">
            <v>D</v>
          </cell>
          <cell r="B11" t="str">
            <v>D</v>
          </cell>
          <cell r="C11" t="str">
            <v>DOMINION RES INC</v>
          </cell>
          <cell r="D11">
            <v>20051215</v>
          </cell>
          <cell r="E11" t="str">
            <v>EPS</v>
          </cell>
          <cell r="F11" t="str">
            <v>LTG</v>
          </cell>
          <cell r="G11">
            <v>0</v>
          </cell>
          <cell r="H11">
            <v>5</v>
          </cell>
          <cell r="I11">
            <v>5</v>
          </cell>
          <cell r="J11">
            <v>8.4</v>
          </cell>
          <cell r="K11">
            <v>4.7699999999999996</v>
          </cell>
          <cell r="L11">
            <v>1</v>
          </cell>
        </row>
        <row r="12">
          <cell r="A12" t="str">
            <v>DPL</v>
          </cell>
          <cell r="B12" t="str">
            <v>DPL</v>
          </cell>
          <cell r="C12" t="str">
            <v>DPL INC</v>
          </cell>
          <cell r="D12">
            <v>20051215</v>
          </cell>
          <cell r="E12" t="str">
            <v>EPS</v>
          </cell>
          <cell r="F12" t="str">
            <v>LTG</v>
          </cell>
          <cell r="G12">
            <v>0</v>
          </cell>
          <cell r="H12">
            <v>3</v>
          </cell>
          <cell r="I12">
            <v>5</v>
          </cell>
          <cell r="J12">
            <v>4.67</v>
          </cell>
          <cell r="K12">
            <v>0.57999999999999996</v>
          </cell>
          <cell r="L12">
            <v>1</v>
          </cell>
        </row>
        <row r="13">
          <cell r="A13" t="str">
            <v>DTE</v>
          </cell>
          <cell r="B13" t="str">
            <v>DTE</v>
          </cell>
          <cell r="C13" t="str">
            <v>DTE ENERGY</v>
          </cell>
          <cell r="D13">
            <v>20051215</v>
          </cell>
          <cell r="E13" t="str">
            <v>EPS</v>
          </cell>
          <cell r="F13" t="str">
            <v>LTG</v>
          </cell>
          <cell r="G13">
            <v>0</v>
          </cell>
          <cell r="H13">
            <v>3</v>
          </cell>
          <cell r="I13">
            <v>4</v>
          </cell>
          <cell r="J13">
            <v>4.33</v>
          </cell>
          <cell r="K13">
            <v>0.57999999999999996</v>
          </cell>
          <cell r="L13">
            <v>1</v>
          </cell>
        </row>
        <row r="14">
          <cell r="A14" t="str">
            <v>DUK</v>
          </cell>
          <cell r="B14" t="str">
            <v>DUK</v>
          </cell>
          <cell r="C14" t="str">
            <v>DUKE ENERGY CORP</v>
          </cell>
          <cell r="D14">
            <v>20051215</v>
          </cell>
          <cell r="E14" t="str">
            <v>EPS</v>
          </cell>
          <cell r="F14" t="str">
            <v>LTG</v>
          </cell>
          <cell r="G14">
            <v>0</v>
          </cell>
          <cell r="H14">
            <v>12</v>
          </cell>
          <cell r="I14">
            <v>5</v>
          </cell>
          <cell r="J14">
            <v>5.28</v>
          </cell>
          <cell r="K14">
            <v>2.3199999999999998</v>
          </cell>
          <cell r="L14">
            <v>1</v>
          </cell>
        </row>
        <row r="15">
          <cell r="A15" t="str">
            <v>ED</v>
          </cell>
          <cell r="B15" t="str">
            <v>ED</v>
          </cell>
          <cell r="C15" t="str">
            <v>CONSOLIDATED EDI</v>
          </cell>
          <cell r="D15">
            <v>20051215</v>
          </cell>
          <cell r="E15" t="str">
            <v>EPS</v>
          </cell>
          <cell r="F15" t="str">
            <v>LTG</v>
          </cell>
          <cell r="G15">
            <v>0</v>
          </cell>
          <cell r="H15">
            <v>7</v>
          </cell>
          <cell r="I15">
            <v>3</v>
          </cell>
          <cell r="J15">
            <v>3.32</v>
          </cell>
          <cell r="K15">
            <v>1.47</v>
          </cell>
          <cell r="L15">
            <v>1</v>
          </cell>
        </row>
        <row r="16">
          <cell r="A16" t="str">
            <v>EDE</v>
          </cell>
          <cell r="B16" t="str">
            <v>EDE</v>
          </cell>
          <cell r="C16" t="str">
            <v>EMPIRE DIST ELEC</v>
          </cell>
          <cell r="D16">
            <v>20051215</v>
          </cell>
          <cell r="E16" t="str">
            <v>EPS</v>
          </cell>
          <cell r="F16" t="str">
            <v>LTG</v>
          </cell>
          <cell r="G16">
            <v>0</v>
          </cell>
          <cell r="H16">
            <v>2</v>
          </cell>
          <cell r="I16">
            <v>2</v>
          </cell>
          <cell r="J16">
            <v>2</v>
          </cell>
          <cell r="K16">
            <v>1.41</v>
          </cell>
          <cell r="L16">
            <v>1</v>
          </cell>
        </row>
        <row r="17">
          <cell r="A17" t="str">
            <v>FPL</v>
          </cell>
          <cell r="B17" t="str">
            <v>FPL</v>
          </cell>
          <cell r="C17" t="str">
            <v>FPL GROUP</v>
          </cell>
          <cell r="D17">
            <v>20051215</v>
          </cell>
          <cell r="E17" t="str">
            <v>EPS</v>
          </cell>
          <cell r="F17" t="str">
            <v>LTG</v>
          </cell>
          <cell r="G17">
            <v>0</v>
          </cell>
          <cell r="H17">
            <v>8</v>
          </cell>
          <cell r="I17">
            <v>5.0999999999999996</v>
          </cell>
          <cell r="J17">
            <v>6.35</v>
          </cell>
          <cell r="K17">
            <v>2.59</v>
          </cell>
          <cell r="L17">
            <v>1</v>
          </cell>
        </row>
        <row r="18">
          <cell r="A18" t="str">
            <v>HE</v>
          </cell>
          <cell r="B18" t="str">
            <v>HE</v>
          </cell>
          <cell r="C18" t="str">
            <v>HAWAIIAN ELEC</v>
          </cell>
          <cell r="D18">
            <v>20051215</v>
          </cell>
          <cell r="E18" t="str">
            <v>EPS</v>
          </cell>
          <cell r="F18" t="str">
            <v>LTG</v>
          </cell>
          <cell r="G18">
            <v>0</v>
          </cell>
          <cell r="H18">
            <v>4</v>
          </cell>
          <cell r="I18">
            <v>4</v>
          </cell>
          <cell r="J18">
            <v>4.45</v>
          </cell>
          <cell r="K18">
            <v>2.19</v>
          </cell>
          <cell r="L18">
            <v>1</v>
          </cell>
        </row>
        <row r="19">
          <cell r="A19" t="str">
            <v>CNP</v>
          </cell>
          <cell r="B19" t="str">
            <v>HOU</v>
          </cell>
          <cell r="C19" t="str">
            <v>CENTERPOINT ENER</v>
          </cell>
          <cell r="D19">
            <v>20051215</v>
          </cell>
          <cell r="E19" t="str">
            <v>EPS</v>
          </cell>
          <cell r="F19" t="str">
            <v>LTG</v>
          </cell>
          <cell r="G19">
            <v>0</v>
          </cell>
          <cell r="H19">
            <v>3</v>
          </cell>
          <cell r="I19">
            <v>15</v>
          </cell>
          <cell r="J19">
            <v>12</v>
          </cell>
          <cell r="K19">
            <v>7.94</v>
          </cell>
          <cell r="L19">
            <v>1</v>
          </cell>
        </row>
        <row r="20">
          <cell r="A20" t="str">
            <v>IDA</v>
          </cell>
          <cell r="B20" t="str">
            <v>IDA</v>
          </cell>
          <cell r="C20" t="str">
            <v>IDACORP INC.</v>
          </cell>
          <cell r="D20">
            <v>20051215</v>
          </cell>
          <cell r="E20" t="str">
            <v>EPS</v>
          </cell>
          <cell r="F20" t="str">
            <v>LTG</v>
          </cell>
          <cell r="G20">
            <v>0</v>
          </cell>
          <cell r="H20">
            <v>3</v>
          </cell>
          <cell r="I20">
            <v>5</v>
          </cell>
          <cell r="J20">
            <v>4.33</v>
          </cell>
          <cell r="K20">
            <v>1.1499999999999999</v>
          </cell>
          <cell r="L20">
            <v>1</v>
          </cell>
        </row>
        <row r="21">
          <cell r="A21" t="str">
            <v>WR</v>
          </cell>
          <cell r="B21" t="str">
            <v>KAN</v>
          </cell>
          <cell r="C21" t="str">
            <v>WESTAR ENERGY</v>
          </cell>
          <cell r="D21">
            <v>20051215</v>
          </cell>
          <cell r="E21" t="str">
            <v>EPS</v>
          </cell>
          <cell r="F21" t="str">
            <v>LTG</v>
          </cell>
          <cell r="G21">
            <v>0</v>
          </cell>
          <cell r="H21">
            <v>3</v>
          </cell>
          <cell r="I21">
            <v>3</v>
          </cell>
          <cell r="J21">
            <v>3.2</v>
          </cell>
          <cell r="K21">
            <v>1.71</v>
          </cell>
          <cell r="L21">
            <v>1</v>
          </cell>
        </row>
        <row r="22">
          <cell r="A22" t="str">
            <v>GXP</v>
          </cell>
          <cell r="B22" t="str">
            <v>KLT</v>
          </cell>
          <cell r="C22" t="str">
            <v>GREAT PLAINS</v>
          </cell>
          <cell r="D22">
            <v>20051215</v>
          </cell>
          <cell r="E22" t="str">
            <v>EPS</v>
          </cell>
          <cell r="F22" t="str">
            <v>LTG</v>
          </cell>
          <cell r="G22">
            <v>0</v>
          </cell>
          <cell r="H22">
            <v>4</v>
          </cell>
          <cell r="I22">
            <v>3.03</v>
          </cell>
          <cell r="J22">
            <v>3.01</v>
          </cell>
          <cell r="K22">
            <v>0.82</v>
          </cell>
          <cell r="L22">
            <v>1</v>
          </cell>
        </row>
        <row r="23">
          <cell r="A23" t="str">
            <v>ALE</v>
          </cell>
          <cell r="B23" t="str">
            <v>MPL</v>
          </cell>
          <cell r="C23" t="str">
            <v>ALLETE INC</v>
          </cell>
          <cell r="D23">
            <v>20051215</v>
          </cell>
          <cell r="E23" t="str">
            <v>EPS</v>
          </cell>
          <cell r="F23" t="str">
            <v>LTG</v>
          </cell>
          <cell r="G23">
            <v>0</v>
          </cell>
          <cell r="H23">
            <v>4</v>
          </cell>
          <cell r="I23">
            <v>6.4</v>
          </cell>
          <cell r="J23">
            <v>7.45</v>
          </cell>
          <cell r="K23">
            <v>3.31</v>
          </cell>
          <cell r="L23">
            <v>1</v>
          </cell>
        </row>
        <row r="24">
          <cell r="A24" t="str">
            <v>ETR</v>
          </cell>
          <cell r="B24" t="str">
            <v>MSU</v>
          </cell>
          <cell r="C24" t="str">
            <v>ENTERGY CP</v>
          </cell>
          <cell r="D24">
            <v>20051215</v>
          </cell>
          <cell r="E24" t="str">
            <v>EPS</v>
          </cell>
          <cell r="F24" t="str">
            <v>LTG</v>
          </cell>
          <cell r="G24">
            <v>0</v>
          </cell>
          <cell r="H24">
            <v>7</v>
          </cell>
          <cell r="I24">
            <v>7</v>
          </cell>
          <cell r="J24">
            <v>8</v>
          </cell>
          <cell r="K24">
            <v>3.42</v>
          </cell>
          <cell r="L24">
            <v>1</v>
          </cell>
        </row>
        <row r="25">
          <cell r="A25" t="str">
            <v>EAS</v>
          </cell>
          <cell r="B25" t="str">
            <v>NGE</v>
          </cell>
          <cell r="C25" t="str">
            <v>ENERGY EAST CORP</v>
          </cell>
          <cell r="D25">
            <v>20051215</v>
          </cell>
          <cell r="E25" t="str">
            <v>EPS</v>
          </cell>
          <cell r="F25" t="str">
            <v>LTG</v>
          </cell>
          <cell r="G25">
            <v>0</v>
          </cell>
          <cell r="H25">
            <v>2</v>
          </cell>
          <cell r="I25">
            <v>4.5</v>
          </cell>
          <cell r="J25">
            <v>4.5</v>
          </cell>
          <cell r="K25">
            <v>0.71</v>
          </cell>
          <cell r="L25">
            <v>1</v>
          </cell>
        </row>
        <row r="26">
          <cell r="A26" t="str">
            <v>XEL</v>
          </cell>
          <cell r="B26" t="str">
            <v>NSP</v>
          </cell>
          <cell r="C26" t="str">
            <v>XCEL ENERGY INC</v>
          </cell>
          <cell r="D26">
            <v>20051215</v>
          </cell>
          <cell r="E26" t="str">
            <v>EPS</v>
          </cell>
          <cell r="F26" t="str">
            <v>LTG</v>
          </cell>
          <cell r="G26">
            <v>0</v>
          </cell>
          <cell r="H26">
            <v>6</v>
          </cell>
          <cell r="I26">
            <v>3</v>
          </cell>
          <cell r="J26">
            <v>3.33</v>
          </cell>
          <cell r="K26">
            <v>0.52</v>
          </cell>
          <cell r="L26">
            <v>1</v>
          </cell>
        </row>
        <row r="27">
          <cell r="A27" t="str">
            <v>NU</v>
          </cell>
          <cell r="B27" t="str">
            <v>NU</v>
          </cell>
          <cell r="C27" t="str">
            <v>NORTHEAST UTILS</v>
          </cell>
          <cell r="D27">
            <v>20051215</v>
          </cell>
          <cell r="E27" t="str">
            <v>EPS</v>
          </cell>
          <cell r="F27" t="str">
            <v>LTG</v>
          </cell>
          <cell r="G27">
            <v>0</v>
          </cell>
          <cell r="H27">
            <v>4</v>
          </cell>
          <cell r="I27">
            <v>7</v>
          </cell>
          <cell r="J27">
            <v>7.75</v>
          </cell>
          <cell r="K27">
            <v>3.4</v>
          </cell>
          <cell r="L27">
            <v>1</v>
          </cell>
        </row>
        <row r="28">
          <cell r="A28" t="str">
            <v>FE</v>
          </cell>
          <cell r="B28" t="str">
            <v>OEC</v>
          </cell>
          <cell r="C28" t="str">
            <v>FIRSTENERGY CORP</v>
          </cell>
          <cell r="D28">
            <v>20051215</v>
          </cell>
          <cell r="E28" t="str">
            <v>EPS</v>
          </cell>
          <cell r="F28" t="str">
            <v>LTG</v>
          </cell>
          <cell r="G28">
            <v>0</v>
          </cell>
          <cell r="H28">
            <v>6</v>
          </cell>
          <cell r="I28">
            <v>5</v>
          </cell>
          <cell r="J28">
            <v>4.67</v>
          </cell>
          <cell r="K28">
            <v>0.82</v>
          </cell>
          <cell r="L28">
            <v>1</v>
          </cell>
        </row>
        <row r="29">
          <cell r="A29" t="str">
            <v>OGE</v>
          </cell>
          <cell r="B29" t="str">
            <v>OGE</v>
          </cell>
          <cell r="C29" t="str">
            <v>OGE ENERGY CORP</v>
          </cell>
          <cell r="D29">
            <v>20051215</v>
          </cell>
          <cell r="E29" t="str">
            <v>EPS</v>
          </cell>
          <cell r="F29" t="str">
            <v>LTG</v>
          </cell>
          <cell r="G29">
            <v>0</v>
          </cell>
          <cell r="H29">
            <v>3</v>
          </cell>
          <cell r="I29">
            <v>3</v>
          </cell>
          <cell r="J29">
            <v>3</v>
          </cell>
          <cell r="K29">
            <v>1</v>
          </cell>
          <cell r="L29">
            <v>1</v>
          </cell>
        </row>
        <row r="30">
          <cell r="A30" t="str">
            <v>OTTR</v>
          </cell>
          <cell r="B30" t="str">
            <v>OTTR</v>
          </cell>
          <cell r="C30" t="str">
            <v>OTTER TAIL CORP.</v>
          </cell>
          <cell r="D30">
            <v>20051215</v>
          </cell>
          <cell r="E30" t="str">
            <v>EPS</v>
          </cell>
          <cell r="F30" t="str">
            <v>LTG</v>
          </cell>
          <cell r="G30">
            <v>0</v>
          </cell>
          <cell r="H30">
            <v>4</v>
          </cell>
          <cell r="I30">
            <v>4.5</v>
          </cell>
          <cell r="J30">
            <v>4.75</v>
          </cell>
          <cell r="K30">
            <v>0.96</v>
          </cell>
          <cell r="L30">
            <v>1</v>
          </cell>
        </row>
        <row r="31">
          <cell r="A31" t="str">
            <v>PCG</v>
          </cell>
          <cell r="B31" t="str">
            <v>PCG</v>
          </cell>
          <cell r="C31" t="str">
            <v>P G &amp; E CORP</v>
          </cell>
          <cell r="D31">
            <v>20051215</v>
          </cell>
          <cell r="E31" t="str">
            <v>EPS</v>
          </cell>
          <cell r="F31" t="str">
            <v>LTG</v>
          </cell>
          <cell r="G31">
            <v>0</v>
          </cell>
          <cell r="H31">
            <v>8</v>
          </cell>
          <cell r="I31">
            <v>5</v>
          </cell>
          <cell r="J31">
            <v>5.51</v>
          </cell>
          <cell r="K31">
            <v>1.57</v>
          </cell>
          <cell r="L31">
            <v>1</v>
          </cell>
        </row>
        <row r="32">
          <cell r="A32" t="str">
            <v>EXC</v>
          </cell>
          <cell r="B32" t="str">
            <v>PE</v>
          </cell>
          <cell r="C32" t="str">
            <v>EXELON CORP</v>
          </cell>
          <cell r="D32">
            <v>20051215</v>
          </cell>
          <cell r="E32" t="str">
            <v>EPS</v>
          </cell>
          <cell r="F32" t="str">
            <v>LTG</v>
          </cell>
          <cell r="G32">
            <v>0</v>
          </cell>
          <cell r="H32">
            <v>9</v>
          </cell>
          <cell r="I32">
            <v>6</v>
          </cell>
          <cell r="J32">
            <v>7.67</v>
          </cell>
          <cell r="K32">
            <v>4.12</v>
          </cell>
          <cell r="L32">
            <v>1</v>
          </cell>
        </row>
        <row r="33">
          <cell r="A33" t="str">
            <v>PEG</v>
          </cell>
          <cell r="B33" t="str">
            <v>PEG</v>
          </cell>
          <cell r="C33" t="str">
            <v>PUB SVC ENTERS</v>
          </cell>
          <cell r="D33">
            <v>20051215</v>
          </cell>
          <cell r="E33" t="str">
            <v>EPS</v>
          </cell>
          <cell r="F33" t="str">
            <v>LTG</v>
          </cell>
          <cell r="G33">
            <v>0</v>
          </cell>
          <cell r="H33">
            <v>4</v>
          </cell>
          <cell r="I33">
            <v>3.5</v>
          </cell>
          <cell r="J33">
            <v>3.25</v>
          </cell>
          <cell r="K33">
            <v>0.96</v>
          </cell>
          <cell r="L33">
            <v>1</v>
          </cell>
        </row>
        <row r="34">
          <cell r="A34" t="str">
            <v>PNM</v>
          </cell>
          <cell r="B34" t="str">
            <v>PNM</v>
          </cell>
          <cell r="C34" t="str">
            <v>PNM RESOURCES</v>
          </cell>
          <cell r="D34">
            <v>20051215</v>
          </cell>
          <cell r="E34" t="str">
            <v>EPS</v>
          </cell>
          <cell r="F34" t="str">
            <v>LTG</v>
          </cell>
          <cell r="G34">
            <v>0</v>
          </cell>
          <cell r="H34">
            <v>5</v>
          </cell>
          <cell r="I34">
            <v>11.5</v>
          </cell>
          <cell r="J34">
            <v>10.66</v>
          </cell>
          <cell r="K34">
            <v>5.53</v>
          </cell>
          <cell r="L34">
            <v>1</v>
          </cell>
        </row>
        <row r="35">
          <cell r="A35" t="str">
            <v>POM</v>
          </cell>
          <cell r="B35" t="str">
            <v>POM</v>
          </cell>
          <cell r="C35" t="str">
            <v>PEPCO HOLDINGS</v>
          </cell>
          <cell r="D35">
            <v>20051215</v>
          </cell>
          <cell r="E35" t="str">
            <v>EPS</v>
          </cell>
          <cell r="F35" t="str">
            <v>LTG</v>
          </cell>
          <cell r="G35">
            <v>0</v>
          </cell>
          <cell r="H35">
            <v>5</v>
          </cell>
          <cell r="I35">
            <v>4</v>
          </cell>
          <cell r="J35">
            <v>3.6</v>
          </cell>
          <cell r="K35">
            <v>0.55000000000000004</v>
          </cell>
          <cell r="L35">
            <v>1</v>
          </cell>
        </row>
        <row r="36">
          <cell r="A36" t="str">
            <v>PPL</v>
          </cell>
          <cell r="B36" t="str">
            <v>PPL</v>
          </cell>
          <cell r="C36" t="str">
            <v>PP&amp;L CORP</v>
          </cell>
          <cell r="D36">
            <v>20051215</v>
          </cell>
          <cell r="E36" t="str">
            <v>EPS</v>
          </cell>
          <cell r="F36" t="str">
            <v>LTG</v>
          </cell>
          <cell r="G36">
            <v>0</v>
          </cell>
          <cell r="H36">
            <v>8</v>
          </cell>
          <cell r="I36">
            <v>6.25</v>
          </cell>
          <cell r="J36">
            <v>7.44</v>
          </cell>
          <cell r="K36">
            <v>3.18</v>
          </cell>
          <cell r="L36">
            <v>1</v>
          </cell>
        </row>
        <row r="37">
          <cell r="A37" t="str">
            <v>PSD</v>
          </cell>
          <cell r="B37" t="str">
            <v>PSD</v>
          </cell>
          <cell r="C37" t="str">
            <v>PUGET ENERGY INC</v>
          </cell>
          <cell r="D37">
            <v>20051215</v>
          </cell>
          <cell r="E37" t="str">
            <v>EPS</v>
          </cell>
          <cell r="F37" t="str">
            <v>LTG</v>
          </cell>
          <cell r="G37">
            <v>0</v>
          </cell>
          <cell r="H37">
            <v>4</v>
          </cell>
          <cell r="I37">
            <v>4</v>
          </cell>
          <cell r="J37">
            <v>4</v>
          </cell>
          <cell r="K37">
            <v>0.82</v>
          </cell>
          <cell r="L37">
            <v>1</v>
          </cell>
        </row>
        <row r="38">
          <cell r="A38" t="str">
            <v>EIX</v>
          </cell>
          <cell r="B38" t="str">
            <v>SCE</v>
          </cell>
          <cell r="C38" t="str">
            <v>EDISON INTL</v>
          </cell>
          <cell r="D38">
            <v>20051215</v>
          </cell>
          <cell r="E38" t="str">
            <v>EPS</v>
          </cell>
          <cell r="F38" t="str">
            <v>LTG</v>
          </cell>
          <cell r="G38">
            <v>0</v>
          </cell>
          <cell r="H38">
            <v>4</v>
          </cell>
          <cell r="I38">
            <v>7</v>
          </cell>
          <cell r="J38">
            <v>7.25</v>
          </cell>
          <cell r="K38">
            <v>1.26</v>
          </cell>
          <cell r="L38">
            <v>1</v>
          </cell>
        </row>
        <row r="39">
          <cell r="A39" t="str">
            <v>SCG</v>
          </cell>
          <cell r="B39" t="str">
            <v>SCG</v>
          </cell>
          <cell r="C39" t="str">
            <v>SCANA CP</v>
          </cell>
          <cell r="D39">
            <v>20051215</v>
          </cell>
          <cell r="E39" t="str">
            <v>EPS</v>
          </cell>
          <cell r="F39" t="str">
            <v>LTG</v>
          </cell>
          <cell r="G39">
            <v>0</v>
          </cell>
          <cell r="H39">
            <v>6</v>
          </cell>
          <cell r="I39">
            <v>5</v>
          </cell>
          <cell r="J39">
            <v>4.67</v>
          </cell>
          <cell r="K39">
            <v>0.52</v>
          </cell>
          <cell r="L39">
            <v>1</v>
          </cell>
        </row>
        <row r="40">
          <cell r="A40" t="str">
            <v>SRE</v>
          </cell>
          <cell r="B40" t="str">
            <v>SDO</v>
          </cell>
          <cell r="C40" t="str">
            <v>SEMPRA ENERGY</v>
          </cell>
          <cell r="D40">
            <v>20051215</v>
          </cell>
          <cell r="E40" t="str">
            <v>EPS</v>
          </cell>
          <cell r="F40" t="str">
            <v>LTG</v>
          </cell>
          <cell r="G40">
            <v>0</v>
          </cell>
          <cell r="H40">
            <v>9</v>
          </cell>
          <cell r="I40">
            <v>5</v>
          </cell>
          <cell r="J40">
            <v>5.56</v>
          </cell>
          <cell r="K40">
            <v>2.42</v>
          </cell>
          <cell r="L40">
            <v>1</v>
          </cell>
        </row>
        <row r="41">
          <cell r="A41" t="str">
            <v>VVC</v>
          </cell>
          <cell r="B41" t="str">
            <v>SIG</v>
          </cell>
          <cell r="C41" t="str">
            <v>VECTREN CORP</v>
          </cell>
          <cell r="D41">
            <v>20051215</v>
          </cell>
          <cell r="E41" t="str">
            <v>EPS</v>
          </cell>
          <cell r="F41" t="str">
            <v>LTG</v>
          </cell>
          <cell r="G41">
            <v>0</v>
          </cell>
          <cell r="H41">
            <v>3</v>
          </cell>
          <cell r="I41">
            <v>4</v>
          </cell>
          <cell r="J41">
            <v>4.37</v>
          </cell>
          <cell r="K41">
            <v>1.58</v>
          </cell>
          <cell r="L41">
            <v>1</v>
          </cell>
        </row>
        <row r="42">
          <cell r="A42" t="str">
            <v>SO</v>
          </cell>
          <cell r="B42" t="str">
            <v>SO</v>
          </cell>
          <cell r="C42" t="str">
            <v>SOUTHN CO</v>
          </cell>
          <cell r="D42">
            <v>20051215</v>
          </cell>
          <cell r="E42" t="str">
            <v>EPS</v>
          </cell>
          <cell r="F42" t="str">
            <v>LTG</v>
          </cell>
          <cell r="G42">
            <v>0</v>
          </cell>
          <cell r="H42">
            <v>8</v>
          </cell>
          <cell r="I42">
            <v>5</v>
          </cell>
          <cell r="J42">
            <v>5</v>
          </cell>
          <cell r="K42">
            <v>0.76</v>
          </cell>
          <cell r="L42">
            <v>1</v>
          </cell>
        </row>
        <row r="43">
          <cell r="A43" t="str">
            <v>TE</v>
          </cell>
          <cell r="B43" t="str">
            <v>TE</v>
          </cell>
          <cell r="C43" t="str">
            <v>TECO ENERGY INC</v>
          </cell>
          <cell r="D43">
            <v>20051215</v>
          </cell>
          <cell r="E43" t="str">
            <v>EPS</v>
          </cell>
          <cell r="F43" t="str">
            <v>LTG</v>
          </cell>
          <cell r="G43">
            <v>0</v>
          </cell>
          <cell r="H43">
            <v>4</v>
          </cell>
          <cell r="I43">
            <v>3.5</v>
          </cell>
          <cell r="J43">
            <v>7</v>
          </cell>
          <cell r="K43">
            <v>7.35</v>
          </cell>
          <cell r="L43">
            <v>1</v>
          </cell>
        </row>
        <row r="44">
          <cell r="A44" t="str">
            <v>AEE</v>
          </cell>
          <cell r="B44" t="str">
            <v>UEP</v>
          </cell>
          <cell r="C44" t="str">
            <v>AMEREN CP</v>
          </cell>
          <cell r="D44">
            <v>20051215</v>
          </cell>
          <cell r="E44" t="str">
            <v>EPS</v>
          </cell>
          <cell r="F44" t="str">
            <v>LTG</v>
          </cell>
          <cell r="G44">
            <v>0</v>
          </cell>
          <cell r="H44">
            <v>5</v>
          </cell>
          <cell r="I44">
            <v>3</v>
          </cell>
          <cell r="J44">
            <v>4.5</v>
          </cell>
          <cell r="K44">
            <v>3.32</v>
          </cell>
          <cell r="L44">
            <v>1</v>
          </cell>
        </row>
        <row r="45">
          <cell r="A45" t="str">
            <v>UIL</v>
          </cell>
          <cell r="B45" t="str">
            <v>UIL</v>
          </cell>
          <cell r="C45" t="str">
            <v>UIL HOLDING CORP</v>
          </cell>
          <cell r="D45">
            <v>20051215</v>
          </cell>
          <cell r="E45" t="str">
            <v>EPS</v>
          </cell>
          <cell r="F45" t="str">
            <v>LTG</v>
          </cell>
          <cell r="G45">
            <v>0</v>
          </cell>
          <cell r="H45">
            <v>1</v>
          </cell>
          <cell r="I45">
            <v>1</v>
          </cell>
          <cell r="J45">
            <v>1</v>
          </cell>
          <cell r="L45">
            <v>1</v>
          </cell>
        </row>
        <row r="46">
          <cell r="A46" t="str">
            <v>WEC</v>
          </cell>
          <cell r="B46" t="str">
            <v>WPC</v>
          </cell>
          <cell r="C46" t="str">
            <v>WISCONSIN ENERGY</v>
          </cell>
          <cell r="D46">
            <v>20051215</v>
          </cell>
          <cell r="E46" t="str">
            <v>EPS</v>
          </cell>
          <cell r="F46" t="str">
            <v>LTG</v>
          </cell>
          <cell r="G46">
            <v>0</v>
          </cell>
          <cell r="H46">
            <v>7</v>
          </cell>
          <cell r="I46">
            <v>8</v>
          </cell>
          <cell r="J46">
            <v>8.23</v>
          </cell>
          <cell r="K46">
            <v>2.92</v>
          </cell>
          <cell r="L46">
            <v>1</v>
          </cell>
        </row>
        <row r="47">
          <cell r="A47" t="str">
            <v>LNT</v>
          </cell>
          <cell r="B47" t="str">
            <v>WPL</v>
          </cell>
          <cell r="C47" t="str">
            <v>ALLIANT ENER</v>
          </cell>
          <cell r="D47">
            <v>20051215</v>
          </cell>
          <cell r="E47" t="str">
            <v>EPS</v>
          </cell>
          <cell r="F47" t="str">
            <v>LTG</v>
          </cell>
          <cell r="G47">
            <v>0</v>
          </cell>
          <cell r="H47">
            <v>4</v>
          </cell>
          <cell r="I47">
            <v>3.5</v>
          </cell>
          <cell r="J47">
            <v>3.75</v>
          </cell>
          <cell r="K47">
            <v>0.96</v>
          </cell>
          <cell r="L47">
            <v>1</v>
          </cell>
        </row>
        <row r="48">
          <cell r="A48" t="str">
            <v>WPS</v>
          </cell>
          <cell r="B48" t="str">
            <v>WPS</v>
          </cell>
          <cell r="C48" t="str">
            <v>WPS RESOURCES CP</v>
          </cell>
          <cell r="D48">
            <v>20051215</v>
          </cell>
          <cell r="E48" t="str">
            <v>EPS</v>
          </cell>
          <cell r="F48" t="str">
            <v>LTG</v>
          </cell>
          <cell r="G48">
            <v>0</v>
          </cell>
          <cell r="H48">
            <v>2</v>
          </cell>
          <cell r="I48">
            <v>10.25</v>
          </cell>
          <cell r="J48">
            <v>10.25</v>
          </cell>
          <cell r="K48">
            <v>7.42</v>
          </cell>
          <cell r="L48">
            <v>1</v>
          </cell>
        </row>
        <row r="49">
          <cell r="A49" t="str">
            <v>AVA</v>
          </cell>
          <cell r="B49" t="str">
            <v>WWP</v>
          </cell>
          <cell r="C49" t="str">
            <v>AVISTA CORP</v>
          </cell>
          <cell r="D49">
            <v>20051215</v>
          </cell>
          <cell r="E49" t="str">
            <v>EPS</v>
          </cell>
          <cell r="F49" t="str">
            <v>LTG</v>
          </cell>
          <cell r="G49">
            <v>0</v>
          </cell>
          <cell r="H49">
            <v>2</v>
          </cell>
          <cell r="I49">
            <v>5.5</v>
          </cell>
          <cell r="J49">
            <v>5.5</v>
          </cell>
          <cell r="K49">
            <v>0.71</v>
          </cell>
          <cell r="L49">
            <v>1</v>
          </cell>
        </row>
        <row r="50">
          <cell r="A50" t="str">
            <v>PPL</v>
          </cell>
          <cell r="B50" t="str">
            <v>@1XJ</v>
          </cell>
          <cell r="C50" t="str">
            <v>PUMPKIN PATCH LT</v>
          </cell>
          <cell r="D50">
            <v>20051215</v>
          </cell>
          <cell r="E50" t="str">
            <v>EPS</v>
          </cell>
          <cell r="F50" t="str">
            <v>LTG</v>
          </cell>
          <cell r="G50">
            <v>0</v>
          </cell>
          <cell r="H50">
            <v>2</v>
          </cell>
          <cell r="I50">
            <v>15.35</v>
          </cell>
          <cell r="J50">
            <v>15.35</v>
          </cell>
          <cell r="K50">
            <v>6.58</v>
          </cell>
          <cell r="L50">
            <v>0</v>
          </cell>
        </row>
        <row r="51">
          <cell r="A51" t="str">
            <v>CEG</v>
          </cell>
          <cell r="B51" t="str">
            <v>@1XM</v>
          </cell>
          <cell r="C51" t="str">
            <v>CEC GROUP LIMITE</v>
          </cell>
          <cell r="D51">
            <v>20051215</v>
          </cell>
          <cell r="E51" t="str">
            <v>EPS</v>
          </cell>
          <cell r="F51" t="str">
            <v>LTG</v>
          </cell>
          <cell r="G51">
            <v>0</v>
          </cell>
          <cell r="H51">
            <v>1</v>
          </cell>
          <cell r="I51">
            <v>13</v>
          </cell>
          <cell r="J51">
            <v>13</v>
          </cell>
          <cell r="L51">
            <v>0</v>
          </cell>
        </row>
        <row r="52">
          <cell r="A52" t="str">
            <v>CNP</v>
          </cell>
          <cell r="B52" t="str">
            <v>@8PG</v>
          </cell>
          <cell r="C52" t="str">
            <v>CENTRO PROPERTIE</v>
          </cell>
          <cell r="D52">
            <v>20051215</v>
          </cell>
          <cell r="E52" t="str">
            <v>EPS</v>
          </cell>
          <cell r="F52" t="str">
            <v>LTG</v>
          </cell>
          <cell r="G52">
            <v>0</v>
          </cell>
          <cell r="H52">
            <v>2</v>
          </cell>
          <cell r="I52">
            <v>7.01</v>
          </cell>
          <cell r="J52">
            <v>7.01</v>
          </cell>
          <cell r="K52">
            <v>3.41</v>
          </cell>
          <cell r="L52">
            <v>0</v>
          </cell>
        </row>
        <row r="53">
          <cell r="A53" t="str">
            <v>CNP</v>
          </cell>
          <cell r="B53" t="str">
            <v>@CN0</v>
          </cell>
          <cell r="C53" t="str">
            <v>CNP ASSURANCES</v>
          </cell>
          <cell r="D53">
            <v>20051215</v>
          </cell>
          <cell r="E53" t="str">
            <v>EPS</v>
          </cell>
          <cell r="F53" t="str">
            <v>LTG</v>
          </cell>
          <cell r="G53">
            <v>0</v>
          </cell>
          <cell r="H53">
            <v>1</v>
          </cell>
          <cell r="I53">
            <v>3</v>
          </cell>
          <cell r="J53">
            <v>3</v>
          </cell>
          <cell r="L53">
            <v>0</v>
          </cell>
        </row>
        <row r="54">
          <cell r="A54" t="str">
            <v>DTE</v>
          </cell>
          <cell r="B54" t="str">
            <v>@DT</v>
          </cell>
          <cell r="C54" t="str">
            <v>DEUTSCHE TELEKOM</v>
          </cell>
          <cell r="D54">
            <v>20051215</v>
          </cell>
          <cell r="E54" t="str">
            <v>EPS</v>
          </cell>
          <cell r="F54" t="str">
            <v>LTG</v>
          </cell>
          <cell r="G54">
            <v>0</v>
          </cell>
          <cell r="H54">
            <v>4</v>
          </cell>
          <cell r="I54">
            <v>16.13</v>
          </cell>
          <cell r="J54">
            <v>17.34</v>
          </cell>
          <cell r="K54">
            <v>7.72</v>
          </cell>
          <cell r="L54">
            <v>0</v>
          </cell>
        </row>
        <row r="55">
          <cell r="A55" t="str">
            <v>PCG</v>
          </cell>
          <cell r="B55" t="str">
            <v>@DTY</v>
          </cell>
          <cell r="C55" t="str">
            <v>PCH GROUP</v>
          </cell>
          <cell r="D55">
            <v>20051215</v>
          </cell>
          <cell r="E55" t="str">
            <v>EPS</v>
          </cell>
          <cell r="F55" t="str">
            <v>LTG</v>
          </cell>
          <cell r="G55">
            <v>0</v>
          </cell>
          <cell r="H55">
            <v>1</v>
          </cell>
          <cell r="I55">
            <v>9.9</v>
          </cell>
          <cell r="J55">
            <v>9.9</v>
          </cell>
          <cell r="L55">
            <v>0</v>
          </cell>
        </row>
        <row r="56">
          <cell r="A56" t="str">
            <v>PGN</v>
          </cell>
          <cell r="B56" t="str">
            <v>@L35</v>
          </cell>
          <cell r="C56" t="str">
            <v>PERUSAHAAN GAS N</v>
          </cell>
          <cell r="D56">
            <v>20051215</v>
          </cell>
          <cell r="E56" t="str">
            <v>EPS</v>
          </cell>
          <cell r="F56" t="str">
            <v>LTG</v>
          </cell>
          <cell r="G56">
            <v>0</v>
          </cell>
          <cell r="H56">
            <v>2</v>
          </cell>
          <cell r="I56">
            <v>54.34</v>
          </cell>
          <cell r="J56">
            <v>54.34</v>
          </cell>
          <cell r="K56">
            <v>1.9</v>
          </cell>
          <cell r="L56">
            <v>0</v>
          </cell>
        </row>
        <row r="57">
          <cell r="A57" t="str">
            <v>ETR</v>
          </cell>
          <cell r="B57" t="str">
            <v>@NPD</v>
          </cell>
          <cell r="C57" t="str">
            <v>E*TRADE AUSTRALI</v>
          </cell>
          <cell r="D57">
            <v>20051215</v>
          </cell>
          <cell r="E57" t="str">
            <v>EPS</v>
          </cell>
          <cell r="F57" t="str">
            <v>LTG</v>
          </cell>
          <cell r="G57">
            <v>0</v>
          </cell>
          <cell r="H57">
            <v>1</v>
          </cell>
          <cell r="I57">
            <v>5.38</v>
          </cell>
          <cell r="J57">
            <v>5.38</v>
          </cell>
          <cell r="L57">
            <v>0</v>
          </cell>
        </row>
        <row r="58">
          <cell r="A58" t="str">
            <v>NST</v>
          </cell>
          <cell r="B58" t="str">
            <v>@NST</v>
          </cell>
          <cell r="C58" t="str">
            <v>NEW STRAITS TIME</v>
          </cell>
          <cell r="D58">
            <v>20051215</v>
          </cell>
          <cell r="E58" t="str">
            <v>EPS</v>
          </cell>
          <cell r="F58" t="str">
            <v>LTG</v>
          </cell>
          <cell r="G58">
            <v>0</v>
          </cell>
          <cell r="H58">
            <v>2</v>
          </cell>
          <cell r="I58">
            <v>1.75</v>
          </cell>
          <cell r="J58">
            <v>1.75</v>
          </cell>
          <cell r="K58">
            <v>4.5999999999999996</v>
          </cell>
          <cell r="L58">
            <v>0</v>
          </cell>
        </row>
        <row r="59">
          <cell r="A59" t="str">
            <v>POM</v>
          </cell>
          <cell r="B59" t="str">
            <v>@PO8</v>
          </cell>
          <cell r="C59" t="str">
            <v>PLASTIC OMNIUM</v>
          </cell>
          <cell r="D59">
            <v>20051215</v>
          </cell>
          <cell r="E59" t="str">
            <v>EPS</v>
          </cell>
          <cell r="F59" t="str">
            <v>LTG</v>
          </cell>
          <cell r="G59">
            <v>0</v>
          </cell>
          <cell r="H59">
            <v>2</v>
          </cell>
          <cell r="I59">
            <v>6.66</v>
          </cell>
          <cell r="J59">
            <v>6.66</v>
          </cell>
          <cell r="K59">
            <v>5.18</v>
          </cell>
          <cell r="L59">
            <v>0</v>
          </cell>
        </row>
        <row r="60">
          <cell r="A60" t="str">
            <v>CIN</v>
          </cell>
          <cell r="B60" t="str">
            <v>@W1E</v>
          </cell>
          <cell r="C60" t="str">
            <v>CINTRA CONCESION</v>
          </cell>
          <cell r="D60">
            <v>20051215</v>
          </cell>
          <cell r="E60" t="str">
            <v>EPS</v>
          </cell>
          <cell r="F60" t="str">
            <v>LTG</v>
          </cell>
          <cell r="G60">
            <v>0</v>
          </cell>
          <cell r="H60">
            <v>1</v>
          </cell>
          <cell r="I60">
            <v>10</v>
          </cell>
          <cell r="J60">
            <v>10</v>
          </cell>
          <cell r="L60">
            <v>0</v>
          </cell>
        </row>
      </sheetData>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wcrwh6htxikq0li"/>
    </sheetNames>
    <sheetDataSet>
      <sheetData sheetId="0">
        <row r="1">
          <cell r="B1" t="str">
            <v>Official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Forecast Period End Date (SAS Format)</v>
          </cell>
          <cell r="M1" t="str">
            <v>Actual Value, from the Detail Actuals File</v>
          </cell>
          <cell r="N1" t="str">
            <v>Announce date of the Actual, from the Detail Actuals File</v>
          </cell>
        </row>
        <row r="2">
          <cell r="B2" t="str">
            <v>ATG</v>
          </cell>
          <cell r="C2" t="str">
            <v>AGL RESOURCES</v>
          </cell>
          <cell r="D2">
            <v>38701</v>
          </cell>
          <cell r="E2" t="str">
            <v>EPS</v>
          </cell>
          <cell r="F2" t="str">
            <v>ANN</v>
          </cell>
          <cell r="G2" t="str">
            <v>1</v>
          </cell>
          <cell r="H2">
            <v>10</v>
          </cell>
          <cell r="I2">
            <v>2.4</v>
          </cell>
          <cell r="J2">
            <v>2.39</v>
          </cell>
          <cell r="K2">
            <v>0.05</v>
          </cell>
          <cell r="L2">
            <v>38717</v>
          </cell>
          <cell r="M2">
            <v>2.48</v>
          </cell>
          <cell r="N2">
            <v>38743</v>
          </cell>
        </row>
        <row r="3">
          <cell r="B3" t="str">
            <v>CGC</v>
          </cell>
          <cell r="C3" t="str">
            <v>CASCADE NAT GAS</v>
          </cell>
          <cell r="D3">
            <v>38701</v>
          </cell>
          <cell r="E3" t="str">
            <v>EPS</v>
          </cell>
          <cell r="F3" t="str">
            <v>ANN</v>
          </cell>
          <cell r="G3" t="str">
            <v>1</v>
          </cell>
          <cell r="H3">
            <v>3</v>
          </cell>
          <cell r="I3">
            <v>1.2</v>
          </cell>
          <cell r="J3">
            <v>1.18</v>
          </cell>
          <cell r="K3">
            <v>0.03</v>
          </cell>
          <cell r="L3">
            <v>38990</v>
          </cell>
          <cell r="M3">
            <v>1.0900000000000001</v>
          </cell>
          <cell r="N3">
            <v>39036</v>
          </cell>
        </row>
        <row r="4">
          <cell r="B4" t="str">
            <v>CPK</v>
          </cell>
          <cell r="C4" t="str">
            <v>CHESAPEAKE UTIL</v>
          </cell>
          <cell r="D4">
            <v>38701</v>
          </cell>
          <cell r="E4" t="str">
            <v>EPS</v>
          </cell>
          <cell r="F4" t="str">
            <v>ANN</v>
          </cell>
          <cell r="G4" t="str">
            <v>1</v>
          </cell>
          <cell r="H4">
            <v>1</v>
          </cell>
          <cell r="I4">
            <v>1.1299999999999999</v>
          </cell>
          <cell r="J4">
            <v>1.1299999999999999</v>
          </cell>
          <cell r="L4">
            <v>38717</v>
          </cell>
          <cell r="M4">
            <v>1.18</v>
          </cell>
          <cell r="N4">
            <v>38775</v>
          </cell>
        </row>
        <row r="5">
          <cell r="B5" t="str">
            <v>ATO</v>
          </cell>
          <cell r="C5" t="str">
            <v>ATMOS ENERGY CP</v>
          </cell>
          <cell r="D5">
            <v>38701</v>
          </cell>
          <cell r="E5" t="str">
            <v>EPS</v>
          </cell>
          <cell r="F5" t="str">
            <v>ANN</v>
          </cell>
          <cell r="G5" t="str">
            <v>1</v>
          </cell>
          <cell r="H5">
            <v>8</v>
          </cell>
          <cell r="I5">
            <v>1.87</v>
          </cell>
          <cell r="J5">
            <v>1.87</v>
          </cell>
          <cell r="K5">
            <v>0.03</v>
          </cell>
          <cell r="L5">
            <v>38990</v>
          </cell>
          <cell r="M5">
            <v>1.82</v>
          </cell>
          <cell r="N5">
            <v>39028</v>
          </cell>
        </row>
        <row r="6">
          <cell r="B6" t="str">
            <v>GAS</v>
          </cell>
          <cell r="C6" t="str">
            <v>NICOR INC</v>
          </cell>
          <cell r="D6">
            <v>38701</v>
          </cell>
          <cell r="E6" t="str">
            <v>EPS</v>
          </cell>
          <cell r="F6" t="str">
            <v>ANN</v>
          </cell>
          <cell r="G6" t="str">
            <v>1</v>
          </cell>
          <cell r="H6">
            <v>4</v>
          </cell>
          <cell r="I6">
            <v>2.17</v>
          </cell>
          <cell r="J6">
            <v>2.2000000000000002</v>
          </cell>
          <cell r="K6">
            <v>0.11</v>
          </cell>
          <cell r="L6">
            <v>38717</v>
          </cell>
          <cell r="M6">
            <v>2.29</v>
          </cell>
          <cell r="N6">
            <v>38772</v>
          </cell>
        </row>
        <row r="7">
          <cell r="B7" t="str">
            <v>LG</v>
          </cell>
          <cell r="C7" t="str">
            <v>LACLEDE GROUP</v>
          </cell>
          <cell r="D7">
            <v>38701</v>
          </cell>
          <cell r="E7" t="str">
            <v>EPS</v>
          </cell>
          <cell r="F7" t="str">
            <v>ANN</v>
          </cell>
          <cell r="G7" t="str">
            <v>1</v>
          </cell>
          <cell r="H7">
            <v>2</v>
          </cell>
          <cell r="I7">
            <v>2.02</v>
          </cell>
          <cell r="J7">
            <v>2.02</v>
          </cell>
          <cell r="K7">
            <v>0.06</v>
          </cell>
          <cell r="L7">
            <v>38990</v>
          </cell>
          <cell r="M7">
            <v>2.2999999999999998</v>
          </cell>
          <cell r="N7">
            <v>39017</v>
          </cell>
        </row>
        <row r="8">
          <cell r="B8" t="str">
            <v>KSE</v>
          </cell>
          <cell r="C8" t="str">
            <v>KEYSPAN CP</v>
          </cell>
          <cell r="D8">
            <v>38701</v>
          </cell>
          <cell r="E8" t="str">
            <v>EPS</v>
          </cell>
          <cell r="F8" t="str">
            <v>ANN</v>
          </cell>
          <cell r="G8" t="str">
            <v>1</v>
          </cell>
          <cell r="H8">
            <v>8</v>
          </cell>
          <cell r="I8">
            <v>2.37</v>
          </cell>
          <cell r="J8">
            <v>2.37</v>
          </cell>
          <cell r="K8">
            <v>0.05</v>
          </cell>
          <cell r="L8">
            <v>38717</v>
          </cell>
          <cell r="M8">
            <v>2.38</v>
          </cell>
          <cell r="N8">
            <v>38776</v>
          </cell>
        </row>
        <row r="9">
          <cell r="B9" t="str">
            <v>NI</v>
          </cell>
          <cell r="C9" t="str">
            <v>NISOURCE INC</v>
          </cell>
          <cell r="D9">
            <v>38701</v>
          </cell>
          <cell r="E9" t="str">
            <v>EPS</v>
          </cell>
          <cell r="F9" t="str">
            <v>ANN</v>
          </cell>
          <cell r="G9" t="str">
            <v>1</v>
          </cell>
          <cell r="H9">
            <v>10</v>
          </cell>
          <cell r="I9">
            <v>1.42</v>
          </cell>
          <cell r="J9">
            <v>1.42</v>
          </cell>
          <cell r="K9">
            <v>7.0000000000000007E-2</v>
          </cell>
          <cell r="L9">
            <v>38717</v>
          </cell>
          <cell r="M9">
            <v>1.42</v>
          </cell>
          <cell r="N9">
            <v>38748</v>
          </cell>
        </row>
        <row r="10">
          <cell r="B10" t="str">
            <v>NJR</v>
          </cell>
          <cell r="C10" t="str">
            <v>NEW JERSEY RES</v>
          </cell>
          <cell r="D10">
            <v>38701</v>
          </cell>
          <cell r="E10" t="str">
            <v>EPS</v>
          </cell>
          <cell r="F10" t="str">
            <v>ANN</v>
          </cell>
          <cell r="G10" t="str">
            <v>1</v>
          </cell>
          <cell r="H10">
            <v>5</v>
          </cell>
          <cell r="I10">
            <v>0.93</v>
          </cell>
          <cell r="J10">
            <v>0.93</v>
          </cell>
          <cell r="K10">
            <v>0.01</v>
          </cell>
          <cell r="L10">
            <v>38990</v>
          </cell>
          <cell r="M10">
            <v>0.93330000000000002</v>
          </cell>
          <cell r="N10">
            <v>39022</v>
          </cell>
        </row>
        <row r="11">
          <cell r="B11" t="str">
            <v>NWN</v>
          </cell>
          <cell r="C11" t="str">
            <v>NW NATURAL GAS</v>
          </cell>
          <cell r="D11">
            <v>38701</v>
          </cell>
          <cell r="E11" t="str">
            <v>EPS</v>
          </cell>
          <cell r="F11" t="str">
            <v>ANN</v>
          </cell>
          <cell r="G11" t="str">
            <v>1</v>
          </cell>
          <cell r="H11">
            <v>6</v>
          </cell>
          <cell r="I11">
            <v>2.15</v>
          </cell>
          <cell r="J11">
            <v>2.15</v>
          </cell>
          <cell r="K11">
            <v>0.03</v>
          </cell>
          <cell r="L11">
            <v>38717</v>
          </cell>
          <cell r="M11">
            <v>2.11</v>
          </cell>
          <cell r="N11">
            <v>38764</v>
          </cell>
        </row>
        <row r="12">
          <cell r="B12" t="str">
            <v>PEC</v>
          </cell>
          <cell r="C12" t="str">
            <v>PIKE ELECTRIC</v>
          </cell>
          <cell r="D12">
            <v>38701</v>
          </cell>
          <cell r="E12" t="str">
            <v>EPS</v>
          </cell>
          <cell r="F12" t="str">
            <v>ANN</v>
          </cell>
          <cell r="G12" t="str">
            <v>1</v>
          </cell>
          <cell r="H12">
            <v>3</v>
          </cell>
          <cell r="I12">
            <v>1.31</v>
          </cell>
          <cell r="J12">
            <v>1.3</v>
          </cell>
          <cell r="K12">
            <v>0.1</v>
          </cell>
          <cell r="L12">
            <v>38898</v>
          </cell>
          <cell r="M12">
            <v>1.07</v>
          </cell>
          <cell r="N12">
            <v>38967</v>
          </cell>
        </row>
        <row r="13">
          <cell r="B13" t="str">
            <v>PNY</v>
          </cell>
          <cell r="C13" t="str">
            <v>PIEDMONT NAT GAS</v>
          </cell>
          <cell r="D13">
            <v>38701</v>
          </cell>
          <cell r="E13" t="str">
            <v>EPS</v>
          </cell>
          <cell r="F13" t="str">
            <v>ANN</v>
          </cell>
          <cell r="G13" t="str">
            <v>1</v>
          </cell>
          <cell r="H13">
            <v>7</v>
          </cell>
          <cell r="I13">
            <v>1.28</v>
          </cell>
          <cell r="J13">
            <v>1.27</v>
          </cell>
          <cell r="K13">
            <v>0.02</v>
          </cell>
          <cell r="L13">
            <v>38656</v>
          </cell>
          <cell r="M13">
            <v>1.32</v>
          </cell>
          <cell r="N13">
            <v>38702</v>
          </cell>
        </row>
        <row r="14">
          <cell r="B14" t="str">
            <v>SJI</v>
          </cell>
          <cell r="C14" t="str">
            <v>SO JERSEY INDS</v>
          </cell>
          <cell r="D14">
            <v>38701</v>
          </cell>
          <cell r="E14" t="str">
            <v>EPS</v>
          </cell>
          <cell r="F14" t="str">
            <v>ANN</v>
          </cell>
          <cell r="G14" t="str">
            <v>1</v>
          </cell>
          <cell r="H14">
            <v>2</v>
          </cell>
          <cell r="I14">
            <v>0.88</v>
          </cell>
          <cell r="J14">
            <v>0.88</v>
          </cell>
          <cell r="K14">
            <v>0.03</v>
          </cell>
          <cell r="L14">
            <v>38717</v>
          </cell>
          <cell r="M14">
            <v>0.85499999999999998</v>
          </cell>
          <cell r="N14">
            <v>38775</v>
          </cell>
        </row>
        <row r="15">
          <cell r="B15" t="str">
            <v>SR</v>
          </cell>
          <cell r="C15" t="str">
            <v>STD REGISTER CO</v>
          </cell>
          <cell r="D15">
            <v>38701</v>
          </cell>
          <cell r="E15" t="str">
            <v>EPS</v>
          </cell>
          <cell r="F15" t="str">
            <v>ANN</v>
          </cell>
          <cell r="G15" t="str">
            <v>1</v>
          </cell>
          <cell r="H15">
            <v>2</v>
          </cell>
          <cell r="I15">
            <v>1.3</v>
          </cell>
          <cell r="J15">
            <v>1.3</v>
          </cell>
          <cell r="K15">
            <v>7.0000000000000007E-2</v>
          </cell>
          <cell r="L15">
            <v>38717</v>
          </cell>
          <cell r="M15">
            <v>1.1499999999999999</v>
          </cell>
          <cell r="N15">
            <v>38782</v>
          </cell>
        </row>
        <row r="16">
          <cell r="B16" t="str">
            <v>SWX</v>
          </cell>
          <cell r="C16" t="str">
            <v>SOUTHWEST GAS</v>
          </cell>
          <cell r="D16">
            <v>38701</v>
          </cell>
          <cell r="E16" t="str">
            <v>EPS</v>
          </cell>
          <cell r="F16" t="str">
            <v>ANN</v>
          </cell>
          <cell r="G16" t="str">
            <v>1</v>
          </cell>
          <cell r="H16">
            <v>4</v>
          </cell>
          <cell r="I16">
            <v>1.41</v>
          </cell>
          <cell r="J16">
            <v>1.44</v>
          </cell>
          <cell r="K16">
            <v>0.19</v>
          </cell>
          <cell r="L16">
            <v>38717</v>
          </cell>
          <cell r="M16">
            <v>1.3</v>
          </cell>
          <cell r="N16">
            <v>38784</v>
          </cell>
        </row>
        <row r="17">
          <cell r="B17" t="str">
            <v>WGL</v>
          </cell>
          <cell r="C17" t="str">
            <v>WGL HOLDING INC</v>
          </cell>
          <cell r="D17">
            <v>38701</v>
          </cell>
          <cell r="E17" t="str">
            <v>EPS</v>
          </cell>
          <cell r="F17" t="str">
            <v>ANN</v>
          </cell>
          <cell r="G17" t="str">
            <v>1</v>
          </cell>
          <cell r="H17">
            <v>5</v>
          </cell>
          <cell r="I17">
            <v>1.92</v>
          </cell>
          <cell r="J17">
            <v>1.9</v>
          </cell>
          <cell r="K17">
            <v>0.06</v>
          </cell>
          <cell r="L17">
            <v>38990</v>
          </cell>
          <cell r="M17">
            <v>1.88</v>
          </cell>
          <cell r="N17">
            <v>39028</v>
          </cell>
        </row>
      </sheetData>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m7qjygn5v5uisp8"/>
    </sheetNames>
    <sheetDataSet>
      <sheetData sheetId="0">
        <row r="1">
          <cell r="B1" t="str">
            <v>Official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Forecast Period End Date (SAS Format)</v>
          </cell>
          <cell r="M1" t="str">
            <v>Actual Value, from the Detail Actuals File</v>
          </cell>
          <cell r="N1" t="str">
            <v>Announce date of the Actual, from the Detail Actuals File</v>
          </cell>
        </row>
        <row r="2">
          <cell r="B2" t="str">
            <v>ATG</v>
          </cell>
          <cell r="C2" t="str">
            <v>AGL RESOURCES</v>
          </cell>
          <cell r="D2">
            <v>38701</v>
          </cell>
          <cell r="E2" t="str">
            <v>EPS</v>
          </cell>
          <cell r="F2" t="str">
            <v>LTG</v>
          </cell>
          <cell r="G2" t="str">
            <v>0</v>
          </cell>
          <cell r="H2">
            <v>8</v>
          </cell>
          <cell r="I2">
            <v>4.75</v>
          </cell>
          <cell r="J2">
            <v>4.63</v>
          </cell>
          <cell r="K2">
            <v>0.88</v>
          </cell>
        </row>
        <row r="3">
          <cell r="B3" t="str">
            <v>CGC</v>
          </cell>
          <cell r="C3" t="str">
            <v>CASCADE NAT GAS</v>
          </cell>
          <cell r="D3">
            <v>38701</v>
          </cell>
          <cell r="E3" t="str">
            <v>EPS</v>
          </cell>
          <cell r="F3" t="str">
            <v>LTG</v>
          </cell>
          <cell r="G3" t="str">
            <v>0</v>
          </cell>
          <cell r="H3">
            <v>1</v>
          </cell>
          <cell r="I3">
            <v>6</v>
          </cell>
          <cell r="J3">
            <v>6</v>
          </cell>
        </row>
        <row r="4">
          <cell r="B4" t="str">
            <v>CPK</v>
          </cell>
          <cell r="C4" t="str">
            <v>CHESAPEAKE UTIL</v>
          </cell>
          <cell r="D4">
            <v>38701</v>
          </cell>
          <cell r="E4" t="str">
            <v>EPS</v>
          </cell>
          <cell r="F4" t="str">
            <v>LTG</v>
          </cell>
          <cell r="G4" t="str">
            <v>0</v>
          </cell>
          <cell r="H4">
            <v>1</v>
          </cell>
          <cell r="I4">
            <v>3</v>
          </cell>
          <cell r="J4">
            <v>3</v>
          </cell>
        </row>
        <row r="5">
          <cell r="B5" t="str">
            <v>ATO</v>
          </cell>
          <cell r="C5" t="str">
            <v>ATMOS ENERGY CP</v>
          </cell>
          <cell r="D5">
            <v>38701</v>
          </cell>
          <cell r="E5" t="str">
            <v>EPS</v>
          </cell>
          <cell r="F5" t="str">
            <v>LTG</v>
          </cell>
          <cell r="G5" t="str">
            <v>0</v>
          </cell>
          <cell r="H5">
            <v>4</v>
          </cell>
          <cell r="I5">
            <v>6.5</v>
          </cell>
          <cell r="J5">
            <v>6.4</v>
          </cell>
          <cell r="K5">
            <v>0.71</v>
          </cell>
        </row>
        <row r="6">
          <cell r="B6" t="str">
            <v>GAS</v>
          </cell>
          <cell r="C6" t="str">
            <v>NICOR INC</v>
          </cell>
          <cell r="D6">
            <v>38701</v>
          </cell>
          <cell r="E6" t="str">
            <v>EPS</v>
          </cell>
          <cell r="F6" t="str">
            <v>LTG</v>
          </cell>
          <cell r="G6" t="str">
            <v>0</v>
          </cell>
          <cell r="H6">
            <v>3</v>
          </cell>
          <cell r="I6">
            <v>3</v>
          </cell>
          <cell r="J6">
            <v>3</v>
          </cell>
          <cell r="K6">
            <v>1.5</v>
          </cell>
        </row>
        <row r="7">
          <cell r="B7" t="str">
            <v>LG</v>
          </cell>
          <cell r="C7" t="str">
            <v>LACLEDE GROUP</v>
          </cell>
          <cell r="D7">
            <v>38701</v>
          </cell>
          <cell r="E7" t="str">
            <v>EPS</v>
          </cell>
          <cell r="F7" t="str">
            <v>LTG</v>
          </cell>
          <cell r="G7" t="str">
            <v>0</v>
          </cell>
          <cell r="H7">
            <v>1</v>
          </cell>
          <cell r="I7">
            <v>5</v>
          </cell>
          <cell r="J7">
            <v>5</v>
          </cell>
        </row>
        <row r="8">
          <cell r="B8" t="str">
            <v>KSE</v>
          </cell>
          <cell r="C8" t="str">
            <v>KEYSPAN CP</v>
          </cell>
          <cell r="D8">
            <v>38701</v>
          </cell>
          <cell r="E8" t="str">
            <v>EPS</v>
          </cell>
          <cell r="F8" t="str">
            <v>LTG</v>
          </cell>
          <cell r="G8" t="str">
            <v>0</v>
          </cell>
          <cell r="H8">
            <v>5</v>
          </cell>
          <cell r="I8">
            <v>4</v>
          </cell>
          <cell r="J8">
            <v>3.5</v>
          </cell>
          <cell r="K8">
            <v>0.71</v>
          </cell>
        </row>
        <row r="9">
          <cell r="B9" t="str">
            <v>NI</v>
          </cell>
          <cell r="C9" t="str">
            <v>NISOURCE INC</v>
          </cell>
          <cell r="D9">
            <v>38701</v>
          </cell>
          <cell r="E9" t="str">
            <v>EPS</v>
          </cell>
          <cell r="F9" t="str">
            <v>LTG</v>
          </cell>
          <cell r="G9" t="str">
            <v>0</v>
          </cell>
          <cell r="H9">
            <v>6</v>
          </cell>
          <cell r="I9">
            <v>3.5</v>
          </cell>
          <cell r="J9">
            <v>3.5</v>
          </cell>
          <cell r="K9">
            <v>1.38</v>
          </cell>
        </row>
        <row r="10">
          <cell r="B10" t="str">
            <v>NJR</v>
          </cell>
          <cell r="C10" t="str">
            <v>NEW JERSEY RES</v>
          </cell>
          <cell r="D10">
            <v>38701</v>
          </cell>
          <cell r="E10" t="str">
            <v>EPS</v>
          </cell>
          <cell r="F10" t="str">
            <v>LTG</v>
          </cell>
          <cell r="G10" t="str">
            <v>0</v>
          </cell>
          <cell r="H10">
            <v>3</v>
          </cell>
          <cell r="I10">
            <v>6</v>
          </cell>
          <cell r="J10">
            <v>5.33</v>
          </cell>
          <cell r="K10">
            <v>1.1499999999999999</v>
          </cell>
        </row>
        <row r="11">
          <cell r="B11" t="str">
            <v>NWN</v>
          </cell>
          <cell r="C11" t="str">
            <v>NW NATURAL GAS</v>
          </cell>
          <cell r="D11">
            <v>38701</v>
          </cell>
          <cell r="E11" t="str">
            <v>EPS</v>
          </cell>
          <cell r="F11" t="str">
            <v>LTG</v>
          </cell>
          <cell r="G11" t="str">
            <v>0</v>
          </cell>
          <cell r="H11">
            <v>4</v>
          </cell>
          <cell r="I11">
            <v>5.5</v>
          </cell>
          <cell r="J11">
            <v>5.63</v>
          </cell>
          <cell r="K11">
            <v>1.89</v>
          </cell>
        </row>
        <row r="12">
          <cell r="B12" t="str">
            <v>PNY</v>
          </cell>
          <cell r="C12" t="str">
            <v>PIEDMONT NAT GAS</v>
          </cell>
          <cell r="D12">
            <v>38701</v>
          </cell>
          <cell r="E12" t="str">
            <v>EPS</v>
          </cell>
          <cell r="F12" t="str">
            <v>LTG</v>
          </cell>
          <cell r="G12" t="str">
            <v>0</v>
          </cell>
          <cell r="H12">
            <v>2</v>
          </cell>
          <cell r="I12">
            <v>4.5</v>
          </cell>
          <cell r="J12">
            <v>4.5</v>
          </cell>
          <cell r="K12">
            <v>0.71</v>
          </cell>
        </row>
        <row r="13">
          <cell r="B13" t="str">
            <v>SJI</v>
          </cell>
          <cell r="C13" t="str">
            <v>SO JERSEY INDS</v>
          </cell>
          <cell r="D13">
            <v>38701</v>
          </cell>
          <cell r="E13" t="str">
            <v>EPS</v>
          </cell>
          <cell r="F13" t="str">
            <v>LTG</v>
          </cell>
          <cell r="G13" t="str">
            <v>0</v>
          </cell>
          <cell r="H13">
            <v>1</v>
          </cell>
          <cell r="I13">
            <v>6</v>
          </cell>
          <cell r="J13">
            <v>6</v>
          </cell>
        </row>
        <row r="14">
          <cell r="B14" t="str">
            <v>SWX</v>
          </cell>
          <cell r="C14" t="str">
            <v>SOUTHWEST GAS</v>
          </cell>
          <cell r="D14">
            <v>38701</v>
          </cell>
          <cell r="E14" t="str">
            <v>EPS</v>
          </cell>
          <cell r="F14" t="str">
            <v>LTG</v>
          </cell>
          <cell r="G14" t="str">
            <v>0</v>
          </cell>
          <cell r="H14">
            <v>1</v>
          </cell>
          <cell r="I14">
            <v>3</v>
          </cell>
          <cell r="J14">
            <v>3</v>
          </cell>
        </row>
        <row r="15">
          <cell r="B15" t="str">
            <v>WGL</v>
          </cell>
          <cell r="C15" t="str">
            <v>WGL HOLDING INC</v>
          </cell>
          <cell r="D15">
            <v>38701</v>
          </cell>
          <cell r="E15" t="str">
            <v>EPS</v>
          </cell>
          <cell r="F15" t="str">
            <v>LTG</v>
          </cell>
          <cell r="G15" t="str">
            <v>0</v>
          </cell>
          <cell r="H15">
            <v>4</v>
          </cell>
          <cell r="I15">
            <v>3.5</v>
          </cell>
          <cell r="J15">
            <v>3.75</v>
          </cell>
          <cell r="K15">
            <v>0.96</v>
          </cell>
        </row>
      </sheetData>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RDS"/>
    </sheetNames>
    <sheetDataSet>
      <sheetData sheetId="0">
        <row r="1">
          <cell r="A1" t="str">
            <v>OFTIC</v>
          </cell>
          <cell r="B1" t="str">
            <v>IBES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USFIRM=0 if from .INT file and USFIRM=1 if from .US file</v>
          </cell>
          <cell r="L1" t="str">
            <v>Forecast Period End Date (SAS Format)</v>
          </cell>
          <cell r="M1" t="str">
            <v>Actual Value, from the Detail Actuals File</v>
          </cell>
          <cell r="N1" t="str">
            <v>Announce date of the Actual, from the Detail Actuals File</v>
          </cell>
        </row>
        <row r="2">
          <cell r="A2" t="str">
            <v>PNW</v>
          </cell>
          <cell r="B2" t="str">
            <v>AZP</v>
          </cell>
          <cell r="C2" t="str">
            <v>PINNACLE WST CAP</v>
          </cell>
          <cell r="D2">
            <v>20041216</v>
          </cell>
          <cell r="E2" t="str">
            <v>EPS</v>
          </cell>
          <cell r="F2" t="str">
            <v>ANN</v>
          </cell>
          <cell r="G2">
            <v>1</v>
          </cell>
          <cell r="H2">
            <v>10</v>
          </cell>
          <cell r="I2">
            <v>2.5</v>
          </cell>
          <cell r="J2">
            <v>2.5</v>
          </cell>
          <cell r="K2">
            <v>1</v>
          </cell>
          <cell r="L2">
            <v>20041231</v>
          </cell>
          <cell r="M2">
            <v>2.37</v>
          </cell>
          <cell r="N2">
            <v>20050128</v>
          </cell>
        </row>
        <row r="3">
          <cell r="A3" t="str">
            <v>CEG</v>
          </cell>
          <cell r="B3" t="str">
            <v>BGE</v>
          </cell>
          <cell r="C3" t="str">
            <v>CONSTELLATION EN</v>
          </cell>
          <cell r="D3">
            <v>20041216</v>
          </cell>
          <cell r="E3" t="str">
            <v>EPS</v>
          </cell>
          <cell r="F3" t="str">
            <v>ANN</v>
          </cell>
          <cell r="G3">
            <v>1</v>
          </cell>
          <cell r="H3">
            <v>14</v>
          </cell>
          <cell r="I3">
            <v>3.25</v>
          </cell>
          <cell r="J3">
            <v>3.22</v>
          </cell>
          <cell r="K3">
            <v>1</v>
          </cell>
          <cell r="L3">
            <v>20041231</v>
          </cell>
          <cell r="M3">
            <v>3.24</v>
          </cell>
          <cell r="N3">
            <v>20050128</v>
          </cell>
        </row>
        <row r="4">
          <cell r="A4" t="str">
            <v>BKH</v>
          </cell>
          <cell r="B4" t="str">
            <v>BHP</v>
          </cell>
          <cell r="C4" t="str">
            <v>BLACK HILLS CP</v>
          </cell>
          <cell r="D4">
            <v>20041216</v>
          </cell>
          <cell r="E4" t="str">
            <v>EPS</v>
          </cell>
          <cell r="F4" t="str">
            <v>ANN</v>
          </cell>
          <cell r="G4">
            <v>1</v>
          </cell>
          <cell r="H4">
            <v>4</v>
          </cell>
          <cell r="I4">
            <v>1.69</v>
          </cell>
          <cell r="J4">
            <v>1.65</v>
          </cell>
          <cell r="K4">
            <v>1</v>
          </cell>
          <cell r="L4">
            <v>20041231</v>
          </cell>
          <cell r="M4">
            <v>1.73</v>
          </cell>
          <cell r="N4">
            <v>20050207</v>
          </cell>
        </row>
        <row r="5">
          <cell r="A5" t="str">
            <v>NST</v>
          </cell>
          <cell r="B5" t="str">
            <v>BSE</v>
          </cell>
          <cell r="C5" t="str">
            <v>NSTAR</v>
          </cell>
          <cell r="D5">
            <v>20041216</v>
          </cell>
          <cell r="E5" t="str">
            <v>EPS</v>
          </cell>
          <cell r="F5" t="str">
            <v>ANN</v>
          </cell>
          <cell r="G5">
            <v>1</v>
          </cell>
          <cell r="H5">
            <v>6</v>
          </cell>
          <cell r="I5">
            <v>1.76</v>
          </cell>
          <cell r="J5">
            <v>1.76</v>
          </cell>
          <cell r="K5">
            <v>1</v>
          </cell>
          <cell r="L5">
            <v>20041231</v>
          </cell>
          <cell r="M5">
            <v>1.76</v>
          </cell>
          <cell r="N5">
            <v>20050127</v>
          </cell>
        </row>
        <row r="6">
          <cell r="A6" t="str">
            <v>CIN</v>
          </cell>
          <cell r="B6" t="str">
            <v>CIN</v>
          </cell>
          <cell r="C6" t="str">
            <v>CINERGY CORP</v>
          </cell>
          <cell r="D6">
            <v>20041216</v>
          </cell>
          <cell r="E6" t="str">
            <v>EPS</v>
          </cell>
          <cell r="F6" t="str">
            <v>ANN</v>
          </cell>
          <cell r="G6">
            <v>1</v>
          </cell>
          <cell r="H6">
            <v>15</v>
          </cell>
          <cell r="I6">
            <v>2.4500000000000002</v>
          </cell>
          <cell r="J6">
            <v>2.46</v>
          </cell>
          <cell r="K6">
            <v>1</v>
          </cell>
          <cell r="L6">
            <v>20041231</v>
          </cell>
          <cell r="M6">
            <v>2.44</v>
          </cell>
          <cell r="N6">
            <v>20050127</v>
          </cell>
        </row>
        <row r="7">
          <cell r="A7" t="str">
            <v>CMS</v>
          </cell>
          <cell r="B7" t="str">
            <v>CMS</v>
          </cell>
          <cell r="C7" t="str">
            <v>CMS ENERGY CORP</v>
          </cell>
          <cell r="D7">
            <v>20041216</v>
          </cell>
          <cell r="E7" t="str">
            <v>EPS</v>
          </cell>
          <cell r="F7" t="str">
            <v>ANN</v>
          </cell>
          <cell r="G7">
            <v>1</v>
          </cell>
          <cell r="H7">
            <v>12</v>
          </cell>
          <cell r="I7">
            <v>0.85</v>
          </cell>
          <cell r="J7">
            <v>0.83</v>
          </cell>
          <cell r="K7">
            <v>1</v>
          </cell>
          <cell r="L7">
            <v>20041231</v>
          </cell>
          <cell r="M7">
            <v>0.85</v>
          </cell>
          <cell r="N7">
            <v>20050308</v>
          </cell>
        </row>
        <row r="8">
          <cell r="A8" t="str">
            <v>CNL</v>
          </cell>
          <cell r="B8" t="str">
            <v>CNL</v>
          </cell>
          <cell r="C8" t="str">
            <v>CLECO CORP</v>
          </cell>
          <cell r="D8">
            <v>20041216</v>
          </cell>
          <cell r="E8" t="str">
            <v>EPS</v>
          </cell>
          <cell r="F8" t="str">
            <v>ANN</v>
          </cell>
          <cell r="G8">
            <v>1</v>
          </cell>
          <cell r="H8">
            <v>4</v>
          </cell>
          <cell r="I8">
            <v>1.27</v>
          </cell>
          <cell r="J8">
            <v>1.29</v>
          </cell>
          <cell r="K8">
            <v>1</v>
          </cell>
          <cell r="L8">
            <v>20041231</v>
          </cell>
          <cell r="M8">
            <v>1.33</v>
          </cell>
          <cell r="N8">
            <v>20050314</v>
          </cell>
        </row>
        <row r="9">
          <cell r="A9" t="str">
            <v>PGN</v>
          </cell>
          <cell r="B9" t="str">
            <v>CPL</v>
          </cell>
          <cell r="C9" t="str">
            <v>PROGRESS ENERGY</v>
          </cell>
          <cell r="D9">
            <v>20041216</v>
          </cell>
          <cell r="E9" t="str">
            <v>EPS</v>
          </cell>
          <cell r="F9" t="str">
            <v>ANN</v>
          </cell>
          <cell r="G9">
            <v>1</v>
          </cell>
          <cell r="H9">
            <v>19</v>
          </cell>
          <cell r="I9">
            <v>3</v>
          </cell>
          <cell r="J9">
            <v>3</v>
          </cell>
          <cell r="K9">
            <v>1</v>
          </cell>
          <cell r="L9">
            <v>20041231</v>
          </cell>
          <cell r="M9">
            <v>3.06</v>
          </cell>
          <cell r="N9">
            <v>20050303</v>
          </cell>
        </row>
        <row r="10">
          <cell r="A10" t="str">
            <v>D</v>
          </cell>
          <cell r="B10" t="str">
            <v>D</v>
          </cell>
          <cell r="C10" t="str">
            <v>DOMINION RES INC</v>
          </cell>
          <cell r="D10">
            <v>20041216</v>
          </cell>
          <cell r="E10" t="str">
            <v>EPS</v>
          </cell>
          <cell r="F10" t="str">
            <v>ANN</v>
          </cell>
          <cell r="G10">
            <v>1</v>
          </cell>
          <cell r="H10">
            <v>21</v>
          </cell>
          <cell r="I10">
            <v>2.35</v>
          </cell>
          <cell r="J10">
            <v>2.35</v>
          </cell>
          <cell r="K10">
            <v>1</v>
          </cell>
          <cell r="L10">
            <v>20041231</v>
          </cell>
          <cell r="M10">
            <v>2.3050000000000002</v>
          </cell>
          <cell r="N10">
            <v>20050127</v>
          </cell>
        </row>
        <row r="11">
          <cell r="A11" t="str">
            <v>DPL</v>
          </cell>
          <cell r="B11" t="str">
            <v>DPL</v>
          </cell>
          <cell r="C11" t="str">
            <v>DPL INC</v>
          </cell>
          <cell r="D11">
            <v>20041216</v>
          </cell>
          <cell r="E11" t="str">
            <v>EPS</v>
          </cell>
          <cell r="F11" t="str">
            <v>ANN</v>
          </cell>
          <cell r="G11">
            <v>1</v>
          </cell>
          <cell r="H11">
            <v>7</v>
          </cell>
          <cell r="I11">
            <v>1.9</v>
          </cell>
          <cell r="J11">
            <v>1.85</v>
          </cell>
          <cell r="K11">
            <v>1</v>
          </cell>
          <cell r="L11">
            <v>20041231</v>
          </cell>
          <cell r="M11">
            <v>1.78</v>
          </cell>
          <cell r="N11">
            <v>20050216</v>
          </cell>
        </row>
        <row r="12">
          <cell r="A12" t="str">
            <v>DTE</v>
          </cell>
          <cell r="B12" t="str">
            <v>DTE</v>
          </cell>
          <cell r="C12" t="str">
            <v>DTE ENERGY</v>
          </cell>
          <cell r="D12">
            <v>20041216</v>
          </cell>
          <cell r="E12" t="str">
            <v>EPS</v>
          </cell>
          <cell r="F12" t="str">
            <v>ANN</v>
          </cell>
          <cell r="G12">
            <v>1</v>
          </cell>
          <cell r="H12">
            <v>9</v>
          </cell>
          <cell r="I12">
            <v>2.62</v>
          </cell>
          <cell r="J12">
            <v>2.69</v>
          </cell>
          <cell r="K12">
            <v>1</v>
          </cell>
          <cell r="L12">
            <v>20041231</v>
          </cell>
          <cell r="M12">
            <v>2.46</v>
          </cell>
          <cell r="N12">
            <v>20050210</v>
          </cell>
        </row>
        <row r="13">
          <cell r="A13" t="str">
            <v>DUK</v>
          </cell>
          <cell r="B13" t="str">
            <v>DUK</v>
          </cell>
          <cell r="C13" t="str">
            <v>DUKE ENERGY CORP</v>
          </cell>
          <cell r="D13">
            <v>20041216</v>
          </cell>
          <cell r="E13" t="str">
            <v>EPS</v>
          </cell>
          <cell r="F13" t="str">
            <v>ANN</v>
          </cell>
          <cell r="G13">
            <v>1</v>
          </cell>
          <cell r="H13">
            <v>20</v>
          </cell>
          <cell r="I13">
            <v>4.05</v>
          </cell>
          <cell r="J13">
            <v>4.04</v>
          </cell>
          <cell r="K13">
            <v>1</v>
          </cell>
          <cell r="L13">
            <v>20041231</v>
          </cell>
          <cell r="M13">
            <v>4.05</v>
          </cell>
          <cell r="N13">
            <v>20050202</v>
          </cell>
        </row>
        <row r="14">
          <cell r="A14" t="str">
            <v>ED</v>
          </cell>
          <cell r="B14" t="str">
            <v>ED</v>
          </cell>
          <cell r="C14" t="str">
            <v>CONSOLIDATED EDI</v>
          </cell>
          <cell r="D14">
            <v>20041216</v>
          </cell>
          <cell r="E14" t="str">
            <v>EPS</v>
          </cell>
          <cell r="F14" t="str">
            <v>ANN</v>
          </cell>
          <cell r="G14">
            <v>1</v>
          </cell>
          <cell r="H14">
            <v>14</v>
          </cell>
          <cell r="I14">
            <v>2.65</v>
          </cell>
          <cell r="J14">
            <v>2.67</v>
          </cell>
          <cell r="K14">
            <v>1</v>
          </cell>
          <cell r="L14">
            <v>20041231</v>
          </cell>
          <cell r="M14">
            <v>2.63</v>
          </cell>
          <cell r="N14">
            <v>20050127</v>
          </cell>
        </row>
        <row r="15">
          <cell r="A15" t="str">
            <v>EDE</v>
          </cell>
          <cell r="B15" t="str">
            <v>EDE</v>
          </cell>
          <cell r="C15" t="str">
            <v>EMPIRE DIST ELEC</v>
          </cell>
          <cell r="D15">
            <v>20041216</v>
          </cell>
          <cell r="E15" t="str">
            <v>EPS</v>
          </cell>
          <cell r="F15" t="str">
            <v>ANN</v>
          </cell>
          <cell r="G15">
            <v>1</v>
          </cell>
          <cell r="H15">
            <v>4</v>
          </cell>
          <cell r="I15">
            <v>0.95</v>
          </cell>
          <cell r="J15">
            <v>0.95</v>
          </cell>
          <cell r="K15">
            <v>1</v>
          </cell>
          <cell r="L15">
            <v>20041231</v>
          </cell>
          <cell r="M15">
            <v>0.85</v>
          </cell>
          <cell r="N15">
            <v>20050203</v>
          </cell>
        </row>
        <row r="16">
          <cell r="A16" t="str">
            <v>FPL</v>
          </cell>
          <cell r="B16" t="str">
            <v>FPL</v>
          </cell>
          <cell r="C16" t="str">
            <v>FPL GROUP</v>
          </cell>
          <cell r="D16">
            <v>20041216</v>
          </cell>
          <cell r="E16" t="str">
            <v>EPS</v>
          </cell>
          <cell r="F16" t="str">
            <v>ANN</v>
          </cell>
          <cell r="G16">
            <v>1</v>
          </cell>
          <cell r="H16">
            <v>19</v>
          </cell>
          <cell r="I16">
            <v>0.62</v>
          </cell>
          <cell r="J16">
            <v>0.62</v>
          </cell>
          <cell r="K16">
            <v>1</v>
          </cell>
          <cell r="L16">
            <v>20041231</v>
          </cell>
          <cell r="M16">
            <v>0.61499999999999999</v>
          </cell>
          <cell r="N16">
            <v>20050121</v>
          </cell>
        </row>
        <row r="17">
          <cell r="A17" t="str">
            <v>HE</v>
          </cell>
          <cell r="B17" t="str">
            <v>HE</v>
          </cell>
          <cell r="C17" t="str">
            <v>HAWAIIAN ELEC</v>
          </cell>
          <cell r="D17">
            <v>20041216</v>
          </cell>
          <cell r="E17" t="str">
            <v>EPS</v>
          </cell>
          <cell r="F17" t="str">
            <v>ANN</v>
          </cell>
          <cell r="G17">
            <v>1</v>
          </cell>
          <cell r="H17">
            <v>6</v>
          </cell>
          <cell r="I17">
            <v>1.75</v>
          </cell>
          <cell r="J17">
            <v>1.7</v>
          </cell>
          <cell r="K17">
            <v>1</v>
          </cell>
          <cell r="L17">
            <v>20041231</v>
          </cell>
          <cell r="M17">
            <v>1.66</v>
          </cell>
          <cell r="N17">
            <v>20050207</v>
          </cell>
        </row>
        <row r="18">
          <cell r="A18" t="str">
            <v>CNP</v>
          </cell>
          <cell r="B18" t="str">
            <v>HOU</v>
          </cell>
          <cell r="C18" t="str">
            <v>CENTERPOINT ENER</v>
          </cell>
          <cell r="D18">
            <v>20041216</v>
          </cell>
          <cell r="E18" t="str">
            <v>EPS</v>
          </cell>
          <cell r="F18" t="str">
            <v>ANN</v>
          </cell>
          <cell r="G18">
            <v>1</v>
          </cell>
          <cell r="H18">
            <v>11</v>
          </cell>
          <cell r="I18">
            <v>0.2</v>
          </cell>
          <cell r="J18">
            <v>0.28999999999999998</v>
          </cell>
          <cell r="K18">
            <v>1</v>
          </cell>
          <cell r="L18">
            <v>20041231</v>
          </cell>
          <cell r="M18">
            <v>0.53</v>
          </cell>
          <cell r="N18">
            <v>20050308</v>
          </cell>
        </row>
        <row r="19">
          <cell r="A19" t="str">
            <v>IDA</v>
          </cell>
          <cell r="B19" t="str">
            <v>IDA</v>
          </cell>
          <cell r="C19" t="str">
            <v>IDACORP INC.</v>
          </cell>
          <cell r="D19">
            <v>20041216</v>
          </cell>
          <cell r="E19" t="str">
            <v>EPS</v>
          </cell>
          <cell r="F19" t="str">
            <v>ANN</v>
          </cell>
          <cell r="G19">
            <v>1</v>
          </cell>
          <cell r="H19">
            <v>2</v>
          </cell>
          <cell r="I19">
            <v>1.9</v>
          </cell>
          <cell r="J19">
            <v>1.9</v>
          </cell>
          <cell r="K19">
            <v>1</v>
          </cell>
          <cell r="L19">
            <v>20041231</v>
          </cell>
          <cell r="M19">
            <v>1.9</v>
          </cell>
          <cell r="N19">
            <v>20050216</v>
          </cell>
        </row>
        <row r="20">
          <cell r="A20" t="str">
            <v>WR</v>
          </cell>
          <cell r="B20" t="str">
            <v>KAN</v>
          </cell>
          <cell r="C20" t="str">
            <v>WESTAR ENERGY</v>
          </cell>
          <cell r="D20">
            <v>20041216</v>
          </cell>
          <cell r="E20" t="str">
            <v>EPS</v>
          </cell>
          <cell r="F20" t="str">
            <v>ANN</v>
          </cell>
          <cell r="G20">
            <v>1</v>
          </cell>
          <cell r="H20">
            <v>4</v>
          </cell>
          <cell r="I20">
            <v>1.47</v>
          </cell>
          <cell r="J20">
            <v>1.47</v>
          </cell>
          <cell r="K20">
            <v>1</v>
          </cell>
          <cell r="L20">
            <v>20041231</v>
          </cell>
          <cell r="M20">
            <v>1.47</v>
          </cell>
          <cell r="N20">
            <v>20050316</v>
          </cell>
        </row>
        <row r="21">
          <cell r="A21" t="str">
            <v>GXP</v>
          </cell>
          <cell r="B21" t="str">
            <v>KLT</v>
          </cell>
          <cell r="C21" t="str">
            <v>GREAT PLAINS</v>
          </cell>
          <cell r="D21">
            <v>20041216</v>
          </cell>
          <cell r="E21" t="str">
            <v>EPS</v>
          </cell>
          <cell r="F21" t="str">
            <v>ANN</v>
          </cell>
          <cell r="G21">
            <v>1</v>
          </cell>
          <cell r="H21">
            <v>7</v>
          </cell>
          <cell r="I21">
            <v>2.23</v>
          </cell>
          <cell r="J21">
            <v>2.2200000000000002</v>
          </cell>
          <cell r="K21">
            <v>1</v>
          </cell>
          <cell r="L21">
            <v>20041231</v>
          </cell>
          <cell r="M21">
            <v>2.4500000000000002</v>
          </cell>
          <cell r="N21">
            <v>20050202</v>
          </cell>
        </row>
        <row r="22">
          <cell r="A22" t="str">
            <v>ALE</v>
          </cell>
          <cell r="B22" t="str">
            <v>MPL</v>
          </cell>
          <cell r="C22" t="str">
            <v>ALLETE INC</v>
          </cell>
          <cell r="D22">
            <v>20041216</v>
          </cell>
          <cell r="E22" t="str">
            <v>EPS</v>
          </cell>
          <cell r="F22" t="str">
            <v>ANN</v>
          </cell>
          <cell r="G22">
            <v>1</v>
          </cell>
          <cell r="H22">
            <v>1</v>
          </cell>
          <cell r="I22">
            <v>1.29</v>
          </cell>
          <cell r="J22">
            <v>1.29</v>
          </cell>
          <cell r="K22">
            <v>1</v>
          </cell>
          <cell r="L22">
            <v>20041231</v>
          </cell>
          <cell r="M22">
            <v>3.62</v>
          </cell>
          <cell r="N22">
            <v>20050210</v>
          </cell>
        </row>
        <row r="23">
          <cell r="A23" t="str">
            <v>ETR</v>
          </cell>
          <cell r="B23" t="str">
            <v>MSU</v>
          </cell>
          <cell r="C23" t="str">
            <v>ENTERGY CP</v>
          </cell>
          <cell r="D23">
            <v>20041216</v>
          </cell>
          <cell r="E23" t="str">
            <v>EPS</v>
          </cell>
          <cell r="F23" t="str">
            <v>ANN</v>
          </cell>
          <cell r="G23">
            <v>1</v>
          </cell>
          <cell r="H23">
            <v>17</v>
          </cell>
          <cell r="I23">
            <v>3.77</v>
          </cell>
          <cell r="J23">
            <v>3.79</v>
          </cell>
          <cell r="K23">
            <v>1</v>
          </cell>
          <cell r="L23">
            <v>20041231</v>
          </cell>
          <cell r="M23">
            <v>3.78</v>
          </cell>
          <cell r="N23">
            <v>20050131</v>
          </cell>
        </row>
        <row r="24">
          <cell r="A24" t="str">
            <v>EAS</v>
          </cell>
          <cell r="B24" t="str">
            <v>NGE</v>
          </cell>
          <cell r="C24" t="str">
            <v>ENERGY EAST CORP</v>
          </cell>
          <cell r="D24">
            <v>20041216</v>
          </cell>
          <cell r="E24" t="str">
            <v>EPS</v>
          </cell>
          <cell r="F24" t="str">
            <v>ANN</v>
          </cell>
          <cell r="G24">
            <v>1</v>
          </cell>
          <cell r="H24">
            <v>8</v>
          </cell>
          <cell r="I24">
            <v>1.67</v>
          </cell>
          <cell r="J24">
            <v>1.68</v>
          </cell>
          <cell r="K24">
            <v>1</v>
          </cell>
          <cell r="L24">
            <v>20041231</v>
          </cell>
          <cell r="M24">
            <v>1.55</v>
          </cell>
          <cell r="N24">
            <v>20050210</v>
          </cell>
        </row>
        <row r="25">
          <cell r="A25" t="str">
            <v>XEL</v>
          </cell>
          <cell r="B25" t="str">
            <v>NSP</v>
          </cell>
          <cell r="C25" t="str">
            <v>XCEL ENERGY INC</v>
          </cell>
          <cell r="D25">
            <v>20041216</v>
          </cell>
          <cell r="E25" t="str">
            <v>EPS</v>
          </cell>
          <cell r="F25" t="str">
            <v>ANN</v>
          </cell>
          <cell r="G25">
            <v>1</v>
          </cell>
          <cell r="H25">
            <v>12</v>
          </cell>
          <cell r="I25">
            <v>1.25</v>
          </cell>
          <cell r="J25">
            <v>1.25</v>
          </cell>
          <cell r="K25">
            <v>1</v>
          </cell>
          <cell r="L25">
            <v>20041231</v>
          </cell>
          <cell r="M25">
            <v>1.26</v>
          </cell>
          <cell r="N25">
            <v>20050201</v>
          </cell>
        </row>
        <row r="26">
          <cell r="A26" t="str">
            <v>NU</v>
          </cell>
          <cell r="B26" t="str">
            <v>NU</v>
          </cell>
          <cell r="C26" t="str">
            <v>NORTHEAST UTILS</v>
          </cell>
          <cell r="D26">
            <v>20041216</v>
          </cell>
          <cell r="E26" t="str">
            <v>EPS</v>
          </cell>
          <cell r="F26" t="str">
            <v>ANN</v>
          </cell>
          <cell r="G26">
            <v>1</v>
          </cell>
          <cell r="H26">
            <v>7</v>
          </cell>
          <cell r="I26">
            <v>1.3</v>
          </cell>
          <cell r="J26">
            <v>1.29</v>
          </cell>
          <cell r="K26">
            <v>1</v>
          </cell>
          <cell r="L26">
            <v>20041231</v>
          </cell>
          <cell r="M26">
            <v>1.29</v>
          </cell>
          <cell r="N26">
            <v>20050204</v>
          </cell>
        </row>
        <row r="27">
          <cell r="A27" t="str">
            <v>FE</v>
          </cell>
          <cell r="B27" t="str">
            <v>OEC</v>
          </cell>
          <cell r="C27" t="str">
            <v>FIRSTENERGY CORP</v>
          </cell>
          <cell r="D27">
            <v>20041216</v>
          </cell>
          <cell r="E27" t="str">
            <v>EPS</v>
          </cell>
          <cell r="F27" t="str">
            <v>ANN</v>
          </cell>
          <cell r="G27">
            <v>1</v>
          </cell>
          <cell r="H27">
            <v>13</v>
          </cell>
          <cell r="I27">
            <v>2.76</v>
          </cell>
          <cell r="J27">
            <v>2.77</v>
          </cell>
          <cell r="K27">
            <v>1</v>
          </cell>
          <cell r="L27">
            <v>20041231</v>
          </cell>
          <cell r="M27">
            <v>2.89</v>
          </cell>
          <cell r="N27">
            <v>20050215</v>
          </cell>
        </row>
        <row r="28">
          <cell r="A28" t="str">
            <v>OGE</v>
          </cell>
          <cell r="B28" t="str">
            <v>OGE</v>
          </cell>
          <cell r="C28" t="str">
            <v>OGE ENERGY CORP</v>
          </cell>
          <cell r="D28">
            <v>20041216</v>
          </cell>
          <cell r="E28" t="str">
            <v>EPS</v>
          </cell>
          <cell r="F28" t="str">
            <v>ANN</v>
          </cell>
          <cell r="G28">
            <v>1</v>
          </cell>
          <cell r="H28">
            <v>2</v>
          </cell>
          <cell r="I28">
            <v>0.8</v>
          </cell>
          <cell r="J28">
            <v>0.8</v>
          </cell>
          <cell r="K28">
            <v>1</v>
          </cell>
          <cell r="L28">
            <v>20041231</v>
          </cell>
          <cell r="M28">
            <v>0.86</v>
          </cell>
          <cell r="N28">
            <v>20050225</v>
          </cell>
        </row>
        <row r="29">
          <cell r="A29" t="str">
            <v>OTTR</v>
          </cell>
          <cell r="B29" t="str">
            <v>OTTR</v>
          </cell>
          <cell r="C29" t="str">
            <v>OTTER TAIL CORP.</v>
          </cell>
          <cell r="D29">
            <v>20041216</v>
          </cell>
          <cell r="E29" t="str">
            <v>EPS</v>
          </cell>
          <cell r="F29" t="str">
            <v>ANN</v>
          </cell>
          <cell r="G29">
            <v>1</v>
          </cell>
          <cell r="H29">
            <v>2</v>
          </cell>
          <cell r="I29">
            <v>1.53</v>
          </cell>
          <cell r="J29">
            <v>1.53</v>
          </cell>
          <cell r="K29">
            <v>1</v>
          </cell>
          <cell r="L29">
            <v>20041231</v>
          </cell>
          <cell r="M29">
            <v>1.55</v>
          </cell>
          <cell r="N29">
            <v>20050207</v>
          </cell>
        </row>
        <row r="30">
          <cell r="A30" t="str">
            <v>PCG</v>
          </cell>
          <cell r="B30" t="str">
            <v>PCG</v>
          </cell>
          <cell r="C30" t="str">
            <v>P G &amp; E CORP</v>
          </cell>
          <cell r="D30">
            <v>20041216</v>
          </cell>
          <cell r="E30" t="str">
            <v>EPS</v>
          </cell>
          <cell r="F30" t="str">
            <v>ANN</v>
          </cell>
          <cell r="G30">
            <v>1</v>
          </cell>
          <cell r="H30">
            <v>12</v>
          </cell>
          <cell r="I30">
            <v>2.1</v>
          </cell>
          <cell r="J30">
            <v>2.08</v>
          </cell>
          <cell r="K30">
            <v>1</v>
          </cell>
          <cell r="L30">
            <v>20041231</v>
          </cell>
          <cell r="M30">
            <v>2.12</v>
          </cell>
          <cell r="N30">
            <v>20050218</v>
          </cell>
        </row>
        <row r="31">
          <cell r="A31" t="str">
            <v>EXC</v>
          </cell>
          <cell r="B31" t="str">
            <v>PE</v>
          </cell>
          <cell r="C31" t="str">
            <v>EXELON CORP</v>
          </cell>
          <cell r="D31">
            <v>20041216</v>
          </cell>
          <cell r="E31" t="str">
            <v>EPS</v>
          </cell>
          <cell r="F31" t="str">
            <v>ANN</v>
          </cell>
          <cell r="G31">
            <v>1</v>
          </cell>
          <cell r="H31">
            <v>17</v>
          </cell>
          <cell r="I31">
            <v>2.8</v>
          </cell>
          <cell r="J31">
            <v>2.83</v>
          </cell>
          <cell r="K31">
            <v>1</v>
          </cell>
          <cell r="L31">
            <v>20041231</v>
          </cell>
          <cell r="M31">
            <v>2.77</v>
          </cell>
          <cell r="N31">
            <v>20050125</v>
          </cell>
        </row>
        <row r="32">
          <cell r="A32" t="str">
            <v>PEG</v>
          </cell>
          <cell r="B32" t="str">
            <v>PEG</v>
          </cell>
          <cell r="C32" t="str">
            <v>PUB SVC ENTERS</v>
          </cell>
          <cell r="D32">
            <v>20041216</v>
          </cell>
          <cell r="E32" t="str">
            <v>EPS</v>
          </cell>
          <cell r="F32" t="str">
            <v>ANN</v>
          </cell>
          <cell r="G32">
            <v>1</v>
          </cell>
          <cell r="H32">
            <v>13</v>
          </cell>
          <cell r="I32">
            <v>1.6</v>
          </cell>
          <cell r="J32">
            <v>1.6</v>
          </cell>
          <cell r="K32">
            <v>1</v>
          </cell>
          <cell r="L32">
            <v>20041231</v>
          </cell>
          <cell r="M32">
            <v>1.53</v>
          </cell>
          <cell r="N32">
            <v>20050203</v>
          </cell>
        </row>
        <row r="33">
          <cell r="A33" t="str">
            <v>PNM</v>
          </cell>
          <cell r="B33" t="str">
            <v>PNM</v>
          </cell>
          <cell r="C33" t="str">
            <v>PNM RESOURCES</v>
          </cell>
          <cell r="D33">
            <v>20041216</v>
          </cell>
          <cell r="E33" t="str">
            <v>EPS</v>
          </cell>
          <cell r="F33" t="str">
            <v>ANN</v>
          </cell>
          <cell r="G33">
            <v>1</v>
          </cell>
          <cell r="H33">
            <v>5</v>
          </cell>
          <cell r="I33">
            <v>1.45</v>
          </cell>
          <cell r="J33">
            <v>1.44</v>
          </cell>
          <cell r="K33">
            <v>1</v>
          </cell>
          <cell r="L33">
            <v>20041231</v>
          </cell>
          <cell r="M33">
            <v>1.4359999999999999</v>
          </cell>
          <cell r="N33">
            <v>20050222</v>
          </cell>
        </row>
        <row r="34">
          <cell r="A34" t="str">
            <v>POM</v>
          </cell>
          <cell r="B34" t="str">
            <v>POM</v>
          </cell>
          <cell r="C34" t="str">
            <v>PEPCO HOLDINGS</v>
          </cell>
          <cell r="D34">
            <v>20041216</v>
          </cell>
          <cell r="E34" t="str">
            <v>EPS</v>
          </cell>
          <cell r="F34" t="str">
            <v>ANN</v>
          </cell>
          <cell r="G34">
            <v>1</v>
          </cell>
          <cell r="H34">
            <v>8</v>
          </cell>
          <cell r="I34">
            <v>1.45</v>
          </cell>
          <cell r="J34">
            <v>1.45</v>
          </cell>
          <cell r="K34">
            <v>1</v>
          </cell>
          <cell r="L34">
            <v>20041231</v>
          </cell>
          <cell r="M34">
            <v>1.5</v>
          </cell>
          <cell r="N34">
            <v>20050315</v>
          </cell>
        </row>
        <row r="35">
          <cell r="A35" t="str">
            <v>PPL</v>
          </cell>
          <cell r="B35" t="str">
            <v>PPL</v>
          </cell>
          <cell r="C35" t="str">
            <v>PP&amp;L CORP</v>
          </cell>
          <cell r="D35">
            <v>20041216</v>
          </cell>
          <cell r="E35" t="str">
            <v>EPS</v>
          </cell>
          <cell r="F35" t="str">
            <v>ANN</v>
          </cell>
          <cell r="G35">
            <v>1</v>
          </cell>
          <cell r="H35">
            <v>10</v>
          </cell>
          <cell r="I35">
            <v>1.85</v>
          </cell>
          <cell r="J35">
            <v>1.85</v>
          </cell>
          <cell r="K35">
            <v>1</v>
          </cell>
          <cell r="L35">
            <v>20041231</v>
          </cell>
          <cell r="M35">
            <v>1.855</v>
          </cell>
          <cell r="N35">
            <v>20050202</v>
          </cell>
        </row>
        <row r="36">
          <cell r="A36" t="str">
            <v>PSD</v>
          </cell>
          <cell r="B36" t="str">
            <v>PSD</v>
          </cell>
          <cell r="C36" t="str">
            <v>PUGET ENERGY INC</v>
          </cell>
          <cell r="D36">
            <v>20041216</v>
          </cell>
          <cell r="E36" t="str">
            <v>EPS</v>
          </cell>
          <cell r="F36" t="str">
            <v>ANN</v>
          </cell>
          <cell r="G36">
            <v>1</v>
          </cell>
          <cell r="H36">
            <v>9</v>
          </cell>
          <cell r="I36">
            <v>1.52</v>
          </cell>
          <cell r="J36">
            <v>1.52</v>
          </cell>
          <cell r="K36">
            <v>1</v>
          </cell>
          <cell r="L36">
            <v>20041231</v>
          </cell>
          <cell r="M36">
            <v>1.55</v>
          </cell>
          <cell r="N36">
            <v>20050209</v>
          </cell>
        </row>
        <row r="37">
          <cell r="A37" t="str">
            <v>EIX</v>
          </cell>
          <cell r="B37" t="str">
            <v>SCE</v>
          </cell>
          <cell r="C37" t="str">
            <v>EDISON INTL</v>
          </cell>
          <cell r="D37">
            <v>20041216</v>
          </cell>
          <cell r="E37" t="str">
            <v>EPS</v>
          </cell>
          <cell r="F37" t="str">
            <v>ANN</v>
          </cell>
          <cell r="G37">
            <v>1</v>
          </cell>
          <cell r="H37">
            <v>11</v>
          </cell>
          <cell r="I37">
            <v>1.75</v>
          </cell>
          <cell r="J37">
            <v>1.77</v>
          </cell>
          <cell r="K37">
            <v>1</v>
          </cell>
          <cell r="L37">
            <v>20041231</v>
          </cell>
          <cell r="M37">
            <v>1.96</v>
          </cell>
          <cell r="N37">
            <v>20050311</v>
          </cell>
        </row>
        <row r="38">
          <cell r="A38" t="str">
            <v>SCG</v>
          </cell>
          <cell r="B38" t="str">
            <v>SCG</v>
          </cell>
          <cell r="C38" t="str">
            <v>SCANA CP</v>
          </cell>
          <cell r="D38">
            <v>20041216</v>
          </cell>
          <cell r="E38" t="str">
            <v>EPS</v>
          </cell>
          <cell r="F38" t="str">
            <v>ANN</v>
          </cell>
          <cell r="G38">
            <v>1</v>
          </cell>
          <cell r="H38">
            <v>7</v>
          </cell>
          <cell r="I38">
            <v>2.7</v>
          </cell>
          <cell r="J38">
            <v>2.72</v>
          </cell>
          <cell r="K38">
            <v>1</v>
          </cell>
          <cell r="L38">
            <v>20041231</v>
          </cell>
          <cell r="M38">
            <v>2.67</v>
          </cell>
          <cell r="N38">
            <v>20050211</v>
          </cell>
        </row>
        <row r="39">
          <cell r="A39" t="str">
            <v>SRE</v>
          </cell>
          <cell r="B39" t="str">
            <v>SDO</v>
          </cell>
          <cell r="C39" t="str">
            <v>SEMPRA ENERGY</v>
          </cell>
          <cell r="D39">
            <v>20041216</v>
          </cell>
          <cell r="E39" t="str">
            <v>EPS</v>
          </cell>
          <cell r="F39" t="str">
            <v>ANN</v>
          </cell>
          <cell r="G39">
            <v>1</v>
          </cell>
          <cell r="H39">
            <v>10</v>
          </cell>
          <cell r="I39">
            <v>3.23</v>
          </cell>
          <cell r="J39">
            <v>3.21</v>
          </cell>
          <cell r="K39">
            <v>1</v>
          </cell>
          <cell r="L39">
            <v>20041231</v>
          </cell>
          <cell r="M39">
            <v>3.88</v>
          </cell>
          <cell r="N39">
            <v>20050223</v>
          </cell>
        </row>
        <row r="40">
          <cell r="A40" t="str">
            <v>VVC</v>
          </cell>
          <cell r="B40" t="str">
            <v>SIG</v>
          </cell>
          <cell r="C40" t="str">
            <v>VECTREN CORP</v>
          </cell>
          <cell r="D40">
            <v>20041216</v>
          </cell>
          <cell r="E40" t="str">
            <v>EPS</v>
          </cell>
          <cell r="F40" t="str">
            <v>ANN</v>
          </cell>
          <cell r="G40">
            <v>1</v>
          </cell>
          <cell r="H40">
            <v>5</v>
          </cell>
          <cell r="I40">
            <v>1.5</v>
          </cell>
          <cell r="J40">
            <v>1.53</v>
          </cell>
          <cell r="K40">
            <v>1</v>
          </cell>
          <cell r="L40">
            <v>20041231</v>
          </cell>
          <cell r="M40">
            <v>1.45</v>
          </cell>
          <cell r="N40">
            <v>20050126</v>
          </cell>
        </row>
        <row r="41">
          <cell r="A41" t="str">
            <v>SO</v>
          </cell>
          <cell r="B41" t="str">
            <v>SO</v>
          </cell>
          <cell r="C41" t="str">
            <v>SOUTHN CO</v>
          </cell>
          <cell r="D41">
            <v>20041216</v>
          </cell>
          <cell r="E41" t="str">
            <v>EPS</v>
          </cell>
          <cell r="F41" t="str">
            <v>ANN</v>
          </cell>
          <cell r="G41">
            <v>1</v>
          </cell>
          <cell r="H41">
            <v>19</v>
          </cell>
          <cell r="I41">
            <v>2</v>
          </cell>
          <cell r="J41">
            <v>2.0099999999999998</v>
          </cell>
          <cell r="K41">
            <v>1</v>
          </cell>
          <cell r="L41">
            <v>20041231</v>
          </cell>
          <cell r="M41">
            <v>2.04</v>
          </cell>
          <cell r="N41">
            <v>20050125</v>
          </cell>
        </row>
        <row r="42">
          <cell r="A42" t="str">
            <v>TE</v>
          </cell>
          <cell r="B42" t="str">
            <v>TE</v>
          </cell>
          <cell r="C42" t="str">
            <v>TECO ENERGY INC</v>
          </cell>
          <cell r="D42">
            <v>20041216</v>
          </cell>
          <cell r="E42" t="str">
            <v>EPS</v>
          </cell>
          <cell r="F42" t="str">
            <v>ANN</v>
          </cell>
          <cell r="G42">
            <v>1</v>
          </cell>
          <cell r="H42">
            <v>16</v>
          </cell>
          <cell r="I42">
            <v>0.78</v>
          </cell>
          <cell r="J42">
            <v>0.78</v>
          </cell>
          <cell r="K42">
            <v>1</v>
          </cell>
          <cell r="L42">
            <v>20041231</v>
          </cell>
          <cell r="M42">
            <v>0.76</v>
          </cell>
          <cell r="N42">
            <v>20050201</v>
          </cell>
        </row>
        <row r="43">
          <cell r="A43" t="str">
            <v>AEE</v>
          </cell>
          <cell r="B43" t="str">
            <v>UEP</v>
          </cell>
          <cell r="C43" t="str">
            <v>AMEREN CP</v>
          </cell>
          <cell r="D43">
            <v>20041216</v>
          </cell>
          <cell r="E43" t="str">
            <v>EPS</v>
          </cell>
          <cell r="F43" t="str">
            <v>ANN</v>
          </cell>
          <cell r="G43">
            <v>1</v>
          </cell>
          <cell r="H43">
            <v>10</v>
          </cell>
          <cell r="I43">
            <v>2.75</v>
          </cell>
          <cell r="J43">
            <v>2.77</v>
          </cell>
          <cell r="K43">
            <v>1</v>
          </cell>
          <cell r="L43">
            <v>20041231</v>
          </cell>
          <cell r="M43">
            <v>2.82</v>
          </cell>
          <cell r="N43">
            <v>20050208</v>
          </cell>
        </row>
        <row r="44">
          <cell r="A44" t="str">
            <v>UIL</v>
          </cell>
          <cell r="B44" t="str">
            <v>UIL</v>
          </cell>
          <cell r="C44" t="str">
            <v>UIL HOLDING CORP</v>
          </cell>
          <cell r="D44">
            <v>20041216</v>
          </cell>
          <cell r="E44" t="str">
            <v>EPS</v>
          </cell>
          <cell r="F44" t="str">
            <v>ANN</v>
          </cell>
          <cell r="G44">
            <v>1</v>
          </cell>
          <cell r="H44">
            <v>1</v>
          </cell>
          <cell r="I44">
            <v>1.45</v>
          </cell>
          <cell r="J44">
            <v>1.45</v>
          </cell>
          <cell r="K44">
            <v>1</v>
          </cell>
          <cell r="L44">
            <v>20041231</v>
          </cell>
          <cell r="M44">
            <v>1.536</v>
          </cell>
          <cell r="N44">
            <v>20050217</v>
          </cell>
        </row>
        <row r="45">
          <cell r="A45" t="str">
            <v>WEC</v>
          </cell>
          <cell r="B45" t="str">
            <v>WPC</v>
          </cell>
          <cell r="C45" t="str">
            <v>WISCONSIN ENERGY</v>
          </cell>
          <cell r="D45">
            <v>20041216</v>
          </cell>
          <cell r="E45" t="str">
            <v>EPS</v>
          </cell>
          <cell r="F45" t="str">
            <v>ANN</v>
          </cell>
          <cell r="G45">
            <v>1</v>
          </cell>
          <cell r="H45">
            <v>8</v>
          </cell>
          <cell r="I45">
            <v>1.17</v>
          </cell>
          <cell r="J45">
            <v>1.17</v>
          </cell>
          <cell r="K45">
            <v>1</v>
          </cell>
          <cell r="L45">
            <v>20041231</v>
          </cell>
          <cell r="M45">
            <v>1.165</v>
          </cell>
          <cell r="N45">
            <v>20050210</v>
          </cell>
        </row>
        <row r="46">
          <cell r="A46" t="str">
            <v>LNT</v>
          </cell>
          <cell r="B46" t="str">
            <v>WPL</v>
          </cell>
          <cell r="C46" t="str">
            <v>ALLIANT ENER</v>
          </cell>
          <cell r="D46">
            <v>20041216</v>
          </cell>
          <cell r="E46" t="str">
            <v>EPS</v>
          </cell>
          <cell r="F46" t="str">
            <v>ANN</v>
          </cell>
          <cell r="G46">
            <v>1</v>
          </cell>
          <cell r="H46">
            <v>5</v>
          </cell>
          <cell r="I46">
            <v>0.93</v>
          </cell>
          <cell r="J46">
            <v>0.91</v>
          </cell>
          <cell r="K46">
            <v>1</v>
          </cell>
          <cell r="L46">
            <v>20041231</v>
          </cell>
          <cell r="M46">
            <v>0.88500000000000001</v>
          </cell>
          <cell r="N46">
            <v>20050128</v>
          </cell>
        </row>
        <row r="47">
          <cell r="A47" t="str">
            <v>WPS</v>
          </cell>
          <cell r="B47" t="str">
            <v>WPS</v>
          </cell>
          <cell r="C47" t="str">
            <v>WPS RESOURCES CP</v>
          </cell>
          <cell r="D47">
            <v>20041216</v>
          </cell>
          <cell r="E47" t="str">
            <v>EPS</v>
          </cell>
          <cell r="F47" t="str">
            <v>ANN</v>
          </cell>
          <cell r="G47">
            <v>1</v>
          </cell>
          <cell r="H47">
            <v>3</v>
          </cell>
          <cell r="I47">
            <v>3.5</v>
          </cell>
          <cell r="J47">
            <v>3.47</v>
          </cell>
          <cell r="K47">
            <v>1</v>
          </cell>
          <cell r="L47">
            <v>20041231</v>
          </cell>
          <cell r="M47">
            <v>4.08</v>
          </cell>
          <cell r="N47">
            <v>20050131</v>
          </cell>
        </row>
        <row r="48">
          <cell r="A48" t="str">
            <v>AVA</v>
          </cell>
          <cell r="B48" t="str">
            <v>WWP</v>
          </cell>
          <cell r="C48" t="str">
            <v>AVISTA CORP</v>
          </cell>
          <cell r="D48">
            <v>20041216</v>
          </cell>
          <cell r="E48" t="str">
            <v>EPS</v>
          </cell>
          <cell r="F48" t="str">
            <v>ANN</v>
          </cell>
          <cell r="G48">
            <v>1</v>
          </cell>
          <cell r="H48">
            <v>4</v>
          </cell>
          <cell r="I48">
            <v>1.05</v>
          </cell>
          <cell r="J48">
            <v>1.05</v>
          </cell>
          <cell r="K48">
            <v>1</v>
          </cell>
          <cell r="L48">
            <v>20041231</v>
          </cell>
          <cell r="M48">
            <v>1</v>
          </cell>
          <cell r="N48">
            <v>20050126</v>
          </cell>
        </row>
        <row r="49">
          <cell r="A49" t="str">
            <v>PPL</v>
          </cell>
          <cell r="B49" t="str">
            <v>@1XJ</v>
          </cell>
          <cell r="C49" t="str">
            <v>PUMPKIN PATCH LT</v>
          </cell>
          <cell r="D49">
            <v>20041216</v>
          </cell>
          <cell r="E49" t="str">
            <v>EPS</v>
          </cell>
          <cell r="F49" t="str">
            <v>ANN</v>
          </cell>
          <cell r="G49">
            <v>1</v>
          </cell>
          <cell r="H49">
            <v>5</v>
          </cell>
          <cell r="I49">
            <v>0.114</v>
          </cell>
          <cell r="J49">
            <v>0.11700000000000001</v>
          </cell>
          <cell r="K49">
            <v>0</v>
          </cell>
          <cell r="L49">
            <v>20050731</v>
          </cell>
          <cell r="M49">
            <v>0.14910000000000001</v>
          </cell>
          <cell r="N49">
            <v>20051222</v>
          </cell>
        </row>
        <row r="50">
          <cell r="A50" t="str">
            <v>ETR</v>
          </cell>
          <cell r="B50" t="str">
            <v>@8EN</v>
          </cell>
          <cell r="C50" t="str">
            <v>ENTERPRISE</v>
          </cell>
          <cell r="D50">
            <v>20041216</v>
          </cell>
          <cell r="E50" t="str">
            <v>EPS</v>
          </cell>
          <cell r="F50" t="str">
            <v>ANN</v>
          </cell>
          <cell r="G50">
            <v>1</v>
          </cell>
          <cell r="H50">
            <v>1</v>
          </cell>
          <cell r="I50">
            <v>14.17</v>
          </cell>
          <cell r="J50">
            <v>14.17</v>
          </cell>
          <cell r="K50">
            <v>0</v>
          </cell>
          <cell r="L50">
            <v>20041231</v>
          </cell>
          <cell r="M50">
            <v>24</v>
          </cell>
          <cell r="N50">
            <v>20050520</v>
          </cell>
        </row>
        <row r="51">
          <cell r="A51" t="str">
            <v>CNP</v>
          </cell>
          <cell r="B51" t="str">
            <v>@8PG</v>
          </cell>
          <cell r="C51" t="str">
            <v>CENTRO PROPERTIE</v>
          </cell>
          <cell r="D51">
            <v>20041216</v>
          </cell>
          <cell r="E51" t="str">
            <v>EPS</v>
          </cell>
          <cell r="F51" t="str">
            <v>ANN</v>
          </cell>
          <cell r="G51">
            <v>1</v>
          </cell>
          <cell r="H51">
            <v>7</v>
          </cell>
          <cell r="I51">
            <v>0.33300000000000002</v>
          </cell>
          <cell r="J51">
            <v>0.308</v>
          </cell>
          <cell r="K51">
            <v>0</v>
          </cell>
          <cell r="L51">
            <v>20050630</v>
          </cell>
          <cell r="M51">
            <v>0.36899999999999999</v>
          </cell>
          <cell r="N51">
            <v>20050809</v>
          </cell>
        </row>
        <row r="52">
          <cell r="A52" t="str">
            <v>AVA</v>
          </cell>
          <cell r="B52" t="str">
            <v>@AHV</v>
          </cell>
          <cell r="C52" t="str">
            <v>AVA</v>
          </cell>
          <cell r="D52">
            <v>20041216</v>
          </cell>
          <cell r="E52" t="str">
            <v>EPS</v>
          </cell>
          <cell r="F52" t="str">
            <v>ANN</v>
          </cell>
          <cell r="G52">
            <v>1</v>
          </cell>
          <cell r="H52">
            <v>1</v>
          </cell>
          <cell r="I52">
            <v>0.88</v>
          </cell>
          <cell r="J52">
            <v>0.88</v>
          </cell>
          <cell r="K52">
            <v>0</v>
          </cell>
          <cell r="L52">
            <v>20041231</v>
          </cell>
          <cell r="M52">
            <v>1.377</v>
          </cell>
          <cell r="N52">
            <v>20050629</v>
          </cell>
        </row>
        <row r="53">
          <cell r="A53" t="str">
            <v>CNP</v>
          </cell>
          <cell r="B53" t="str">
            <v>@CN0</v>
          </cell>
          <cell r="C53" t="str">
            <v>CNP ASSURANCES</v>
          </cell>
          <cell r="D53">
            <v>20041216</v>
          </cell>
          <cell r="E53" t="str">
            <v>EPS</v>
          </cell>
          <cell r="F53" t="str">
            <v>ANN</v>
          </cell>
          <cell r="G53">
            <v>1</v>
          </cell>
          <cell r="H53">
            <v>11</v>
          </cell>
          <cell r="I53">
            <v>1.1100000000000001</v>
          </cell>
          <cell r="J53">
            <v>1.1100000000000001</v>
          </cell>
          <cell r="K53">
            <v>0</v>
          </cell>
          <cell r="L53">
            <v>20041231</v>
          </cell>
          <cell r="M53">
            <v>1.1636</v>
          </cell>
          <cell r="N53">
            <v>20050208</v>
          </cell>
        </row>
        <row r="54">
          <cell r="A54" t="str">
            <v>SO</v>
          </cell>
          <cell r="B54" t="str">
            <v>@DAM</v>
          </cell>
          <cell r="C54" t="str">
            <v>SOMFY</v>
          </cell>
          <cell r="D54">
            <v>20041216</v>
          </cell>
          <cell r="E54" t="str">
            <v>EPS</v>
          </cell>
          <cell r="F54" t="str">
            <v>ANN</v>
          </cell>
          <cell r="G54">
            <v>1</v>
          </cell>
          <cell r="H54">
            <v>6</v>
          </cell>
          <cell r="I54">
            <v>1.93</v>
          </cell>
          <cell r="J54">
            <v>1.92</v>
          </cell>
          <cell r="K54">
            <v>0</v>
          </cell>
          <cell r="L54">
            <v>20041231</v>
          </cell>
          <cell r="M54">
            <v>1.9426000000000001</v>
          </cell>
          <cell r="N54">
            <v>20050428</v>
          </cell>
        </row>
        <row r="55">
          <cell r="A55" t="str">
            <v>DTE</v>
          </cell>
          <cell r="B55" t="str">
            <v>@DT</v>
          </cell>
          <cell r="C55" t="str">
            <v>DEUTSCHE TELEKOM</v>
          </cell>
          <cell r="D55">
            <v>20041216</v>
          </cell>
          <cell r="E55" t="str">
            <v>EPS</v>
          </cell>
          <cell r="F55" t="str">
            <v>ANN</v>
          </cell>
          <cell r="G55">
            <v>1</v>
          </cell>
          <cell r="H55">
            <v>28</v>
          </cell>
          <cell r="I55">
            <v>0.7</v>
          </cell>
          <cell r="J55">
            <v>0.69</v>
          </cell>
          <cell r="K55">
            <v>0</v>
          </cell>
          <cell r="L55">
            <v>20041231</v>
          </cell>
          <cell r="M55">
            <v>1.69</v>
          </cell>
          <cell r="N55">
            <v>20050315</v>
          </cell>
        </row>
        <row r="56">
          <cell r="A56" t="str">
            <v>DTE</v>
          </cell>
          <cell r="B56" t="str">
            <v>@DT</v>
          </cell>
          <cell r="C56" t="str">
            <v>DEUTSCHE TELEKOM</v>
          </cell>
          <cell r="D56">
            <v>20041216</v>
          </cell>
          <cell r="E56" t="str">
            <v>EPS</v>
          </cell>
          <cell r="F56" t="str">
            <v>ANN</v>
          </cell>
          <cell r="G56">
            <v>1</v>
          </cell>
          <cell r="H56">
            <v>28</v>
          </cell>
          <cell r="I56">
            <v>0.7</v>
          </cell>
          <cell r="J56">
            <v>0.69</v>
          </cell>
          <cell r="K56">
            <v>0</v>
          </cell>
          <cell r="L56">
            <v>20041231</v>
          </cell>
          <cell r="M56">
            <v>1.1000000000000001</v>
          </cell>
          <cell r="N56">
            <v>20050315</v>
          </cell>
        </row>
        <row r="57">
          <cell r="A57" t="str">
            <v>PCG</v>
          </cell>
          <cell r="B57" t="str">
            <v>@DTY</v>
          </cell>
          <cell r="C57" t="str">
            <v>PCH GROUP</v>
          </cell>
          <cell r="D57">
            <v>20041216</v>
          </cell>
          <cell r="E57" t="str">
            <v>EPS</v>
          </cell>
          <cell r="F57" t="str">
            <v>ANN</v>
          </cell>
          <cell r="G57">
            <v>1</v>
          </cell>
          <cell r="H57">
            <v>1</v>
          </cell>
          <cell r="I57">
            <v>4.7E-2</v>
          </cell>
          <cell r="J57">
            <v>4.7E-2</v>
          </cell>
          <cell r="K57">
            <v>0</v>
          </cell>
          <cell r="L57">
            <v>20050630</v>
          </cell>
          <cell r="M57">
            <v>6.3E-2</v>
          </cell>
          <cell r="N57">
            <v>20050902</v>
          </cell>
        </row>
        <row r="58">
          <cell r="A58" t="str">
            <v>PGN</v>
          </cell>
          <cell r="B58" t="str">
            <v>@L35</v>
          </cell>
          <cell r="C58" t="str">
            <v>PERUSAHAAN GAS N</v>
          </cell>
          <cell r="D58">
            <v>20041216</v>
          </cell>
          <cell r="E58" t="str">
            <v>EPS</v>
          </cell>
          <cell r="F58" t="str">
            <v>ANN</v>
          </cell>
          <cell r="G58">
            <v>1</v>
          </cell>
          <cell r="H58">
            <v>5</v>
          </cell>
          <cell r="I58">
            <v>28.5</v>
          </cell>
          <cell r="J58">
            <v>27.2</v>
          </cell>
          <cell r="K58">
            <v>0</v>
          </cell>
          <cell r="L58">
            <v>20041231</v>
          </cell>
          <cell r="M58">
            <v>22</v>
          </cell>
          <cell r="N58">
            <v>20050405</v>
          </cell>
        </row>
        <row r="59">
          <cell r="A59" t="str">
            <v>ETR</v>
          </cell>
          <cell r="B59" t="str">
            <v>@NPD</v>
          </cell>
          <cell r="C59" t="str">
            <v>E*TRADE AUSTRALI</v>
          </cell>
          <cell r="D59">
            <v>20041216</v>
          </cell>
          <cell r="E59" t="str">
            <v>EPS</v>
          </cell>
          <cell r="F59" t="str">
            <v>ANN</v>
          </cell>
          <cell r="G59">
            <v>1</v>
          </cell>
          <cell r="H59">
            <v>1</v>
          </cell>
          <cell r="I59">
            <v>0.13700000000000001</v>
          </cell>
          <cell r="J59">
            <v>0.13700000000000001</v>
          </cell>
          <cell r="K59">
            <v>0</v>
          </cell>
          <cell r="L59">
            <v>20050630</v>
          </cell>
          <cell r="M59">
            <v>0.15820000000000001</v>
          </cell>
          <cell r="N59">
            <v>20050915</v>
          </cell>
        </row>
        <row r="60">
          <cell r="A60" t="str">
            <v>NST</v>
          </cell>
          <cell r="B60" t="str">
            <v>@NST</v>
          </cell>
          <cell r="C60" t="str">
            <v>NEW STRAITS TIME</v>
          </cell>
          <cell r="D60">
            <v>20041216</v>
          </cell>
          <cell r="E60" t="str">
            <v>EPS</v>
          </cell>
          <cell r="F60" t="str">
            <v>ANN</v>
          </cell>
          <cell r="G60">
            <v>1</v>
          </cell>
          <cell r="H60">
            <v>2</v>
          </cell>
          <cell r="I60">
            <v>0.224</v>
          </cell>
          <cell r="J60">
            <v>0.224</v>
          </cell>
          <cell r="K60">
            <v>0</v>
          </cell>
          <cell r="L60">
            <v>20041231</v>
          </cell>
          <cell r="M60">
            <v>9.7999999999999997E-3</v>
          </cell>
          <cell r="N60">
            <v>20050228</v>
          </cell>
        </row>
        <row r="61">
          <cell r="A61" t="str">
            <v>PGN</v>
          </cell>
          <cell r="B61" t="str">
            <v>@PGW</v>
          </cell>
          <cell r="C61" t="str">
            <v>PHARMAGENE PLC</v>
          </cell>
          <cell r="D61">
            <v>20041216</v>
          </cell>
          <cell r="E61" t="str">
            <v>EPS</v>
          </cell>
          <cell r="F61" t="str">
            <v>ANN</v>
          </cell>
          <cell r="G61">
            <v>1</v>
          </cell>
          <cell r="H61">
            <v>1</v>
          </cell>
          <cell r="I61">
            <v>-13.52</v>
          </cell>
          <cell r="J61">
            <v>-13.52</v>
          </cell>
          <cell r="K61">
            <v>0</v>
          </cell>
          <cell r="L61">
            <v>20041231</v>
          </cell>
          <cell r="M61">
            <v>-12.9</v>
          </cell>
          <cell r="N61">
            <v>20050309</v>
          </cell>
        </row>
        <row r="62">
          <cell r="A62" t="str">
            <v>PGN</v>
          </cell>
          <cell r="B62" t="str">
            <v>@PGW</v>
          </cell>
          <cell r="C62" t="str">
            <v>PHARMAGENE PLC</v>
          </cell>
          <cell r="D62">
            <v>20041216</v>
          </cell>
          <cell r="E62" t="str">
            <v>EPS</v>
          </cell>
          <cell r="F62" t="str">
            <v>ANN</v>
          </cell>
          <cell r="G62">
            <v>1</v>
          </cell>
          <cell r="H62">
            <v>1</v>
          </cell>
          <cell r="I62">
            <v>-13.52</v>
          </cell>
          <cell r="J62">
            <v>-13.52</v>
          </cell>
          <cell r="K62">
            <v>0</v>
          </cell>
          <cell r="L62">
            <v>20041231</v>
          </cell>
          <cell r="M62">
            <v>-12.9</v>
          </cell>
          <cell r="N62">
            <v>20050309</v>
          </cell>
        </row>
        <row r="63">
          <cell r="A63" t="str">
            <v>POM</v>
          </cell>
          <cell r="B63" t="str">
            <v>@PO8</v>
          </cell>
          <cell r="C63" t="str">
            <v>PLASTIC OMNIUM</v>
          </cell>
          <cell r="D63">
            <v>20041216</v>
          </cell>
          <cell r="E63" t="str">
            <v>EPS</v>
          </cell>
          <cell r="F63" t="str">
            <v>ANN</v>
          </cell>
          <cell r="G63">
            <v>1</v>
          </cell>
          <cell r="H63">
            <v>7</v>
          </cell>
          <cell r="I63">
            <v>0.28999999999999998</v>
          </cell>
          <cell r="J63">
            <v>0.27</v>
          </cell>
          <cell r="K63">
            <v>0</v>
          </cell>
          <cell r="L63">
            <v>20041231</v>
          </cell>
          <cell r="M63">
            <v>0.38329999999999997</v>
          </cell>
          <cell r="N63">
            <v>20050315</v>
          </cell>
        </row>
        <row r="64">
          <cell r="A64" t="str">
            <v>PGN</v>
          </cell>
          <cell r="B64" t="str">
            <v>@QPA</v>
          </cell>
          <cell r="C64" t="str">
            <v>PARAGON</v>
          </cell>
          <cell r="D64">
            <v>20041216</v>
          </cell>
          <cell r="E64" t="str">
            <v>EPS</v>
          </cell>
          <cell r="F64" t="str">
            <v>ANN</v>
          </cell>
          <cell r="G64">
            <v>1</v>
          </cell>
          <cell r="H64">
            <v>1</v>
          </cell>
          <cell r="I64">
            <v>0.51</v>
          </cell>
          <cell r="J64">
            <v>0.51</v>
          </cell>
          <cell r="K64">
            <v>0</v>
          </cell>
          <cell r="L64">
            <v>20041231</v>
          </cell>
          <cell r="M64">
            <v>0.71</v>
          </cell>
          <cell r="N64">
            <v>20050316</v>
          </cell>
        </row>
        <row r="65">
          <cell r="A65" t="str">
            <v>CIN</v>
          </cell>
          <cell r="B65" t="str">
            <v>@W1E</v>
          </cell>
          <cell r="C65" t="str">
            <v>CINTRA CONCESION</v>
          </cell>
          <cell r="D65">
            <v>20041216</v>
          </cell>
          <cell r="E65" t="str">
            <v>EPS</v>
          </cell>
          <cell r="F65" t="str">
            <v>ANN</v>
          </cell>
          <cell r="G65">
            <v>1</v>
          </cell>
          <cell r="H65">
            <v>2</v>
          </cell>
          <cell r="I65">
            <v>0.46</v>
          </cell>
          <cell r="J65">
            <v>0.46</v>
          </cell>
          <cell r="K65">
            <v>0</v>
          </cell>
          <cell r="L65">
            <v>20041231</v>
          </cell>
          <cell r="M65">
            <v>0.2505</v>
          </cell>
          <cell r="N65">
            <v>20050407</v>
          </cell>
        </row>
        <row r="66">
          <cell r="A66" t="str">
            <v>CIN</v>
          </cell>
          <cell r="B66" t="str">
            <v>@YYN</v>
          </cell>
          <cell r="C66" t="str">
            <v>CIN</v>
          </cell>
          <cell r="D66">
            <v>20041216</v>
          </cell>
          <cell r="E66" t="str">
            <v>EPS</v>
          </cell>
          <cell r="F66" t="str">
            <v>ANN</v>
          </cell>
          <cell r="G66">
            <v>1</v>
          </cell>
          <cell r="H66">
            <v>1</v>
          </cell>
          <cell r="I66">
            <v>0.56000000000000005</v>
          </cell>
          <cell r="J66">
            <v>0.56000000000000005</v>
          </cell>
          <cell r="K66">
            <v>0</v>
          </cell>
          <cell r="L66">
            <v>20041231</v>
          </cell>
          <cell r="M66">
            <v>0.44</v>
          </cell>
          <cell r="N66">
            <v>20050711</v>
          </cell>
        </row>
        <row r="67">
          <cell r="A67" t="str">
            <v>ALE</v>
          </cell>
          <cell r="B67" t="str">
            <v>ALE1</v>
          </cell>
          <cell r="C67" t="str">
            <v>SLEEMAN BREWS</v>
          </cell>
          <cell r="D67">
            <v>20041216</v>
          </cell>
          <cell r="E67" t="str">
            <v>EPS</v>
          </cell>
          <cell r="F67" t="str">
            <v>ANN</v>
          </cell>
          <cell r="G67">
            <v>1</v>
          </cell>
          <cell r="H67">
            <v>9</v>
          </cell>
          <cell r="I67">
            <v>0.9</v>
          </cell>
          <cell r="J67">
            <v>0.91</v>
          </cell>
          <cell r="K67">
            <v>0</v>
          </cell>
          <cell r="L67">
            <v>20041231</v>
          </cell>
          <cell r="M67">
            <v>0.87</v>
          </cell>
          <cell r="N67">
            <v>20050310</v>
          </cell>
        </row>
        <row r="68">
          <cell r="A68" t="str">
            <v>EXC</v>
          </cell>
          <cell r="B68" t="str">
            <v>EXC1</v>
          </cell>
          <cell r="C68" t="str">
            <v>EXTREME CCTV</v>
          </cell>
          <cell r="D68">
            <v>20041216</v>
          </cell>
          <cell r="E68" t="str">
            <v>EPS</v>
          </cell>
          <cell r="F68" t="str">
            <v>ANN</v>
          </cell>
          <cell r="G68">
            <v>1</v>
          </cell>
          <cell r="H68">
            <v>1</v>
          </cell>
          <cell r="I68">
            <v>0.14000000000000001</v>
          </cell>
          <cell r="J68">
            <v>0.14000000000000001</v>
          </cell>
          <cell r="K68">
            <v>0</v>
          </cell>
          <cell r="L68">
            <v>20050930</v>
          </cell>
          <cell r="M68">
            <v>7.0000000000000007E-2</v>
          </cell>
          <cell r="N68">
            <v>20051212</v>
          </cell>
        </row>
        <row r="69">
          <cell r="A69" t="str">
            <v>FE</v>
          </cell>
          <cell r="B69" t="str">
            <v>FE1</v>
          </cell>
          <cell r="C69" t="str">
            <v>FIND ENERGY LTD</v>
          </cell>
          <cell r="D69">
            <v>20041216</v>
          </cell>
          <cell r="E69" t="str">
            <v>EPS</v>
          </cell>
          <cell r="F69" t="str">
            <v>ANN</v>
          </cell>
          <cell r="G69">
            <v>1</v>
          </cell>
          <cell r="H69">
            <v>2</v>
          </cell>
          <cell r="I69">
            <v>0.14000000000000001</v>
          </cell>
          <cell r="J69">
            <v>0.14000000000000001</v>
          </cell>
          <cell r="K69">
            <v>0</v>
          </cell>
          <cell r="L69">
            <v>20041231</v>
          </cell>
          <cell r="M69">
            <v>0.1</v>
          </cell>
          <cell r="N69">
            <v>20050323</v>
          </cell>
        </row>
        <row r="70">
          <cell r="A70" t="str">
            <v>PEG</v>
          </cell>
          <cell r="B70" t="str">
            <v>PEG1</v>
          </cell>
          <cell r="C70" t="str">
            <v>PEREGRINE ENERGY</v>
          </cell>
          <cell r="D70">
            <v>20041216</v>
          </cell>
          <cell r="E70" t="str">
            <v>EPS</v>
          </cell>
          <cell r="F70" t="str">
            <v>ANN</v>
          </cell>
          <cell r="G70">
            <v>1</v>
          </cell>
          <cell r="H70">
            <v>1</v>
          </cell>
          <cell r="I70">
            <v>0.22</v>
          </cell>
          <cell r="J70">
            <v>0.22</v>
          </cell>
          <cell r="K70">
            <v>0</v>
          </cell>
          <cell r="L70">
            <v>20041231</v>
          </cell>
          <cell r="M70">
            <v>0.21</v>
          </cell>
          <cell r="N70">
            <v>20050330</v>
          </cell>
        </row>
        <row r="71">
          <cell r="A71" t="str">
            <v>PSD</v>
          </cell>
          <cell r="B71" t="str">
            <v>PSD3</v>
          </cell>
          <cell r="C71" t="str">
            <v>PULSE DATA INC</v>
          </cell>
          <cell r="D71">
            <v>20041216</v>
          </cell>
          <cell r="E71" t="str">
            <v>EPS</v>
          </cell>
          <cell r="F71" t="str">
            <v>ANN</v>
          </cell>
          <cell r="G71">
            <v>1</v>
          </cell>
          <cell r="H71">
            <v>1</v>
          </cell>
          <cell r="I71">
            <v>0.16</v>
          </cell>
          <cell r="J71">
            <v>0.16</v>
          </cell>
          <cell r="K71">
            <v>0</v>
          </cell>
          <cell r="L71">
            <v>20041231</v>
          </cell>
          <cell r="M71">
            <v>0.18</v>
          </cell>
          <cell r="N71">
            <v>20050322</v>
          </cell>
        </row>
        <row r="72">
          <cell r="A72" t="str">
            <v>SO</v>
          </cell>
          <cell r="B72" t="str">
            <v>SOCA</v>
          </cell>
          <cell r="C72" t="str">
            <v>SOFTCHOICE CORP</v>
          </cell>
          <cell r="D72">
            <v>20041216</v>
          </cell>
          <cell r="E72" t="str">
            <v>EPS</v>
          </cell>
          <cell r="F72" t="str">
            <v>ANN</v>
          </cell>
          <cell r="G72">
            <v>1</v>
          </cell>
          <cell r="H72">
            <v>2</v>
          </cell>
          <cell r="I72">
            <v>0.69</v>
          </cell>
          <cell r="J72">
            <v>0.69</v>
          </cell>
          <cell r="K72">
            <v>0</v>
          </cell>
          <cell r="L72">
            <v>20041231</v>
          </cell>
          <cell r="M72">
            <v>0.74</v>
          </cell>
          <cell r="N72">
            <v>20050215</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ludyt39qyec1lok"/>
    </sheetNames>
    <sheetDataSet>
      <sheetData sheetId="0">
        <row r="2">
          <cell r="B2" t="str">
            <v>ATO</v>
          </cell>
          <cell r="C2" t="str">
            <v>ATMOS ENERGY CP</v>
          </cell>
          <cell r="D2">
            <v>42719</v>
          </cell>
          <cell r="E2" t="str">
            <v>EPS</v>
          </cell>
          <cell r="F2" t="str">
            <v>LTG</v>
          </cell>
          <cell r="G2" t="str">
            <v>0</v>
          </cell>
          <cell r="H2">
            <v>2</v>
          </cell>
          <cell r="I2">
            <v>7.3</v>
          </cell>
          <cell r="J2">
            <v>7.3</v>
          </cell>
          <cell r="K2">
            <v>0.42</v>
          </cell>
        </row>
        <row r="3">
          <cell r="B3" t="str">
            <v>SR</v>
          </cell>
          <cell r="C3" t="str">
            <v>SPIRE INC</v>
          </cell>
          <cell r="D3">
            <v>42719</v>
          </cell>
          <cell r="E3" t="str">
            <v>EPS</v>
          </cell>
          <cell r="F3" t="str">
            <v>LTG</v>
          </cell>
          <cell r="G3" t="str">
            <v>0</v>
          </cell>
          <cell r="H3">
            <v>3</v>
          </cell>
          <cell r="I3">
            <v>4</v>
          </cell>
          <cell r="J3">
            <v>4.2300000000000004</v>
          </cell>
          <cell r="K3">
            <v>0.59</v>
          </cell>
        </row>
        <row r="4">
          <cell r="B4" t="str">
            <v>NI</v>
          </cell>
          <cell r="C4" t="str">
            <v>NISOURCE</v>
          </cell>
          <cell r="D4">
            <v>42719</v>
          </cell>
          <cell r="E4" t="str">
            <v>EPS</v>
          </cell>
          <cell r="F4" t="str">
            <v>LTG</v>
          </cell>
          <cell r="G4" t="str">
            <v>0</v>
          </cell>
          <cell r="H4">
            <v>1</v>
          </cell>
          <cell r="I4">
            <v>9.1999999999999993</v>
          </cell>
          <cell r="J4">
            <v>9.1999999999999993</v>
          </cell>
        </row>
        <row r="5">
          <cell r="B5" t="str">
            <v>NJR</v>
          </cell>
          <cell r="C5" t="str">
            <v>NEW JERSEY RES</v>
          </cell>
          <cell r="D5">
            <v>42719</v>
          </cell>
          <cell r="E5" t="str">
            <v>EPS</v>
          </cell>
          <cell r="F5" t="str">
            <v>LTG</v>
          </cell>
          <cell r="G5" t="str">
            <v>0</v>
          </cell>
          <cell r="H5">
            <v>1</v>
          </cell>
          <cell r="I5">
            <v>6</v>
          </cell>
          <cell r="J5">
            <v>6</v>
          </cell>
        </row>
        <row r="6">
          <cell r="B6" t="str">
            <v>NWN</v>
          </cell>
          <cell r="C6" t="str">
            <v>NW NATURAL GAS</v>
          </cell>
          <cell r="D6">
            <v>42719</v>
          </cell>
          <cell r="E6" t="str">
            <v>EPS</v>
          </cell>
          <cell r="F6" t="str">
            <v>LTG</v>
          </cell>
          <cell r="G6" t="str">
            <v>0</v>
          </cell>
          <cell r="H6">
            <v>1</v>
          </cell>
          <cell r="I6">
            <v>4</v>
          </cell>
          <cell r="J6">
            <v>4</v>
          </cell>
        </row>
        <row r="7">
          <cell r="B7" t="str">
            <v>OGS</v>
          </cell>
          <cell r="C7" t="str">
            <v>ONE GAS INC</v>
          </cell>
          <cell r="D7">
            <v>42719</v>
          </cell>
          <cell r="E7" t="str">
            <v>EPS</v>
          </cell>
          <cell r="F7" t="str">
            <v>LTG</v>
          </cell>
          <cell r="G7" t="str">
            <v>0</v>
          </cell>
          <cell r="H7">
            <v>2</v>
          </cell>
          <cell r="I7">
            <v>5.5</v>
          </cell>
          <cell r="J7">
            <v>5.5</v>
          </cell>
          <cell r="K7">
            <v>0.71</v>
          </cell>
        </row>
        <row r="8">
          <cell r="B8" t="str">
            <v>SWX</v>
          </cell>
          <cell r="C8" t="str">
            <v>SOUTHWEST GAS</v>
          </cell>
          <cell r="D8">
            <v>42719</v>
          </cell>
          <cell r="E8" t="str">
            <v>EPS</v>
          </cell>
          <cell r="F8" t="str">
            <v>LTG</v>
          </cell>
          <cell r="G8" t="str">
            <v>0</v>
          </cell>
          <cell r="H8">
            <v>1</v>
          </cell>
          <cell r="I8">
            <v>4</v>
          </cell>
          <cell r="J8">
            <v>4</v>
          </cell>
        </row>
        <row r="9">
          <cell r="B9" t="str">
            <v>WGL</v>
          </cell>
          <cell r="C9" t="str">
            <v>WGL HOLDING INC</v>
          </cell>
          <cell r="D9">
            <v>42719</v>
          </cell>
          <cell r="E9" t="str">
            <v>EPS</v>
          </cell>
          <cell r="F9" t="str">
            <v>LTG</v>
          </cell>
          <cell r="G9" t="str">
            <v>0</v>
          </cell>
          <cell r="H9">
            <v>2</v>
          </cell>
          <cell r="I9">
            <v>8</v>
          </cell>
          <cell r="J9">
            <v>8</v>
          </cell>
          <cell r="K9">
            <v>1.41</v>
          </cell>
        </row>
        <row r="10">
          <cell r="B10" t="str">
            <v>GAS</v>
          </cell>
          <cell r="C10" t="str">
            <v>GAS NATURAL</v>
          </cell>
          <cell r="D10">
            <v>42719</v>
          </cell>
          <cell r="E10" t="str">
            <v>EPS</v>
          </cell>
          <cell r="F10" t="str">
            <v>LTG</v>
          </cell>
          <cell r="G10" t="str">
            <v>0</v>
          </cell>
          <cell r="H10">
            <v>3</v>
          </cell>
          <cell r="I10">
            <v>-1</v>
          </cell>
          <cell r="J10">
            <v>0.41</v>
          </cell>
          <cell r="K10">
            <v>2.5</v>
          </cell>
        </row>
        <row r="11">
          <cell r="B11" t="str">
            <v>ATO</v>
          </cell>
          <cell r="C11" t="str">
            <v>ATOS SE</v>
          </cell>
          <cell r="D11">
            <v>42719</v>
          </cell>
          <cell r="E11" t="str">
            <v>EPS</v>
          </cell>
          <cell r="F11" t="str">
            <v>LTG</v>
          </cell>
          <cell r="G11" t="str">
            <v>0</v>
          </cell>
          <cell r="H11">
            <v>4</v>
          </cell>
          <cell r="I11">
            <v>10.61</v>
          </cell>
          <cell r="J11">
            <v>10.58</v>
          </cell>
          <cell r="K11">
            <v>5.01</v>
          </cell>
        </row>
      </sheetData>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RDS"/>
    </sheetNames>
    <sheetDataSet>
      <sheetData sheetId="0">
        <row r="1">
          <cell r="A1" t="str">
            <v>OFTIC</v>
          </cell>
          <cell r="B1" t="str">
            <v>IBES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USFIRM=0 if from .INT file and USFIRM=1 if from .US file</v>
          </cell>
          <cell r="M1" t="str">
            <v>Forecast Period End Date (SAS Format)</v>
          </cell>
          <cell r="N1" t="str">
            <v>Actual Value, from the Detail Actuals File</v>
          </cell>
          <cell r="O1" t="str">
            <v>Announce date of the Actual, from the Detail Actuals File</v>
          </cell>
        </row>
        <row r="2">
          <cell r="A2" t="str">
            <v>PNW</v>
          </cell>
          <cell r="B2" t="str">
            <v>AZP</v>
          </cell>
          <cell r="C2" t="str">
            <v>PINNACLE WST CAP</v>
          </cell>
          <cell r="D2">
            <v>20041216</v>
          </cell>
          <cell r="E2" t="str">
            <v>EPS</v>
          </cell>
          <cell r="F2" t="str">
            <v>LTG</v>
          </cell>
          <cell r="G2">
            <v>0</v>
          </cell>
          <cell r="H2">
            <v>4</v>
          </cell>
          <cell r="I2">
            <v>3.5</v>
          </cell>
          <cell r="J2">
            <v>3.75</v>
          </cell>
          <cell r="K2">
            <v>1.71</v>
          </cell>
          <cell r="L2">
            <v>1</v>
          </cell>
        </row>
        <row r="3">
          <cell r="A3" t="str">
            <v>CEG</v>
          </cell>
          <cell r="B3" t="str">
            <v>BGE</v>
          </cell>
          <cell r="C3" t="str">
            <v>CONSTELLATION EN</v>
          </cell>
          <cell r="D3">
            <v>20041216</v>
          </cell>
          <cell r="E3" t="str">
            <v>EPS</v>
          </cell>
          <cell r="F3" t="str">
            <v>LTG</v>
          </cell>
          <cell r="G3">
            <v>0</v>
          </cell>
          <cell r="H3">
            <v>7</v>
          </cell>
          <cell r="I3">
            <v>8</v>
          </cell>
          <cell r="J3">
            <v>7.49</v>
          </cell>
          <cell r="K3">
            <v>1.76</v>
          </cell>
          <cell r="L3">
            <v>1</v>
          </cell>
        </row>
        <row r="4">
          <cell r="A4" t="str">
            <v>BKH</v>
          </cell>
          <cell r="B4" t="str">
            <v>BHP</v>
          </cell>
          <cell r="C4" t="str">
            <v>BLACK HILLS CP</v>
          </cell>
          <cell r="D4">
            <v>20041216</v>
          </cell>
          <cell r="E4" t="str">
            <v>EPS</v>
          </cell>
          <cell r="F4" t="str">
            <v>LTG</v>
          </cell>
          <cell r="G4">
            <v>0</v>
          </cell>
          <cell r="H4">
            <v>1</v>
          </cell>
          <cell r="I4">
            <v>6</v>
          </cell>
          <cell r="J4">
            <v>6</v>
          </cell>
          <cell r="L4">
            <v>1</v>
          </cell>
        </row>
        <row r="5">
          <cell r="A5" t="str">
            <v>NST</v>
          </cell>
          <cell r="B5" t="str">
            <v>BSE</v>
          </cell>
          <cell r="C5" t="str">
            <v>NSTAR</v>
          </cell>
          <cell r="D5">
            <v>20041216</v>
          </cell>
          <cell r="E5" t="str">
            <v>EPS</v>
          </cell>
          <cell r="F5" t="str">
            <v>LTG</v>
          </cell>
          <cell r="G5">
            <v>0</v>
          </cell>
          <cell r="H5">
            <v>3</v>
          </cell>
          <cell r="I5">
            <v>5</v>
          </cell>
          <cell r="J5">
            <v>4.33</v>
          </cell>
          <cell r="K5">
            <v>1.1499999999999999</v>
          </cell>
          <cell r="L5">
            <v>1</v>
          </cell>
        </row>
        <row r="6">
          <cell r="A6" t="str">
            <v>CIN</v>
          </cell>
          <cell r="B6" t="str">
            <v>CIN</v>
          </cell>
          <cell r="C6" t="str">
            <v>CINERGY CORP</v>
          </cell>
          <cell r="D6">
            <v>20041216</v>
          </cell>
          <cell r="E6" t="str">
            <v>EPS</v>
          </cell>
          <cell r="F6" t="str">
            <v>LTG</v>
          </cell>
          <cell r="G6">
            <v>0</v>
          </cell>
          <cell r="H6">
            <v>7</v>
          </cell>
          <cell r="I6">
            <v>4</v>
          </cell>
          <cell r="J6">
            <v>4.29</v>
          </cell>
          <cell r="K6">
            <v>0.76</v>
          </cell>
          <cell r="L6">
            <v>1</v>
          </cell>
        </row>
        <row r="7">
          <cell r="A7" t="str">
            <v>CMS</v>
          </cell>
          <cell r="B7" t="str">
            <v>CMS</v>
          </cell>
          <cell r="C7" t="str">
            <v>CMS ENERGY CORP</v>
          </cell>
          <cell r="D7">
            <v>20041216</v>
          </cell>
          <cell r="E7" t="str">
            <v>EPS</v>
          </cell>
          <cell r="F7" t="str">
            <v>LTG</v>
          </cell>
          <cell r="G7">
            <v>0</v>
          </cell>
          <cell r="H7">
            <v>5</v>
          </cell>
          <cell r="I7">
            <v>3</v>
          </cell>
          <cell r="J7">
            <v>3</v>
          </cell>
          <cell r="K7">
            <v>0.71</v>
          </cell>
          <cell r="L7">
            <v>1</v>
          </cell>
        </row>
        <row r="8">
          <cell r="A8" t="str">
            <v>CNL</v>
          </cell>
          <cell r="B8" t="str">
            <v>CNL</v>
          </cell>
          <cell r="C8" t="str">
            <v>CLECO CORP</v>
          </cell>
          <cell r="D8">
            <v>20041216</v>
          </cell>
          <cell r="E8" t="str">
            <v>EPS</v>
          </cell>
          <cell r="F8" t="str">
            <v>LTG</v>
          </cell>
          <cell r="G8">
            <v>0</v>
          </cell>
          <cell r="H8">
            <v>1</v>
          </cell>
          <cell r="I8">
            <v>4</v>
          </cell>
          <cell r="J8">
            <v>4</v>
          </cell>
          <cell r="L8">
            <v>1</v>
          </cell>
        </row>
        <row r="9">
          <cell r="A9" t="str">
            <v>PGN</v>
          </cell>
          <cell r="B9" t="str">
            <v>CPL</v>
          </cell>
          <cell r="C9" t="str">
            <v>PROGRESS ENERGY</v>
          </cell>
          <cell r="D9">
            <v>20041216</v>
          </cell>
          <cell r="E9" t="str">
            <v>EPS</v>
          </cell>
          <cell r="F9" t="str">
            <v>LTG</v>
          </cell>
          <cell r="G9">
            <v>0</v>
          </cell>
          <cell r="H9">
            <v>9</v>
          </cell>
          <cell r="I9">
            <v>4</v>
          </cell>
          <cell r="J9">
            <v>3.98</v>
          </cell>
          <cell r="K9">
            <v>1.6</v>
          </cell>
          <cell r="L9">
            <v>1</v>
          </cell>
        </row>
        <row r="10">
          <cell r="A10" t="str">
            <v>D</v>
          </cell>
          <cell r="B10" t="str">
            <v>D</v>
          </cell>
          <cell r="C10" t="str">
            <v>DOMINION RES INC</v>
          </cell>
          <cell r="D10">
            <v>20041216</v>
          </cell>
          <cell r="E10" t="str">
            <v>EPS</v>
          </cell>
          <cell r="F10" t="str">
            <v>LTG</v>
          </cell>
          <cell r="G10">
            <v>0</v>
          </cell>
          <cell r="H10">
            <v>8</v>
          </cell>
          <cell r="I10">
            <v>6</v>
          </cell>
          <cell r="J10">
            <v>5.96</v>
          </cell>
          <cell r="K10">
            <v>0.88</v>
          </cell>
          <cell r="L10">
            <v>1</v>
          </cell>
        </row>
        <row r="11">
          <cell r="A11" t="str">
            <v>DPL</v>
          </cell>
          <cell r="B11" t="str">
            <v>DPL</v>
          </cell>
          <cell r="C11" t="str">
            <v>DPL INC</v>
          </cell>
          <cell r="D11">
            <v>20041216</v>
          </cell>
          <cell r="E11" t="str">
            <v>EPS</v>
          </cell>
          <cell r="F11" t="str">
            <v>LTG</v>
          </cell>
          <cell r="G11">
            <v>0</v>
          </cell>
          <cell r="H11">
            <v>5</v>
          </cell>
          <cell r="I11">
            <v>4</v>
          </cell>
          <cell r="J11">
            <v>4</v>
          </cell>
          <cell r="K11">
            <v>1.58</v>
          </cell>
          <cell r="L11">
            <v>1</v>
          </cell>
        </row>
        <row r="12">
          <cell r="A12" t="str">
            <v>DTE</v>
          </cell>
          <cell r="B12" t="str">
            <v>DTE</v>
          </cell>
          <cell r="C12" t="str">
            <v>DTE ENERGY</v>
          </cell>
          <cell r="D12">
            <v>20041216</v>
          </cell>
          <cell r="E12" t="str">
            <v>EPS</v>
          </cell>
          <cell r="F12" t="str">
            <v>LTG</v>
          </cell>
          <cell r="G12">
            <v>0</v>
          </cell>
          <cell r="H12">
            <v>4</v>
          </cell>
          <cell r="I12">
            <v>5</v>
          </cell>
          <cell r="J12">
            <v>4.5</v>
          </cell>
          <cell r="K12">
            <v>1.73</v>
          </cell>
          <cell r="L12">
            <v>1</v>
          </cell>
        </row>
        <row r="13">
          <cell r="A13" t="str">
            <v>DUK</v>
          </cell>
          <cell r="B13" t="str">
            <v>DUK</v>
          </cell>
          <cell r="C13" t="str">
            <v>DUKE ENERGY CORP</v>
          </cell>
          <cell r="D13">
            <v>20041216</v>
          </cell>
          <cell r="E13" t="str">
            <v>EPS</v>
          </cell>
          <cell r="F13" t="str">
            <v>LTG</v>
          </cell>
          <cell r="G13">
            <v>0</v>
          </cell>
          <cell r="H13">
            <v>14</v>
          </cell>
          <cell r="I13">
            <v>4</v>
          </cell>
          <cell r="J13">
            <v>4.08</v>
          </cell>
          <cell r="K13">
            <v>2.14</v>
          </cell>
          <cell r="L13">
            <v>1</v>
          </cell>
        </row>
        <row r="14">
          <cell r="A14" t="str">
            <v>ED</v>
          </cell>
          <cell r="B14" t="str">
            <v>ED</v>
          </cell>
          <cell r="C14" t="str">
            <v>CONSOLIDATED EDI</v>
          </cell>
          <cell r="D14">
            <v>20041216</v>
          </cell>
          <cell r="E14" t="str">
            <v>EPS</v>
          </cell>
          <cell r="F14" t="str">
            <v>LTG</v>
          </cell>
          <cell r="G14">
            <v>0</v>
          </cell>
          <cell r="H14">
            <v>9</v>
          </cell>
          <cell r="I14">
            <v>2</v>
          </cell>
          <cell r="J14">
            <v>2.82</v>
          </cell>
          <cell r="K14">
            <v>1.59</v>
          </cell>
          <cell r="L14">
            <v>1</v>
          </cell>
        </row>
        <row r="15">
          <cell r="A15" t="str">
            <v>EDE</v>
          </cell>
          <cell r="B15" t="str">
            <v>EDE</v>
          </cell>
          <cell r="C15" t="str">
            <v>EMPIRE DIST ELEC</v>
          </cell>
          <cell r="D15">
            <v>20041216</v>
          </cell>
          <cell r="E15" t="str">
            <v>EPS</v>
          </cell>
          <cell r="F15" t="str">
            <v>LTG</v>
          </cell>
          <cell r="G15">
            <v>0</v>
          </cell>
          <cell r="H15">
            <v>2</v>
          </cell>
          <cell r="I15">
            <v>2.5</v>
          </cell>
          <cell r="J15">
            <v>2.5</v>
          </cell>
          <cell r="K15">
            <v>0.71</v>
          </cell>
          <cell r="L15">
            <v>1</v>
          </cell>
        </row>
        <row r="16">
          <cell r="A16" t="str">
            <v>FPL</v>
          </cell>
          <cell r="B16" t="str">
            <v>FPL</v>
          </cell>
          <cell r="C16" t="str">
            <v>FPL GROUP</v>
          </cell>
          <cell r="D16">
            <v>20041216</v>
          </cell>
          <cell r="E16" t="str">
            <v>EPS</v>
          </cell>
          <cell r="F16" t="str">
            <v>LTG</v>
          </cell>
          <cell r="G16">
            <v>0</v>
          </cell>
          <cell r="H16">
            <v>10</v>
          </cell>
          <cell r="I16">
            <v>5</v>
          </cell>
          <cell r="J16">
            <v>4.4000000000000004</v>
          </cell>
          <cell r="K16">
            <v>1.51</v>
          </cell>
          <cell r="L16">
            <v>1</v>
          </cell>
        </row>
        <row r="17">
          <cell r="A17" t="str">
            <v>HE</v>
          </cell>
          <cell r="B17" t="str">
            <v>HE</v>
          </cell>
          <cell r="C17" t="str">
            <v>HAWAIIAN ELEC</v>
          </cell>
          <cell r="D17">
            <v>20041216</v>
          </cell>
          <cell r="E17" t="str">
            <v>EPS</v>
          </cell>
          <cell r="F17" t="str">
            <v>LTG</v>
          </cell>
          <cell r="G17">
            <v>0</v>
          </cell>
          <cell r="H17">
            <v>7</v>
          </cell>
          <cell r="I17">
            <v>2.5</v>
          </cell>
          <cell r="J17">
            <v>2.5</v>
          </cell>
          <cell r="K17">
            <v>1.38</v>
          </cell>
          <cell r="L17">
            <v>1</v>
          </cell>
        </row>
        <row r="18">
          <cell r="A18" t="str">
            <v>CNP</v>
          </cell>
          <cell r="B18" t="str">
            <v>HOU</v>
          </cell>
          <cell r="C18" t="str">
            <v>CENTERPOINT ENER</v>
          </cell>
          <cell r="D18">
            <v>20041216</v>
          </cell>
          <cell r="E18" t="str">
            <v>EPS</v>
          </cell>
          <cell r="F18" t="str">
            <v>LTG</v>
          </cell>
          <cell r="G18">
            <v>0</v>
          </cell>
          <cell r="H18">
            <v>5</v>
          </cell>
          <cell r="I18">
            <v>3.6</v>
          </cell>
          <cell r="J18">
            <v>6.72</v>
          </cell>
          <cell r="K18">
            <v>7.44</v>
          </cell>
          <cell r="L18">
            <v>1</v>
          </cell>
        </row>
        <row r="19">
          <cell r="A19" t="str">
            <v>WR</v>
          </cell>
          <cell r="B19" t="str">
            <v>KAN</v>
          </cell>
          <cell r="C19" t="str">
            <v>WESTAR ENERGY</v>
          </cell>
          <cell r="D19">
            <v>20041216</v>
          </cell>
          <cell r="E19" t="str">
            <v>EPS</v>
          </cell>
          <cell r="F19" t="str">
            <v>LTG</v>
          </cell>
          <cell r="G19">
            <v>0</v>
          </cell>
          <cell r="H19">
            <v>2</v>
          </cell>
          <cell r="I19">
            <v>2.2999999999999998</v>
          </cell>
          <cell r="J19">
            <v>2.2999999999999998</v>
          </cell>
          <cell r="K19">
            <v>0.99</v>
          </cell>
          <cell r="L19">
            <v>1</v>
          </cell>
        </row>
        <row r="20">
          <cell r="A20" t="str">
            <v>GXP</v>
          </cell>
          <cell r="B20" t="str">
            <v>KLT</v>
          </cell>
          <cell r="C20" t="str">
            <v>GREAT PLAINS</v>
          </cell>
          <cell r="D20">
            <v>20041216</v>
          </cell>
          <cell r="E20" t="str">
            <v>EPS</v>
          </cell>
          <cell r="F20" t="str">
            <v>LTG</v>
          </cell>
          <cell r="G20">
            <v>0</v>
          </cell>
          <cell r="H20">
            <v>4</v>
          </cell>
          <cell r="I20">
            <v>3</v>
          </cell>
          <cell r="J20">
            <v>3.25</v>
          </cell>
          <cell r="K20">
            <v>0.5</v>
          </cell>
          <cell r="L20">
            <v>1</v>
          </cell>
        </row>
        <row r="21">
          <cell r="A21" t="str">
            <v>ALE</v>
          </cell>
          <cell r="B21" t="str">
            <v>MPL</v>
          </cell>
          <cell r="C21" t="str">
            <v>ALLETE INC</v>
          </cell>
          <cell r="D21">
            <v>20041216</v>
          </cell>
          <cell r="E21" t="str">
            <v>EPS</v>
          </cell>
          <cell r="F21" t="str">
            <v>LTG</v>
          </cell>
          <cell r="G21">
            <v>0</v>
          </cell>
          <cell r="H21">
            <v>1</v>
          </cell>
          <cell r="I21">
            <v>3</v>
          </cell>
          <cell r="J21">
            <v>3</v>
          </cell>
          <cell r="L21">
            <v>1</v>
          </cell>
        </row>
        <row r="22">
          <cell r="A22" t="str">
            <v>ETR</v>
          </cell>
          <cell r="B22" t="str">
            <v>MSU</v>
          </cell>
          <cell r="C22" t="str">
            <v>ENTERGY CP</v>
          </cell>
          <cell r="D22">
            <v>20041216</v>
          </cell>
          <cell r="E22" t="str">
            <v>EPS</v>
          </cell>
          <cell r="F22" t="str">
            <v>LTG</v>
          </cell>
          <cell r="G22">
            <v>0</v>
          </cell>
          <cell r="H22">
            <v>9</v>
          </cell>
          <cell r="I22">
            <v>5</v>
          </cell>
          <cell r="J22">
            <v>5.41</v>
          </cell>
          <cell r="K22">
            <v>1.55</v>
          </cell>
          <cell r="L22">
            <v>1</v>
          </cell>
        </row>
        <row r="23">
          <cell r="A23" t="str">
            <v>EAS</v>
          </cell>
          <cell r="B23" t="str">
            <v>NGE</v>
          </cell>
          <cell r="C23" t="str">
            <v>ENERGY EAST CORP</v>
          </cell>
          <cell r="D23">
            <v>20041216</v>
          </cell>
          <cell r="E23" t="str">
            <v>EPS</v>
          </cell>
          <cell r="F23" t="str">
            <v>LTG</v>
          </cell>
          <cell r="G23">
            <v>0</v>
          </cell>
          <cell r="H23">
            <v>6</v>
          </cell>
          <cell r="I23">
            <v>4</v>
          </cell>
          <cell r="J23">
            <v>4.5</v>
          </cell>
          <cell r="K23">
            <v>2.4300000000000002</v>
          </cell>
          <cell r="L23">
            <v>1</v>
          </cell>
        </row>
        <row r="24">
          <cell r="A24" t="str">
            <v>XEL</v>
          </cell>
          <cell r="B24" t="str">
            <v>NSP</v>
          </cell>
          <cell r="C24" t="str">
            <v>XCEL ENERGY INC</v>
          </cell>
          <cell r="D24">
            <v>20041216</v>
          </cell>
          <cell r="E24" t="str">
            <v>EPS</v>
          </cell>
          <cell r="F24" t="str">
            <v>LTG</v>
          </cell>
          <cell r="G24">
            <v>0</v>
          </cell>
          <cell r="H24">
            <v>7</v>
          </cell>
          <cell r="I24">
            <v>4</v>
          </cell>
          <cell r="J24">
            <v>4.29</v>
          </cell>
          <cell r="K24">
            <v>1.6</v>
          </cell>
          <cell r="L24">
            <v>1</v>
          </cell>
        </row>
        <row r="25">
          <cell r="A25" t="str">
            <v>NU</v>
          </cell>
          <cell r="B25" t="str">
            <v>NU</v>
          </cell>
          <cell r="C25" t="str">
            <v>NORTHEAST UTILS</v>
          </cell>
          <cell r="D25">
            <v>20041216</v>
          </cell>
          <cell r="E25" t="str">
            <v>EPS</v>
          </cell>
          <cell r="F25" t="str">
            <v>LTG</v>
          </cell>
          <cell r="G25">
            <v>0</v>
          </cell>
          <cell r="H25">
            <v>4</v>
          </cell>
          <cell r="I25">
            <v>4.5</v>
          </cell>
          <cell r="J25">
            <v>4.25</v>
          </cell>
          <cell r="K25">
            <v>0.96</v>
          </cell>
          <cell r="L25">
            <v>1</v>
          </cell>
        </row>
        <row r="26">
          <cell r="A26" t="str">
            <v>FE</v>
          </cell>
          <cell r="B26" t="str">
            <v>OEC</v>
          </cell>
          <cell r="C26" t="str">
            <v>FIRSTENERGY CORP</v>
          </cell>
          <cell r="D26">
            <v>20041216</v>
          </cell>
          <cell r="E26" t="str">
            <v>EPS</v>
          </cell>
          <cell r="F26" t="str">
            <v>LTG</v>
          </cell>
          <cell r="G26">
            <v>0</v>
          </cell>
          <cell r="H26">
            <v>7</v>
          </cell>
          <cell r="I26">
            <v>5</v>
          </cell>
          <cell r="J26">
            <v>4.57</v>
          </cell>
          <cell r="K26">
            <v>0.98</v>
          </cell>
          <cell r="L26">
            <v>1</v>
          </cell>
        </row>
        <row r="27">
          <cell r="A27" t="str">
            <v>OGE</v>
          </cell>
          <cell r="B27" t="str">
            <v>OGE</v>
          </cell>
          <cell r="C27" t="str">
            <v>OGE ENERGY CORP</v>
          </cell>
          <cell r="D27">
            <v>20041216</v>
          </cell>
          <cell r="E27" t="str">
            <v>EPS</v>
          </cell>
          <cell r="F27" t="str">
            <v>LTG</v>
          </cell>
          <cell r="G27">
            <v>0</v>
          </cell>
          <cell r="H27">
            <v>3</v>
          </cell>
          <cell r="I27">
            <v>3</v>
          </cell>
          <cell r="J27">
            <v>3.33</v>
          </cell>
          <cell r="K27">
            <v>0.57999999999999996</v>
          </cell>
          <cell r="L27">
            <v>1</v>
          </cell>
        </row>
        <row r="28">
          <cell r="A28" t="str">
            <v>OTTR</v>
          </cell>
          <cell r="B28" t="str">
            <v>OTTR</v>
          </cell>
          <cell r="C28" t="str">
            <v>OTTER TAIL CORP.</v>
          </cell>
          <cell r="D28">
            <v>20041216</v>
          </cell>
          <cell r="E28" t="str">
            <v>EPS</v>
          </cell>
          <cell r="F28" t="str">
            <v>LTG</v>
          </cell>
          <cell r="G28">
            <v>0</v>
          </cell>
          <cell r="H28">
            <v>3</v>
          </cell>
          <cell r="I28">
            <v>5</v>
          </cell>
          <cell r="J28">
            <v>4.67</v>
          </cell>
          <cell r="K28">
            <v>0.57999999999999996</v>
          </cell>
          <cell r="L28">
            <v>1</v>
          </cell>
        </row>
        <row r="29">
          <cell r="A29" t="str">
            <v>PCG</v>
          </cell>
          <cell r="B29" t="str">
            <v>PCG</v>
          </cell>
          <cell r="C29" t="str">
            <v>P G &amp; E CORP</v>
          </cell>
          <cell r="D29">
            <v>20041216</v>
          </cell>
          <cell r="E29" t="str">
            <v>EPS</v>
          </cell>
          <cell r="F29" t="str">
            <v>LTG</v>
          </cell>
          <cell r="G29">
            <v>0</v>
          </cell>
          <cell r="H29">
            <v>6</v>
          </cell>
          <cell r="I29">
            <v>5.5</v>
          </cell>
          <cell r="J29">
            <v>6.43</v>
          </cell>
          <cell r="K29">
            <v>2.4500000000000002</v>
          </cell>
          <cell r="L29">
            <v>1</v>
          </cell>
        </row>
        <row r="30">
          <cell r="A30" t="str">
            <v>EXC</v>
          </cell>
          <cell r="B30" t="str">
            <v>PE</v>
          </cell>
          <cell r="C30" t="str">
            <v>EXELON CORP</v>
          </cell>
          <cell r="D30">
            <v>20041216</v>
          </cell>
          <cell r="E30" t="str">
            <v>EPS</v>
          </cell>
          <cell r="F30" t="str">
            <v>LTG</v>
          </cell>
          <cell r="G30">
            <v>0</v>
          </cell>
          <cell r="H30">
            <v>8</v>
          </cell>
          <cell r="I30">
            <v>5.5</v>
          </cell>
          <cell r="J30">
            <v>5.53</v>
          </cell>
          <cell r="K30">
            <v>1.36</v>
          </cell>
          <cell r="L30">
            <v>1</v>
          </cell>
        </row>
        <row r="31">
          <cell r="A31" t="str">
            <v>PEG</v>
          </cell>
          <cell r="B31" t="str">
            <v>PEG</v>
          </cell>
          <cell r="C31" t="str">
            <v>PUB SVC ENTERS</v>
          </cell>
          <cell r="D31">
            <v>20041216</v>
          </cell>
          <cell r="E31" t="str">
            <v>EPS</v>
          </cell>
          <cell r="F31" t="str">
            <v>LTG</v>
          </cell>
          <cell r="G31">
            <v>0</v>
          </cell>
          <cell r="H31">
            <v>8</v>
          </cell>
          <cell r="I31">
            <v>3.5</v>
          </cell>
          <cell r="J31">
            <v>3.5</v>
          </cell>
          <cell r="K31">
            <v>0.93</v>
          </cell>
          <cell r="L31">
            <v>1</v>
          </cell>
        </row>
        <row r="32">
          <cell r="A32" t="str">
            <v>PNM</v>
          </cell>
          <cell r="B32" t="str">
            <v>PNM</v>
          </cell>
          <cell r="C32" t="str">
            <v>PNM RESOURCES</v>
          </cell>
          <cell r="D32">
            <v>20041216</v>
          </cell>
          <cell r="E32" t="str">
            <v>EPS</v>
          </cell>
          <cell r="F32" t="str">
            <v>LTG</v>
          </cell>
          <cell r="G32">
            <v>0</v>
          </cell>
          <cell r="H32">
            <v>1</v>
          </cell>
          <cell r="I32">
            <v>5</v>
          </cell>
          <cell r="J32">
            <v>5</v>
          </cell>
          <cell r="L32">
            <v>1</v>
          </cell>
        </row>
        <row r="33">
          <cell r="A33" t="str">
            <v>POM</v>
          </cell>
          <cell r="B33" t="str">
            <v>POM</v>
          </cell>
          <cell r="C33" t="str">
            <v>PEPCO HOLDINGS</v>
          </cell>
          <cell r="D33">
            <v>20041216</v>
          </cell>
          <cell r="E33" t="str">
            <v>EPS</v>
          </cell>
          <cell r="F33" t="str">
            <v>LTG</v>
          </cell>
          <cell r="G33">
            <v>0</v>
          </cell>
          <cell r="H33">
            <v>6</v>
          </cell>
          <cell r="I33">
            <v>3.5</v>
          </cell>
          <cell r="J33">
            <v>4.32</v>
          </cell>
          <cell r="K33">
            <v>2.4700000000000002</v>
          </cell>
          <cell r="L33">
            <v>1</v>
          </cell>
        </row>
        <row r="34">
          <cell r="A34" t="str">
            <v>PPL</v>
          </cell>
          <cell r="B34" t="str">
            <v>PPL</v>
          </cell>
          <cell r="C34" t="str">
            <v>PP&amp;L CORP</v>
          </cell>
          <cell r="D34">
            <v>20041216</v>
          </cell>
          <cell r="E34" t="str">
            <v>EPS</v>
          </cell>
          <cell r="F34" t="str">
            <v>LTG</v>
          </cell>
          <cell r="G34">
            <v>0</v>
          </cell>
          <cell r="H34">
            <v>11</v>
          </cell>
          <cell r="I34">
            <v>5</v>
          </cell>
          <cell r="J34">
            <v>5.28</v>
          </cell>
          <cell r="K34">
            <v>0.64</v>
          </cell>
          <cell r="L34">
            <v>1</v>
          </cell>
        </row>
        <row r="35">
          <cell r="A35" t="str">
            <v>PSD</v>
          </cell>
          <cell r="B35" t="str">
            <v>PSD</v>
          </cell>
          <cell r="C35" t="str">
            <v>PUGET ENERGY INC</v>
          </cell>
          <cell r="D35">
            <v>20041216</v>
          </cell>
          <cell r="E35" t="str">
            <v>EPS</v>
          </cell>
          <cell r="F35" t="str">
            <v>LTG</v>
          </cell>
          <cell r="G35">
            <v>0</v>
          </cell>
          <cell r="H35">
            <v>4</v>
          </cell>
          <cell r="I35">
            <v>6.5</v>
          </cell>
          <cell r="J35">
            <v>6.5</v>
          </cell>
          <cell r="K35">
            <v>1.29</v>
          </cell>
          <cell r="L35">
            <v>1</v>
          </cell>
        </row>
        <row r="36">
          <cell r="A36" t="str">
            <v>EIX</v>
          </cell>
          <cell r="B36" t="str">
            <v>SCE</v>
          </cell>
          <cell r="C36" t="str">
            <v>EDISON INTL</v>
          </cell>
          <cell r="D36">
            <v>20041216</v>
          </cell>
          <cell r="E36" t="str">
            <v>EPS</v>
          </cell>
          <cell r="F36" t="str">
            <v>LTG</v>
          </cell>
          <cell r="G36">
            <v>0</v>
          </cell>
          <cell r="H36">
            <v>4</v>
          </cell>
          <cell r="I36">
            <v>5</v>
          </cell>
          <cell r="J36">
            <v>4.92</v>
          </cell>
          <cell r="K36">
            <v>1.76</v>
          </cell>
          <cell r="L36">
            <v>1</v>
          </cell>
        </row>
        <row r="37">
          <cell r="A37" t="str">
            <v>SCG</v>
          </cell>
          <cell r="B37" t="str">
            <v>SCG</v>
          </cell>
          <cell r="C37" t="str">
            <v>SCANA CP</v>
          </cell>
          <cell r="D37">
            <v>20041216</v>
          </cell>
          <cell r="E37" t="str">
            <v>EPS</v>
          </cell>
          <cell r="F37" t="str">
            <v>LTG</v>
          </cell>
          <cell r="G37">
            <v>0</v>
          </cell>
          <cell r="H37">
            <v>5</v>
          </cell>
          <cell r="I37">
            <v>4</v>
          </cell>
          <cell r="J37">
            <v>4.4000000000000004</v>
          </cell>
          <cell r="K37">
            <v>0.55000000000000004</v>
          </cell>
          <cell r="L37">
            <v>1</v>
          </cell>
        </row>
        <row r="38">
          <cell r="A38" t="str">
            <v>SRE</v>
          </cell>
          <cell r="B38" t="str">
            <v>SDO</v>
          </cell>
          <cell r="C38" t="str">
            <v>SEMPRA ENERGY</v>
          </cell>
          <cell r="D38">
            <v>20041216</v>
          </cell>
          <cell r="E38" t="str">
            <v>EPS</v>
          </cell>
          <cell r="F38" t="str">
            <v>LTG</v>
          </cell>
          <cell r="G38">
            <v>0</v>
          </cell>
          <cell r="H38">
            <v>6</v>
          </cell>
          <cell r="I38">
            <v>6.85</v>
          </cell>
          <cell r="J38">
            <v>6.53</v>
          </cell>
          <cell r="K38">
            <v>1.68</v>
          </cell>
          <cell r="L38">
            <v>1</v>
          </cell>
        </row>
        <row r="39">
          <cell r="A39" t="str">
            <v>VVC</v>
          </cell>
          <cell r="B39" t="str">
            <v>SIG</v>
          </cell>
          <cell r="C39" t="str">
            <v>VECTREN CORP</v>
          </cell>
          <cell r="D39">
            <v>20041216</v>
          </cell>
          <cell r="E39" t="str">
            <v>EPS</v>
          </cell>
          <cell r="F39" t="str">
            <v>LTG</v>
          </cell>
          <cell r="G39">
            <v>0</v>
          </cell>
          <cell r="H39">
            <v>3</v>
          </cell>
          <cell r="I39">
            <v>7</v>
          </cell>
          <cell r="J39">
            <v>6.67</v>
          </cell>
          <cell r="K39">
            <v>1.53</v>
          </cell>
          <cell r="L39">
            <v>1</v>
          </cell>
        </row>
        <row r="40">
          <cell r="A40" t="str">
            <v>SO</v>
          </cell>
          <cell r="B40" t="str">
            <v>SO</v>
          </cell>
          <cell r="C40" t="str">
            <v>SOUTHN CO</v>
          </cell>
          <cell r="D40">
            <v>20041216</v>
          </cell>
          <cell r="E40" t="str">
            <v>EPS</v>
          </cell>
          <cell r="F40" t="str">
            <v>LTG</v>
          </cell>
          <cell r="G40">
            <v>0</v>
          </cell>
          <cell r="H40">
            <v>11</v>
          </cell>
          <cell r="I40">
            <v>5</v>
          </cell>
          <cell r="J40">
            <v>4.66</v>
          </cell>
          <cell r="K40">
            <v>0.83</v>
          </cell>
          <cell r="L40">
            <v>1</v>
          </cell>
        </row>
        <row r="41">
          <cell r="A41" t="str">
            <v>TE</v>
          </cell>
          <cell r="B41" t="str">
            <v>TE</v>
          </cell>
          <cell r="C41" t="str">
            <v>TECO ENERGY INC</v>
          </cell>
          <cell r="D41">
            <v>20041216</v>
          </cell>
          <cell r="E41" t="str">
            <v>EPS</v>
          </cell>
          <cell r="F41" t="str">
            <v>LTG</v>
          </cell>
          <cell r="G41">
            <v>0</v>
          </cell>
          <cell r="H41">
            <v>5</v>
          </cell>
          <cell r="I41">
            <v>4</v>
          </cell>
          <cell r="J41">
            <v>4</v>
          </cell>
          <cell r="K41">
            <v>1</v>
          </cell>
          <cell r="L41">
            <v>1</v>
          </cell>
        </row>
        <row r="42">
          <cell r="A42" t="str">
            <v>AEE</v>
          </cell>
          <cell r="B42" t="str">
            <v>UEP</v>
          </cell>
          <cell r="C42" t="str">
            <v>AMEREN CP</v>
          </cell>
          <cell r="D42">
            <v>20041216</v>
          </cell>
          <cell r="E42" t="str">
            <v>EPS</v>
          </cell>
          <cell r="F42" t="str">
            <v>LTG</v>
          </cell>
          <cell r="G42">
            <v>0</v>
          </cell>
          <cell r="H42">
            <v>6</v>
          </cell>
          <cell r="I42">
            <v>3</v>
          </cell>
          <cell r="J42">
            <v>3.5</v>
          </cell>
          <cell r="K42">
            <v>1.38</v>
          </cell>
          <cell r="L42">
            <v>1</v>
          </cell>
        </row>
        <row r="43">
          <cell r="A43" t="str">
            <v>UIL</v>
          </cell>
          <cell r="B43" t="str">
            <v>UIL</v>
          </cell>
          <cell r="C43" t="str">
            <v>UIL HOLDING CORP</v>
          </cell>
          <cell r="D43">
            <v>20041216</v>
          </cell>
          <cell r="E43" t="str">
            <v>EPS</v>
          </cell>
          <cell r="F43" t="str">
            <v>LTG</v>
          </cell>
          <cell r="G43">
            <v>0</v>
          </cell>
          <cell r="H43">
            <v>1</v>
          </cell>
          <cell r="I43">
            <v>1</v>
          </cell>
          <cell r="J43">
            <v>1</v>
          </cell>
          <cell r="L43">
            <v>1</v>
          </cell>
        </row>
        <row r="44">
          <cell r="A44" t="str">
            <v>WEC</v>
          </cell>
          <cell r="B44" t="str">
            <v>WPC</v>
          </cell>
          <cell r="C44" t="str">
            <v>WISCONSIN ENERGY</v>
          </cell>
          <cell r="D44">
            <v>20041216</v>
          </cell>
          <cell r="E44" t="str">
            <v>EPS</v>
          </cell>
          <cell r="F44" t="str">
            <v>LTG</v>
          </cell>
          <cell r="G44">
            <v>0</v>
          </cell>
          <cell r="H44">
            <v>5</v>
          </cell>
          <cell r="I44">
            <v>7</v>
          </cell>
          <cell r="J44">
            <v>5.96</v>
          </cell>
          <cell r="K44">
            <v>2.63</v>
          </cell>
          <cell r="L44">
            <v>1</v>
          </cell>
        </row>
        <row r="45">
          <cell r="A45" t="str">
            <v>LNT</v>
          </cell>
          <cell r="B45" t="str">
            <v>WPL</v>
          </cell>
          <cell r="C45" t="str">
            <v>ALLIANT ENER</v>
          </cell>
          <cell r="D45">
            <v>20041216</v>
          </cell>
          <cell r="E45" t="str">
            <v>EPS</v>
          </cell>
          <cell r="F45" t="str">
            <v>LTG</v>
          </cell>
          <cell r="G45">
            <v>0</v>
          </cell>
          <cell r="H45">
            <v>4</v>
          </cell>
          <cell r="I45">
            <v>5</v>
          </cell>
          <cell r="J45">
            <v>5.95</v>
          </cell>
          <cell r="K45">
            <v>4.1500000000000004</v>
          </cell>
          <cell r="L45">
            <v>1</v>
          </cell>
        </row>
        <row r="46">
          <cell r="A46" t="str">
            <v>WPS</v>
          </cell>
          <cell r="B46" t="str">
            <v>WPS</v>
          </cell>
          <cell r="C46" t="str">
            <v>WPS RESOURCES CP</v>
          </cell>
          <cell r="D46">
            <v>20041216</v>
          </cell>
          <cell r="E46" t="str">
            <v>EPS</v>
          </cell>
          <cell r="F46" t="str">
            <v>LTG</v>
          </cell>
          <cell r="G46">
            <v>0</v>
          </cell>
          <cell r="H46">
            <v>3</v>
          </cell>
          <cell r="I46">
            <v>4</v>
          </cell>
          <cell r="J46">
            <v>4.33</v>
          </cell>
          <cell r="K46">
            <v>0.57999999999999996</v>
          </cell>
          <cell r="L46">
            <v>1</v>
          </cell>
        </row>
        <row r="47">
          <cell r="A47" t="str">
            <v>AVA</v>
          </cell>
          <cell r="B47" t="str">
            <v>WWP</v>
          </cell>
          <cell r="C47" t="str">
            <v>AVISTA CORP</v>
          </cell>
          <cell r="D47">
            <v>20041216</v>
          </cell>
          <cell r="E47" t="str">
            <v>EPS</v>
          </cell>
          <cell r="F47" t="str">
            <v>LTG</v>
          </cell>
          <cell r="G47">
            <v>0</v>
          </cell>
          <cell r="H47">
            <v>3</v>
          </cell>
          <cell r="I47">
            <v>4</v>
          </cell>
          <cell r="J47">
            <v>4.33</v>
          </cell>
          <cell r="K47">
            <v>0.57999999999999996</v>
          </cell>
          <cell r="L47">
            <v>1</v>
          </cell>
        </row>
        <row r="48">
          <cell r="A48" t="str">
            <v>PPL</v>
          </cell>
          <cell r="B48" t="str">
            <v>@1XJ</v>
          </cell>
          <cell r="C48" t="str">
            <v>PUMPKIN PATCH LT</v>
          </cell>
          <cell r="D48">
            <v>20041216</v>
          </cell>
          <cell r="E48" t="str">
            <v>EPS</v>
          </cell>
          <cell r="F48" t="str">
            <v>LTG</v>
          </cell>
          <cell r="G48">
            <v>0</v>
          </cell>
          <cell r="H48">
            <v>2</v>
          </cell>
          <cell r="I48">
            <v>16.600000000000001</v>
          </cell>
          <cell r="J48">
            <v>16.600000000000001</v>
          </cell>
          <cell r="K48">
            <v>4.8099999999999996</v>
          </cell>
          <cell r="L48">
            <v>0</v>
          </cell>
        </row>
        <row r="49">
          <cell r="A49" t="str">
            <v>CNP</v>
          </cell>
          <cell r="B49" t="str">
            <v>@8PG</v>
          </cell>
          <cell r="C49" t="str">
            <v>CENTRO PROPERTIE</v>
          </cell>
          <cell r="D49">
            <v>20041216</v>
          </cell>
          <cell r="E49" t="str">
            <v>EPS</v>
          </cell>
          <cell r="F49" t="str">
            <v>LTG</v>
          </cell>
          <cell r="G49">
            <v>0</v>
          </cell>
          <cell r="H49">
            <v>3</v>
          </cell>
          <cell r="I49">
            <v>4.5999999999999996</v>
          </cell>
          <cell r="J49">
            <v>5.2</v>
          </cell>
          <cell r="K49">
            <v>1.31</v>
          </cell>
          <cell r="L49">
            <v>0</v>
          </cell>
        </row>
        <row r="50">
          <cell r="A50" t="str">
            <v>CNP</v>
          </cell>
          <cell r="B50" t="str">
            <v>@CN0</v>
          </cell>
          <cell r="C50" t="str">
            <v>CNP ASSURANCES</v>
          </cell>
          <cell r="D50">
            <v>20041216</v>
          </cell>
          <cell r="E50" t="str">
            <v>EPS</v>
          </cell>
          <cell r="F50" t="str">
            <v>LTG</v>
          </cell>
          <cell r="G50">
            <v>0</v>
          </cell>
          <cell r="H50">
            <v>2</v>
          </cell>
          <cell r="I50">
            <v>3</v>
          </cell>
          <cell r="J50">
            <v>3</v>
          </cell>
          <cell r="K50">
            <v>0</v>
          </cell>
          <cell r="L50">
            <v>0</v>
          </cell>
        </row>
        <row r="51">
          <cell r="A51" t="str">
            <v>DTE</v>
          </cell>
          <cell r="B51" t="str">
            <v>@DT</v>
          </cell>
          <cell r="C51" t="str">
            <v>DEUTSCHE TELEKOM</v>
          </cell>
          <cell r="D51">
            <v>20041216</v>
          </cell>
          <cell r="E51" t="str">
            <v>EPS</v>
          </cell>
          <cell r="F51" t="str">
            <v>LTG</v>
          </cell>
          <cell r="G51">
            <v>0</v>
          </cell>
          <cell r="H51">
            <v>5</v>
          </cell>
          <cell r="I51">
            <v>13</v>
          </cell>
          <cell r="J51">
            <v>18.91</v>
          </cell>
          <cell r="K51">
            <v>21.01</v>
          </cell>
          <cell r="L51">
            <v>0</v>
          </cell>
        </row>
        <row r="52">
          <cell r="A52" t="str">
            <v>PGN</v>
          </cell>
          <cell r="B52" t="str">
            <v>@L35</v>
          </cell>
          <cell r="C52" t="str">
            <v>PERUSAHAAN GAS N</v>
          </cell>
          <cell r="D52">
            <v>20041216</v>
          </cell>
          <cell r="E52" t="str">
            <v>EPS</v>
          </cell>
          <cell r="F52" t="str">
            <v>LTG</v>
          </cell>
          <cell r="G52">
            <v>0</v>
          </cell>
          <cell r="H52">
            <v>1</v>
          </cell>
          <cell r="I52">
            <v>63.3</v>
          </cell>
          <cell r="J52">
            <v>63.3</v>
          </cell>
          <cell r="L52">
            <v>0</v>
          </cell>
        </row>
        <row r="53">
          <cell r="A53" t="str">
            <v>ETR</v>
          </cell>
          <cell r="B53" t="str">
            <v>@NPD</v>
          </cell>
          <cell r="C53" t="str">
            <v>E*TRADE AUSTRALI</v>
          </cell>
          <cell r="D53">
            <v>20041216</v>
          </cell>
          <cell r="E53" t="str">
            <v>EPS</v>
          </cell>
          <cell r="F53" t="str">
            <v>LTG</v>
          </cell>
          <cell r="G53">
            <v>0</v>
          </cell>
          <cell r="H53">
            <v>1</v>
          </cell>
          <cell r="I53">
            <v>5.4</v>
          </cell>
          <cell r="J53">
            <v>5.4</v>
          </cell>
          <cell r="L53">
            <v>0</v>
          </cell>
        </row>
        <row r="54">
          <cell r="A54" t="str">
            <v>NST</v>
          </cell>
          <cell r="B54" t="str">
            <v>@NST</v>
          </cell>
          <cell r="C54" t="str">
            <v>NEW STRAITS TIME</v>
          </cell>
          <cell r="D54">
            <v>20041216</v>
          </cell>
          <cell r="E54" t="str">
            <v>EPS</v>
          </cell>
          <cell r="F54" t="str">
            <v>LTG</v>
          </cell>
          <cell r="G54">
            <v>0</v>
          </cell>
          <cell r="H54">
            <v>1</v>
          </cell>
          <cell r="I54">
            <v>5</v>
          </cell>
          <cell r="J54">
            <v>5</v>
          </cell>
          <cell r="L54">
            <v>0</v>
          </cell>
        </row>
        <row r="55">
          <cell r="A55" t="str">
            <v>PGN</v>
          </cell>
          <cell r="B55" t="str">
            <v>@PGW</v>
          </cell>
          <cell r="C55" t="str">
            <v>PHARMAGENE PLC</v>
          </cell>
          <cell r="D55">
            <v>20041216</v>
          </cell>
          <cell r="E55" t="str">
            <v>EPS</v>
          </cell>
          <cell r="F55" t="str">
            <v>LTG</v>
          </cell>
          <cell r="G55">
            <v>0</v>
          </cell>
          <cell r="H55">
            <v>1</v>
          </cell>
          <cell r="I55">
            <v>22.51</v>
          </cell>
          <cell r="J55">
            <v>22.51</v>
          </cell>
          <cell r="L55">
            <v>0</v>
          </cell>
        </row>
        <row r="56">
          <cell r="A56" t="str">
            <v>POM</v>
          </cell>
          <cell r="B56" t="str">
            <v>@PO8</v>
          </cell>
          <cell r="C56" t="str">
            <v>PLASTIC OMNIUM</v>
          </cell>
          <cell r="D56">
            <v>20041216</v>
          </cell>
          <cell r="E56" t="str">
            <v>EPS</v>
          </cell>
          <cell r="F56" t="str">
            <v>LTG</v>
          </cell>
          <cell r="G56">
            <v>0</v>
          </cell>
          <cell r="H56">
            <v>2</v>
          </cell>
          <cell r="I56">
            <v>15.4</v>
          </cell>
          <cell r="J56">
            <v>15.4</v>
          </cell>
          <cell r="K56">
            <v>17.54</v>
          </cell>
          <cell r="L56">
            <v>0</v>
          </cell>
        </row>
      </sheetData>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wxlfk1a50ogq37v"/>
    </sheetNames>
    <sheetDataSet>
      <sheetData sheetId="0">
        <row r="1">
          <cell r="B1" t="str">
            <v>Official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Forecast Period End Date (SAS Format)</v>
          </cell>
          <cell r="M1" t="str">
            <v>Actual Value, from the Detail Actuals File</v>
          </cell>
          <cell r="N1" t="str">
            <v>Announce date of the Actual, from the Detail Actuals File</v>
          </cell>
        </row>
        <row r="2">
          <cell r="B2" t="str">
            <v>ATG</v>
          </cell>
          <cell r="C2" t="str">
            <v>AGL RESOURCES</v>
          </cell>
          <cell r="D2">
            <v>38337</v>
          </cell>
          <cell r="E2" t="str">
            <v>EPS</v>
          </cell>
          <cell r="F2" t="str">
            <v>ANN</v>
          </cell>
          <cell r="G2" t="str">
            <v>1</v>
          </cell>
          <cell r="H2">
            <v>12</v>
          </cell>
          <cell r="I2">
            <v>2.15</v>
          </cell>
          <cell r="J2">
            <v>2.12</v>
          </cell>
          <cell r="K2">
            <v>0.04</v>
          </cell>
          <cell r="L2">
            <v>38352</v>
          </cell>
          <cell r="M2">
            <v>2.2799999999999998</v>
          </cell>
          <cell r="N2">
            <v>38380</v>
          </cell>
        </row>
        <row r="3">
          <cell r="B3" t="str">
            <v>CGC</v>
          </cell>
          <cell r="C3" t="str">
            <v>CASCADE NAT GAS</v>
          </cell>
          <cell r="D3">
            <v>38337</v>
          </cell>
          <cell r="E3" t="str">
            <v>EPS</v>
          </cell>
          <cell r="F3" t="str">
            <v>ANN</v>
          </cell>
          <cell r="G3" t="str">
            <v>1</v>
          </cell>
          <cell r="H3">
            <v>2</v>
          </cell>
          <cell r="I3">
            <v>1.2</v>
          </cell>
          <cell r="J3">
            <v>1.2</v>
          </cell>
          <cell r="K3">
            <v>7.0000000000000007E-2</v>
          </cell>
          <cell r="L3">
            <v>38625</v>
          </cell>
          <cell r="M3">
            <v>0.86</v>
          </cell>
          <cell r="N3">
            <v>38671</v>
          </cell>
        </row>
        <row r="4">
          <cell r="B4" t="str">
            <v>CPK</v>
          </cell>
          <cell r="C4" t="str">
            <v>CHESAPEAKE UTIL</v>
          </cell>
          <cell r="D4">
            <v>38337</v>
          </cell>
          <cell r="E4" t="str">
            <v>EPS</v>
          </cell>
          <cell r="F4" t="str">
            <v>ANN</v>
          </cell>
          <cell r="G4" t="str">
            <v>1</v>
          </cell>
          <cell r="H4">
            <v>1</v>
          </cell>
          <cell r="I4">
            <v>1.07</v>
          </cell>
          <cell r="J4">
            <v>1.07</v>
          </cell>
          <cell r="L4">
            <v>38352</v>
          </cell>
          <cell r="M4">
            <v>1.08</v>
          </cell>
          <cell r="N4">
            <v>38412</v>
          </cell>
        </row>
        <row r="5">
          <cell r="B5" t="str">
            <v>ATO</v>
          </cell>
          <cell r="C5" t="str">
            <v>ATMOS ENERGY CP</v>
          </cell>
          <cell r="D5">
            <v>38337</v>
          </cell>
          <cell r="E5" t="str">
            <v>EPS</v>
          </cell>
          <cell r="F5" t="str">
            <v>ANN</v>
          </cell>
          <cell r="G5" t="str">
            <v>1</v>
          </cell>
          <cell r="H5">
            <v>6</v>
          </cell>
          <cell r="I5">
            <v>1.7</v>
          </cell>
          <cell r="J5">
            <v>1.69</v>
          </cell>
          <cell r="K5">
            <v>0.03</v>
          </cell>
          <cell r="L5">
            <v>38625</v>
          </cell>
          <cell r="M5">
            <v>1.72</v>
          </cell>
          <cell r="N5">
            <v>38664</v>
          </cell>
        </row>
        <row r="6">
          <cell r="B6" t="str">
            <v>GAS</v>
          </cell>
          <cell r="C6" t="str">
            <v>NICOR INC</v>
          </cell>
          <cell r="D6">
            <v>38337</v>
          </cell>
          <cell r="E6" t="str">
            <v>EPS</v>
          </cell>
          <cell r="F6" t="str">
            <v>ANN</v>
          </cell>
          <cell r="G6" t="str">
            <v>1</v>
          </cell>
          <cell r="H6">
            <v>5</v>
          </cell>
          <cell r="I6">
            <v>2</v>
          </cell>
          <cell r="J6">
            <v>2.0099999999999998</v>
          </cell>
          <cell r="K6">
            <v>0.11</v>
          </cell>
          <cell r="L6">
            <v>38352</v>
          </cell>
          <cell r="M6">
            <v>2.15</v>
          </cell>
          <cell r="N6">
            <v>38411</v>
          </cell>
        </row>
        <row r="7">
          <cell r="B7" t="str">
            <v>LG</v>
          </cell>
          <cell r="C7" t="str">
            <v>LACLEDE GROUP</v>
          </cell>
          <cell r="D7">
            <v>38337</v>
          </cell>
          <cell r="E7" t="str">
            <v>EPS</v>
          </cell>
          <cell r="F7" t="str">
            <v>ANN</v>
          </cell>
          <cell r="G7" t="str">
            <v>1</v>
          </cell>
          <cell r="H7">
            <v>2</v>
          </cell>
          <cell r="I7">
            <v>1.93</v>
          </cell>
          <cell r="J7">
            <v>1.93</v>
          </cell>
          <cell r="K7">
            <v>0.04</v>
          </cell>
          <cell r="L7">
            <v>38625</v>
          </cell>
          <cell r="M7">
            <v>1.9</v>
          </cell>
          <cell r="N7">
            <v>38652</v>
          </cell>
        </row>
        <row r="8">
          <cell r="B8" t="str">
            <v>KSE</v>
          </cell>
          <cell r="C8" t="str">
            <v>KEYSPAN CP</v>
          </cell>
          <cell r="D8">
            <v>38337</v>
          </cell>
          <cell r="E8" t="str">
            <v>EPS</v>
          </cell>
          <cell r="F8" t="str">
            <v>ANN</v>
          </cell>
          <cell r="G8" t="str">
            <v>1</v>
          </cell>
          <cell r="H8">
            <v>9</v>
          </cell>
          <cell r="I8">
            <v>2.6</v>
          </cell>
          <cell r="J8">
            <v>2.63</v>
          </cell>
          <cell r="K8">
            <v>0.05</v>
          </cell>
          <cell r="L8">
            <v>38352</v>
          </cell>
          <cell r="M8">
            <v>2.69</v>
          </cell>
          <cell r="N8">
            <v>38407</v>
          </cell>
        </row>
        <row r="9">
          <cell r="B9" t="str">
            <v>NI</v>
          </cell>
          <cell r="C9" t="str">
            <v>NISOURCE INC</v>
          </cell>
          <cell r="D9">
            <v>38337</v>
          </cell>
          <cell r="E9" t="str">
            <v>EPS</v>
          </cell>
          <cell r="F9" t="str">
            <v>ANN</v>
          </cell>
          <cell r="G9" t="str">
            <v>1</v>
          </cell>
          <cell r="H9">
            <v>11</v>
          </cell>
          <cell r="I9">
            <v>1.6</v>
          </cell>
          <cell r="J9">
            <v>1.6</v>
          </cell>
          <cell r="K9">
            <v>0.01</v>
          </cell>
          <cell r="L9">
            <v>38352</v>
          </cell>
          <cell r="M9">
            <v>1.61</v>
          </cell>
          <cell r="N9">
            <v>38383</v>
          </cell>
        </row>
        <row r="10">
          <cell r="B10" t="str">
            <v>NJR</v>
          </cell>
          <cell r="C10" t="str">
            <v>NEW JERSEY RES</v>
          </cell>
          <cell r="D10">
            <v>38337</v>
          </cell>
          <cell r="E10" t="str">
            <v>EPS</v>
          </cell>
          <cell r="F10" t="str">
            <v>ANN</v>
          </cell>
          <cell r="G10" t="str">
            <v>1</v>
          </cell>
          <cell r="H10">
            <v>6</v>
          </cell>
          <cell r="I10">
            <v>0.89</v>
          </cell>
          <cell r="J10">
            <v>0.89</v>
          </cell>
          <cell r="K10">
            <v>0.01</v>
          </cell>
          <cell r="L10">
            <v>38625</v>
          </cell>
          <cell r="M10">
            <v>0.88329999999999997</v>
          </cell>
          <cell r="N10">
            <v>38652</v>
          </cell>
        </row>
        <row r="11">
          <cell r="B11" t="str">
            <v>NWN</v>
          </cell>
          <cell r="C11" t="str">
            <v>NW NATURAL GAS</v>
          </cell>
          <cell r="D11">
            <v>38337</v>
          </cell>
          <cell r="E11" t="str">
            <v>EPS</v>
          </cell>
          <cell r="F11" t="str">
            <v>ANN</v>
          </cell>
          <cell r="G11" t="str">
            <v>1</v>
          </cell>
          <cell r="H11">
            <v>3</v>
          </cell>
          <cell r="I11">
            <v>1.85</v>
          </cell>
          <cell r="J11">
            <v>1.87</v>
          </cell>
          <cell r="K11">
            <v>0.08</v>
          </cell>
          <cell r="L11">
            <v>38352</v>
          </cell>
          <cell r="M11">
            <v>1.88</v>
          </cell>
          <cell r="N11">
            <v>38392</v>
          </cell>
        </row>
        <row r="12">
          <cell r="B12" t="str">
            <v>PNY</v>
          </cell>
          <cell r="C12" t="str">
            <v>PIEDMONT NAT GAS</v>
          </cell>
          <cell r="D12">
            <v>38337</v>
          </cell>
          <cell r="E12" t="str">
            <v>EPS</v>
          </cell>
          <cell r="F12" t="str">
            <v>ANN</v>
          </cell>
          <cell r="G12" t="str">
            <v>1</v>
          </cell>
          <cell r="H12">
            <v>7</v>
          </cell>
          <cell r="I12">
            <v>1.28</v>
          </cell>
          <cell r="J12">
            <v>1.27</v>
          </cell>
          <cell r="K12">
            <v>0.03</v>
          </cell>
          <cell r="L12">
            <v>38656</v>
          </cell>
          <cell r="M12">
            <v>1.32</v>
          </cell>
          <cell r="N12">
            <v>38702</v>
          </cell>
        </row>
        <row r="13">
          <cell r="B13" t="str">
            <v>SJI</v>
          </cell>
          <cell r="C13" t="str">
            <v>SO JERSEY INDS</v>
          </cell>
          <cell r="D13">
            <v>38337</v>
          </cell>
          <cell r="E13" t="str">
            <v>EPS</v>
          </cell>
          <cell r="F13" t="str">
            <v>ANN</v>
          </cell>
          <cell r="G13" t="str">
            <v>1</v>
          </cell>
          <cell r="H13">
            <v>1</v>
          </cell>
          <cell r="I13">
            <v>0.74</v>
          </cell>
          <cell r="J13">
            <v>0.74</v>
          </cell>
          <cell r="L13">
            <v>38352</v>
          </cell>
          <cell r="M13">
            <v>0.755</v>
          </cell>
          <cell r="N13">
            <v>38391</v>
          </cell>
        </row>
        <row r="14">
          <cell r="B14" t="str">
            <v>SWX</v>
          </cell>
          <cell r="C14" t="str">
            <v>SOUTHWEST GAS</v>
          </cell>
          <cell r="D14">
            <v>38337</v>
          </cell>
          <cell r="E14" t="str">
            <v>EPS</v>
          </cell>
          <cell r="F14" t="str">
            <v>ANN</v>
          </cell>
          <cell r="G14" t="str">
            <v>1</v>
          </cell>
          <cell r="H14">
            <v>4</v>
          </cell>
          <cell r="I14">
            <v>1.5</v>
          </cell>
          <cell r="J14">
            <v>1.51</v>
          </cell>
          <cell r="K14">
            <v>0.1</v>
          </cell>
          <cell r="L14">
            <v>38352</v>
          </cell>
          <cell r="M14">
            <v>1.59</v>
          </cell>
          <cell r="N14">
            <v>38425</v>
          </cell>
        </row>
        <row r="15">
          <cell r="B15" t="str">
            <v>WGL</v>
          </cell>
          <cell r="C15" t="str">
            <v>WGL HOLDING INC</v>
          </cell>
          <cell r="D15">
            <v>38337</v>
          </cell>
          <cell r="E15" t="str">
            <v>EPS</v>
          </cell>
          <cell r="F15" t="str">
            <v>ANN</v>
          </cell>
          <cell r="G15" t="str">
            <v>1</v>
          </cell>
          <cell r="H15">
            <v>8</v>
          </cell>
          <cell r="I15">
            <v>1.82</v>
          </cell>
          <cell r="J15">
            <v>1.83</v>
          </cell>
          <cell r="K15">
            <v>0.02</v>
          </cell>
          <cell r="L15">
            <v>38625</v>
          </cell>
          <cell r="M15">
            <v>1.99</v>
          </cell>
          <cell r="N15">
            <v>38686</v>
          </cell>
        </row>
      </sheetData>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eke2qcujcpj3rdu"/>
    </sheetNames>
    <sheetDataSet>
      <sheetData sheetId="0">
        <row r="1">
          <cell r="B1" t="str">
            <v>Official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Forecast Period End Date (SAS Format)</v>
          </cell>
          <cell r="M1" t="str">
            <v>Actual Value, from the Detail Actuals File</v>
          </cell>
          <cell r="N1" t="str">
            <v>Announce date of the Actual, from the Detail Actuals File</v>
          </cell>
        </row>
        <row r="2">
          <cell r="B2" t="str">
            <v>ATG</v>
          </cell>
          <cell r="C2" t="str">
            <v>AGL RESOURCES</v>
          </cell>
          <cell r="D2">
            <v>38337</v>
          </cell>
          <cell r="E2" t="str">
            <v>EPS</v>
          </cell>
          <cell r="F2" t="str">
            <v>LTG</v>
          </cell>
          <cell r="G2" t="str">
            <v>0</v>
          </cell>
          <cell r="H2">
            <v>5</v>
          </cell>
          <cell r="I2">
            <v>5</v>
          </cell>
          <cell r="J2">
            <v>5</v>
          </cell>
          <cell r="K2">
            <v>1.58</v>
          </cell>
        </row>
        <row r="3">
          <cell r="B3" t="str">
            <v>CGC</v>
          </cell>
          <cell r="C3" t="str">
            <v>CASCADE NAT GAS</v>
          </cell>
          <cell r="D3">
            <v>38337</v>
          </cell>
          <cell r="E3" t="str">
            <v>EPS</v>
          </cell>
          <cell r="F3" t="str">
            <v>LTG</v>
          </cell>
          <cell r="G3" t="str">
            <v>0</v>
          </cell>
          <cell r="H3">
            <v>1</v>
          </cell>
          <cell r="I3">
            <v>3</v>
          </cell>
          <cell r="J3">
            <v>3</v>
          </cell>
        </row>
        <row r="4">
          <cell r="B4" t="str">
            <v>CPK</v>
          </cell>
          <cell r="C4" t="str">
            <v>CHESAPEAKE UTIL</v>
          </cell>
          <cell r="D4">
            <v>38337</v>
          </cell>
          <cell r="E4" t="str">
            <v>EPS</v>
          </cell>
          <cell r="F4" t="str">
            <v>LTG</v>
          </cell>
          <cell r="G4" t="str">
            <v>0</v>
          </cell>
          <cell r="H4">
            <v>1</v>
          </cell>
          <cell r="I4">
            <v>3</v>
          </cell>
          <cell r="J4">
            <v>3</v>
          </cell>
        </row>
        <row r="5">
          <cell r="B5" t="str">
            <v>ATO</v>
          </cell>
          <cell r="C5" t="str">
            <v>ATMOS ENERGY CP</v>
          </cell>
          <cell r="D5">
            <v>38337</v>
          </cell>
          <cell r="E5" t="str">
            <v>EPS</v>
          </cell>
          <cell r="F5" t="str">
            <v>LTG</v>
          </cell>
          <cell r="G5" t="str">
            <v>0</v>
          </cell>
          <cell r="H5">
            <v>2</v>
          </cell>
          <cell r="I5">
            <v>3.6</v>
          </cell>
          <cell r="J5">
            <v>3.6</v>
          </cell>
          <cell r="K5">
            <v>0.56999999999999995</v>
          </cell>
        </row>
        <row r="6">
          <cell r="B6" t="str">
            <v>GAS</v>
          </cell>
          <cell r="C6" t="str">
            <v>NICOR INC</v>
          </cell>
          <cell r="D6">
            <v>38337</v>
          </cell>
          <cell r="E6" t="str">
            <v>EPS</v>
          </cell>
          <cell r="F6" t="str">
            <v>LTG</v>
          </cell>
          <cell r="G6" t="str">
            <v>0</v>
          </cell>
          <cell r="H6">
            <v>4</v>
          </cell>
          <cell r="I6">
            <v>2</v>
          </cell>
          <cell r="J6">
            <v>2.15</v>
          </cell>
          <cell r="K6">
            <v>0.68</v>
          </cell>
        </row>
        <row r="7">
          <cell r="B7" t="str">
            <v>LG</v>
          </cell>
          <cell r="C7" t="str">
            <v>LACLEDE GROUP</v>
          </cell>
          <cell r="D7">
            <v>38337</v>
          </cell>
          <cell r="E7" t="str">
            <v>EPS</v>
          </cell>
          <cell r="F7" t="str">
            <v>LTG</v>
          </cell>
          <cell r="G7" t="str">
            <v>0</v>
          </cell>
          <cell r="H7">
            <v>2</v>
          </cell>
          <cell r="I7">
            <v>4</v>
          </cell>
          <cell r="J7">
            <v>4</v>
          </cell>
          <cell r="K7">
            <v>1.41</v>
          </cell>
        </row>
        <row r="8">
          <cell r="B8" t="str">
            <v>KSE</v>
          </cell>
          <cell r="C8" t="str">
            <v>KEYSPAN CP</v>
          </cell>
          <cell r="D8">
            <v>38337</v>
          </cell>
          <cell r="E8" t="str">
            <v>EPS</v>
          </cell>
          <cell r="F8" t="str">
            <v>LTG</v>
          </cell>
          <cell r="G8" t="str">
            <v>0</v>
          </cell>
          <cell r="H8">
            <v>6</v>
          </cell>
          <cell r="I8">
            <v>4</v>
          </cell>
          <cell r="J8">
            <v>4.33</v>
          </cell>
          <cell r="K8">
            <v>2.0699999999999998</v>
          </cell>
        </row>
        <row r="9">
          <cell r="B9" t="str">
            <v>NI</v>
          </cell>
          <cell r="C9" t="str">
            <v>NISOURCE INC</v>
          </cell>
          <cell r="D9">
            <v>38337</v>
          </cell>
          <cell r="E9" t="str">
            <v>EPS</v>
          </cell>
          <cell r="F9" t="str">
            <v>LTG</v>
          </cell>
          <cell r="G9" t="str">
            <v>0</v>
          </cell>
          <cell r="H9">
            <v>8</v>
          </cell>
          <cell r="I9">
            <v>4</v>
          </cell>
          <cell r="J9">
            <v>3.8</v>
          </cell>
          <cell r="K9">
            <v>1.19</v>
          </cell>
        </row>
        <row r="10">
          <cell r="B10" t="str">
            <v>NJR</v>
          </cell>
          <cell r="C10" t="str">
            <v>NEW JERSEY RES</v>
          </cell>
          <cell r="D10">
            <v>38337</v>
          </cell>
          <cell r="E10" t="str">
            <v>EPS</v>
          </cell>
          <cell r="F10" t="str">
            <v>LTG</v>
          </cell>
          <cell r="G10" t="str">
            <v>0</v>
          </cell>
          <cell r="H10">
            <v>4</v>
          </cell>
          <cell r="I10">
            <v>5</v>
          </cell>
          <cell r="J10">
            <v>5.5</v>
          </cell>
          <cell r="K10">
            <v>2.13</v>
          </cell>
        </row>
        <row r="11">
          <cell r="B11" t="str">
            <v>NWN</v>
          </cell>
          <cell r="C11" t="str">
            <v>NW NATURAL GAS</v>
          </cell>
          <cell r="D11">
            <v>38337</v>
          </cell>
          <cell r="E11" t="str">
            <v>EPS</v>
          </cell>
          <cell r="F11" t="str">
            <v>LTG</v>
          </cell>
          <cell r="G11" t="str">
            <v>0</v>
          </cell>
          <cell r="H11">
            <v>2</v>
          </cell>
          <cell r="I11">
            <v>4.25</v>
          </cell>
          <cell r="J11">
            <v>4.25</v>
          </cell>
          <cell r="K11">
            <v>1.06</v>
          </cell>
        </row>
        <row r="12">
          <cell r="B12" t="str">
            <v>PNY</v>
          </cell>
          <cell r="C12" t="str">
            <v>PIEDMONT NAT GAS</v>
          </cell>
          <cell r="D12">
            <v>38337</v>
          </cell>
          <cell r="E12" t="str">
            <v>EPS</v>
          </cell>
          <cell r="F12" t="str">
            <v>LTG</v>
          </cell>
          <cell r="G12" t="str">
            <v>0</v>
          </cell>
          <cell r="H12">
            <v>4</v>
          </cell>
          <cell r="I12">
            <v>5</v>
          </cell>
          <cell r="J12">
            <v>5</v>
          </cell>
          <cell r="K12">
            <v>0.82</v>
          </cell>
        </row>
        <row r="13">
          <cell r="B13" t="str">
            <v>SJI</v>
          </cell>
          <cell r="C13" t="str">
            <v>SO JERSEY INDS</v>
          </cell>
          <cell r="D13">
            <v>38337</v>
          </cell>
          <cell r="E13" t="str">
            <v>EPS</v>
          </cell>
          <cell r="F13" t="str">
            <v>LTG</v>
          </cell>
          <cell r="G13" t="str">
            <v>0</v>
          </cell>
          <cell r="H13">
            <v>1</v>
          </cell>
          <cell r="I13">
            <v>5</v>
          </cell>
          <cell r="J13">
            <v>5</v>
          </cell>
        </row>
        <row r="14">
          <cell r="B14" t="str">
            <v>SWX</v>
          </cell>
          <cell r="C14" t="str">
            <v>SOUTHWEST GAS</v>
          </cell>
          <cell r="D14">
            <v>38337</v>
          </cell>
          <cell r="E14" t="str">
            <v>EPS</v>
          </cell>
          <cell r="F14" t="str">
            <v>LTG</v>
          </cell>
          <cell r="G14" t="str">
            <v>0</v>
          </cell>
          <cell r="H14">
            <v>3</v>
          </cell>
          <cell r="I14">
            <v>3.1</v>
          </cell>
          <cell r="J14">
            <v>3.7</v>
          </cell>
          <cell r="K14">
            <v>1.1299999999999999</v>
          </cell>
        </row>
        <row r="15">
          <cell r="B15" t="str">
            <v>WGL</v>
          </cell>
          <cell r="C15" t="str">
            <v>WGL HOLDING INC</v>
          </cell>
          <cell r="D15">
            <v>38337</v>
          </cell>
          <cell r="E15" t="str">
            <v>EPS</v>
          </cell>
          <cell r="F15" t="str">
            <v>LTG</v>
          </cell>
          <cell r="G15" t="str">
            <v>0</v>
          </cell>
          <cell r="H15">
            <v>5</v>
          </cell>
          <cell r="I15">
            <v>4</v>
          </cell>
          <cell r="J15">
            <v>3.88</v>
          </cell>
          <cell r="K15">
            <v>0.76</v>
          </cell>
        </row>
      </sheetData>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RDS"/>
    </sheetNames>
    <sheetDataSet>
      <sheetData sheetId="0">
        <row r="1">
          <cell r="A1" t="str">
            <v>OFTIC</v>
          </cell>
          <cell r="B1" t="str">
            <v>IBES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USFIRM=0 if from .INT file and USFIRM=1 if from .US file</v>
          </cell>
          <cell r="L1" t="str">
            <v>Forecast Period End Date (SAS Format)</v>
          </cell>
          <cell r="M1" t="str">
            <v>Actual Value, from the Detail Actuals File</v>
          </cell>
          <cell r="N1" t="str">
            <v>Announce date of the Actual, from the Detail Actuals File</v>
          </cell>
        </row>
        <row r="2">
          <cell r="A2" t="str">
            <v>PNW</v>
          </cell>
          <cell r="B2" t="str">
            <v>AZP</v>
          </cell>
          <cell r="C2" t="str">
            <v>PINNACLE WST CAP</v>
          </cell>
          <cell r="D2">
            <v>20031218</v>
          </cell>
          <cell r="E2" t="str">
            <v>EPS</v>
          </cell>
          <cell r="F2" t="str">
            <v>ANN</v>
          </cell>
          <cell r="G2">
            <v>1</v>
          </cell>
          <cell r="H2">
            <v>11</v>
          </cell>
          <cell r="I2">
            <v>2.6</v>
          </cell>
          <cell r="J2">
            <v>2.6</v>
          </cell>
          <cell r="K2">
            <v>1</v>
          </cell>
          <cell r="L2">
            <v>20031231</v>
          </cell>
          <cell r="M2">
            <v>2.57</v>
          </cell>
          <cell r="N2">
            <v>20040129</v>
          </cell>
        </row>
        <row r="3">
          <cell r="A3" t="str">
            <v>CEG</v>
          </cell>
          <cell r="B3" t="str">
            <v>BGE</v>
          </cell>
          <cell r="C3" t="str">
            <v>CONSTELLATION EN</v>
          </cell>
          <cell r="D3">
            <v>20031218</v>
          </cell>
          <cell r="E3" t="str">
            <v>EPS</v>
          </cell>
          <cell r="F3" t="str">
            <v>ANN</v>
          </cell>
          <cell r="G3">
            <v>1</v>
          </cell>
          <cell r="H3">
            <v>15</v>
          </cell>
          <cell r="I3">
            <v>2.8</v>
          </cell>
          <cell r="J3">
            <v>2.79</v>
          </cell>
          <cell r="K3">
            <v>1</v>
          </cell>
          <cell r="L3">
            <v>20031231</v>
          </cell>
          <cell r="M3">
            <v>2.76</v>
          </cell>
          <cell r="N3">
            <v>20040130</v>
          </cell>
        </row>
        <row r="4">
          <cell r="A4" t="str">
            <v>BKH</v>
          </cell>
          <cell r="B4" t="str">
            <v>BHP</v>
          </cell>
          <cell r="C4" t="str">
            <v>BLACK HILLS CP</v>
          </cell>
          <cell r="D4">
            <v>20031218</v>
          </cell>
          <cell r="E4" t="str">
            <v>EPS</v>
          </cell>
          <cell r="F4" t="str">
            <v>ANN</v>
          </cell>
          <cell r="G4">
            <v>1</v>
          </cell>
          <cell r="H4">
            <v>3</v>
          </cell>
          <cell r="I4">
            <v>2.2599999999999998</v>
          </cell>
          <cell r="J4">
            <v>2.21</v>
          </cell>
          <cell r="K4">
            <v>1</v>
          </cell>
          <cell r="L4">
            <v>20031231</v>
          </cell>
          <cell r="M4">
            <v>1.97</v>
          </cell>
          <cell r="N4">
            <v>20040209</v>
          </cell>
        </row>
        <row r="5">
          <cell r="A5" t="str">
            <v>NST</v>
          </cell>
          <cell r="B5" t="str">
            <v>BSE</v>
          </cell>
          <cell r="C5" t="str">
            <v>NSTAR</v>
          </cell>
          <cell r="D5">
            <v>20031218</v>
          </cell>
          <cell r="E5" t="str">
            <v>EPS</v>
          </cell>
          <cell r="F5" t="str">
            <v>ANN</v>
          </cell>
          <cell r="G5">
            <v>1</v>
          </cell>
          <cell r="H5">
            <v>6</v>
          </cell>
          <cell r="I5">
            <v>1.7</v>
          </cell>
          <cell r="J5">
            <v>1.7</v>
          </cell>
          <cell r="K5">
            <v>1</v>
          </cell>
          <cell r="L5">
            <v>20031231</v>
          </cell>
          <cell r="M5">
            <v>1.6950000000000001</v>
          </cell>
          <cell r="N5">
            <v>20040122</v>
          </cell>
        </row>
        <row r="6">
          <cell r="A6" t="str">
            <v>CIN</v>
          </cell>
          <cell r="B6" t="str">
            <v>CIN</v>
          </cell>
          <cell r="C6" t="str">
            <v>CINERGY CORP</v>
          </cell>
          <cell r="D6">
            <v>20031218</v>
          </cell>
          <cell r="E6" t="str">
            <v>EPS</v>
          </cell>
          <cell r="F6" t="str">
            <v>ANN</v>
          </cell>
          <cell r="G6">
            <v>1</v>
          </cell>
          <cell r="H6">
            <v>16</v>
          </cell>
          <cell r="I6">
            <v>2.6</v>
          </cell>
          <cell r="J6">
            <v>2.61</v>
          </cell>
          <cell r="K6">
            <v>1</v>
          </cell>
          <cell r="L6">
            <v>20031231</v>
          </cell>
          <cell r="M6">
            <v>2.54</v>
          </cell>
          <cell r="N6">
            <v>20040123</v>
          </cell>
        </row>
        <row r="7">
          <cell r="A7" t="str">
            <v>CMS</v>
          </cell>
          <cell r="B7" t="str">
            <v>CMS</v>
          </cell>
          <cell r="C7" t="str">
            <v>CMS ENERGY CORP</v>
          </cell>
          <cell r="D7">
            <v>20031218</v>
          </cell>
          <cell r="E7" t="str">
            <v>EPS</v>
          </cell>
          <cell r="F7" t="str">
            <v>ANN</v>
          </cell>
          <cell r="G7">
            <v>1</v>
          </cell>
          <cell r="H7">
            <v>13</v>
          </cell>
          <cell r="I7">
            <v>0.78</v>
          </cell>
          <cell r="J7">
            <v>0.78</v>
          </cell>
          <cell r="K7">
            <v>1</v>
          </cell>
          <cell r="L7">
            <v>20031231</v>
          </cell>
          <cell r="M7">
            <v>0.81</v>
          </cell>
          <cell r="N7">
            <v>20040310</v>
          </cell>
        </row>
        <row r="8">
          <cell r="A8" t="str">
            <v>CNL</v>
          </cell>
          <cell r="B8" t="str">
            <v>CNL</v>
          </cell>
          <cell r="C8" t="str">
            <v>CLECO CORP</v>
          </cell>
          <cell r="D8">
            <v>20031218</v>
          </cell>
          <cell r="E8" t="str">
            <v>EPS</v>
          </cell>
          <cell r="F8" t="str">
            <v>ANN</v>
          </cell>
          <cell r="G8">
            <v>1</v>
          </cell>
          <cell r="H8">
            <v>5</v>
          </cell>
          <cell r="I8">
            <v>1.3</v>
          </cell>
          <cell r="J8">
            <v>1.3</v>
          </cell>
          <cell r="K8">
            <v>1</v>
          </cell>
          <cell r="L8">
            <v>20031231</v>
          </cell>
          <cell r="M8">
            <v>1.1200000000000001</v>
          </cell>
          <cell r="N8">
            <v>20040309</v>
          </cell>
        </row>
        <row r="9">
          <cell r="A9" t="str">
            <v>PGN</v>
          </cell>
          <cell r="B9" t="str">
            <v>CPL</v>
          </cell>
          <cell r="C9" t="str">
            <v>PROGRESS ENERGY</v>
          </cell>
          <cell r="D9">
            <v>20031218</v>
          </cell>
          <cell r="E9" t="str">
            <v>EPS</v>
          </cell>
          <cell r="F9" t="str">
            <v>ANN</v>
          </cell>
          <cell r="G9">
            <v>1</v>
          </cell>
          <cell r="H9">
            <v>18</v>
          </cell>
          <cell r="I9">
            <v>3.52</v>
          </cell>
          <cell r="J9">
            <v>3.53</v>
          </cell>
          <cell r="K9">
            <v>1</v>
          </cell>
          <cell r="L9">
            <v>20031231</v>
          </cell>
          <cell r="M9">
            <v>3.56</v>
          </cell>
          <cell r="N9">
            <v>20040121</v>
          </cell>
        </row>
        <row r="10">
          <cell r="A10" t="str">
            <v>D</v>
          </cell>
          <cell r="B10" t="str">
            <v>D</v>
          </cell>
          <cell r="C10" t="str">
            <v>DOMINION RES INC</v>
          </cell>
          <cell r="D10">
            <v>20031218</v>
          </cell>
          <cell r="E10" t="str">
            <v>EPS</v>
          </cell>
          <cell r="F10" t="str">
            <v>ANN</v>
          </cell>
          <cell r="G10">
            <v>1</v>
          </cell>
          <cell r="H10">
            <v>24</v>
          </cell>
          <cell r="I10">
            <v>2.35</v>
          </cell>
          <cell r="J10">
            <v>2.34</v>
          </cell>
          <cell r="K10">
            <v>1</v>
          </cell>
          <cell r="L10">
            <v>20031231</v>
          </cell>
          <cell r="M10">
            <v>2.25</v>
          </cell>
          <cell r="N10">
            <v>20040123</v>
          </cell>
        </row>
        <row r="11">
          <cell r="A11" t="str">
            <v>DPL</v>
          </cell>
          <cell r="B11" t="str">
            <v>DPL</v>
          </cell>
          <cell r="C11" t="str">
            <v>DPL INC</v>
          </cell>
          <cell r="D11">
            <v>20031218</v>
          </cell>
          <cell r="E11" t="str">
            <v>EPS</v>
          </cell>
          <cell r="F11" t="str">
            <v>ANN</v>
          </cell>
          <cell r="G11">
            <v>1</v>
          </cell>
          <cell r="H11">
            <v>7</v>
          </cell>
          <cell r="I11">
            <v>1.4</v>
          </cell>
          <cell r="J11">
            <v>1.33</v>
          </cell>
          <cell r="K11">
            <v>1</v>
          </cell>
          <cell r="L11">
            <v>20031231</v>
          </cell>
          <cell r="M11">
            <v>1.51</v>
          </cell>
          <cell r="N11">
            <v>20040210</v>
          </cell>
        </row>
        <row r="12">
          <cell r="A12" t="str">
            <v>DTE</v>
          </cell>
          <cell r="B12" t="str">
            <v>DTE</v>
          </cell>
          <cell r="C12" t="str">
            <v>DTE ENERGY</v>
          </cell>
          <cell r="D12">
            <v>20031218</v>
          </cell>
          <cell r="E12" t="str">
            <v>EPS</v>
          </cell>
          <cell r="F12" t="str">
            <v>ANN</v>
          </cell>
          <cell r="G12">
            <v>1</v>
          </cell>
          <cell r="H12">
            <v>9</v>
          </cell>
          <cell r="I12">
            <v>3.1</v>
          </cell>
          <cell r="J12">
            <v>3.13</v>
          </cell>
          <cell r="K12">
            <v>1</v>
          </cell>
          <cell r="L12">
            <v>20031231</v>
          </cell>
          <cell r="M12">
            <v>3.15</v>
          </cell>
          <cell r="N12">
            <v>20040205</v>
          </cell>
        </row>
        <row r="13">
          <cell r="A13" t="str">
            <v>DUK</v>
          </cell>
          <cell r="B13" t="str">
            <v>DUK</v>
          </cell>
          <cell r="C13" t="str">
            <v>DUKE ENERGY CORP</v>
          </cell>
          <cell r="D13">
            <v>20031218</v>
          </cell>
          <cell r="E13" t="str">
            <v>EPS</v>
          </cell>
          <cell r="F13" t="str">
            <v>ANN</v>
          </cell>
          <cell r="G13">
            <v>1</v>
          </cell>
          <cell r="H13">
            <v>23</v>
          </cell>
          <cell r="I13">
            <v>3.6</v>
          </cell>
          <cell r="J13">
            <v>3.61</v>
          </cell>
          <cell r="K13">
            <v>1</v>
          </cell>
          <cell r="L13">
            <v>20031231</v>
          </cell>
          <cell r="M13">
            <v>3.84</v>
          </cell>
          <cell r="N13">
            <v>20040129</v>
          </cell>
        </row>
        <row r="14">
          <cell r="A14" t="str">
            <v>ED</v>
          </cell>
          <cell r="B14" t="str">
            <v>ED</v>
          </cell>
          <cell r="C14" t="str">
            <v>CONS EDISON INC</v>
          </cell>
          <cell r="D14">
            <v>20031218</v>
          </cell>
          <cell r="E14" t="str">
            <v>EPS</v>
          </cell>
          <cell r="F14" t="str">
            <v>ANN</v>
          </cell>
          <cell r="G14">
            <v>1</v>
          </cell>
          <cell r="H14">
            <v>17</v>
          </cell>
          <cell r="I14">
            <v>2.8</v>
          </cell>
          <cell r="J14">
            <v>2.81</v>
          </cell>
          <cell r="K14">
            <v>1</v>
          </cell>
          <cell r="L14">
            <v>20031231</v>
          </cell>
          <cell r="M14">
            <v>2.83</v>
          </cell>
          <cell r="N14">
            <v>20040122</v>
          </cell>
        </row>
        <row r="15">
          <cell r="A15" t="str">
            <v>EDE</v>
          </cell>
          <cell r="B15" t="str">
            <v>EDE</v>
          </cell>
          <cell r="C15" t="str">
            <v>EMPIRE DIST ELEC</v>
          </cell>
          <cell r="D15">
            <v>20031218</v>
          </cell>
          <cell r="E15" t="str">
            <v>EPS</v>
          </cell>
          <cell r="F15" t="str">
            <v>ANN</v>
          </cell>
          <cell r="G15">
            <v>1</v>
          </cell>
          <cell r="H15">
            <v>4</v>
          </cell>
          <cell r="I15">
            <v>1.35</v>
          </cell>
          <cell r="J15">
            <v>1.36</v>
          </cell>
          <cell r="K15">
            <v>1</v>
          </cell>
          <cell r="L15">
            <v>20031231</v>
          </cell>
          <cell r="M15">
            <v>1.34</v>
          </cell>
          <cell r="N15">
            <v>20040129</v>
          </cell>
        </row>
        <row r="16">
          <cell r="A16" t="str">
            <v>FPL</v>
          </cell>
          <cell r="B16" t="str">
            <v>FPL</v>
          </cell>
          <cell r="C16" t="str">
            <v>FPL GROUP</v>
          </cell>
          <cell r="D16">
            <v>20031218</v>
          </cell>
          <cell r="E16" t="str">
            <v>EPS</v>
          </cell>
          <cell r="F16" t="str">
            <v>ANN</v>
          </cell>
          <cell r="G16">
            <v>1</v>
          </cell>
          <cell r="H16">
            <v>23</v>
          </cell>
          <cell r="I16">
            <v>0.61</v>
          </cell>
          <cell r="J16">
            <v>0.61</v>
          </cell>
          <cell r="K16">
            <v>1</v>
          </cell>
          <cell r="L16">
            <v>20031231</v>
          </cell>
          <cell r="M16">
            <v>0.61129999999999995</v>
          </cell>
          <cell r="N16">
            <v>20040123</v>
          </cell>
        </row>
        <row r="17">
          <cell r="A17" t="str">
            <v>HE</v>
          </cell>
          <cell r="B17" t="str">
            <v>HE</v>
          </cell>
          <cell r="C17" t="str">
            <v>HAWAIIAN ELEC</v>
          </cell>
          <cell r="D17">
            <v>20031218</v>
          </cell>
          <cell r="E17" t="str">
            <v>EPS</v>
          </cell>
          <cell r="F17" t="str">
            <v>ANN</v>
          </cell>
          <cell r="G17">
            <v>1</v>
          </cell>
          <cell r="H17">
            <v>5</v>
          </cell>
          <cell r="I17">
            <v>1.46</v>
          </cell>
          <cell r="J17">
            <v>1.46</v>
          </cell>
          <cell r="K17">
            <v>1</v>
          </cell>
          <cell r="L17">
            <v>20031231</v>
          </cell>
          <cell r="M17">
            <v>1.58</v>
          </cell>
          <cell r="N17">
            <v>20040120</v>
          </cell>
        </row>
        <row r="18">
          <cell r="A18" t="str">
            <v>CNP</v>
          </cell>
          <cell r="B18" t="str">
            <v>HOU</v>
          </cell>
          <cell r="C18" t="str">
            <v>CENTERPOINT ENER</v>
          </cell>
          <cell r="D18">
            <v>20031218</v>
          </cell>
          <cell r="E18" t="str">
            <v>EPS</v>
          </cell>
          <cell r="F18" t="str">
            <v>ANN</v>
          </cell>
          <cell r="G18">
            <v>1</v>
          </cell>
          <cell r="H18">
            <v>8</v>
          </cell>
          <cell r="I18">
            <v>1.31</v>
          </cell>
          <cell r="J18">
            <v>1.33</v>
          </cell>
          <cell r="K18">
            <v>1</v>
          </cell>
          <cell r="L18">
            <v>20031231</v>
          </cell>
          <cell r="M18">
            <v>1.62</v>
          </cell>
          <cell r="N18">
            <v>20040212</v>
          </cell>
        </row>
        <row r="19">
          <cell r="A19" t="str">
            <v>IDA</v>
          </cell>
          <cell r="B19" t="str">
            <v>IDA</v>
          </cell>
          <cell r="C19" t="str">
            <v>IDACORP INC.</v>
          </cell>
          <cell r="D19">
            <v>20031218</v>
          </cell>
          <cell r="E19" t="str">
            <v>EPS</v>
          </cell>
          <cell r="F19" t="str">
            <v>ANN</v>
          </cell>
          <cell r="G19">
            <v>1</v>
          </cell>
          <cell r="H19">
            <v>2</v>
          </cell>
          <cell r="I19">
            <v>1.25</v>
          </cell>
          <cell r="J19">
            <v>1.25</v>
          </cell>
          <cell r="K19">
            <v>1</v>
          </cell>
          <cell r="L19">
            <v>20031231</v>
          </cell>
          <cell r="M19">
            <v>1.22</v>
          </cell>
          <cell r="N19">
            <v>20040205</v>
          </cell>
        </row>
        <row r="20">
          <cell r="A20" t="str">
            <v>WR</v>
          </cell>
          <cell r="B20" t="str">
            <v>KAN</v>
          </cell>
          <cell r="C20" t="str">
            <v>WESTAR ENERGY</v>
          </cell>
          <cell r="D20">
            <v>20031218</v>
          </cell>
          <cell r="E20" t="str">
            <v>EPS</v>
          </cell>
          <cell r="F20" t="str">
            <v>ANN</v>
          </cell>
          <cell r="G20">
            <v>1</v>
          </cell>
          <cell r="H20">
            <v>1</v>
          </cell>
          <cell r="I20">
            <v>1.5</v>
          </cell>
          <cell r="J20">
            <v>1.5</v>
          </cell>
          <cell r="K20">
            <v>1</v>
          </cell>
          <cell r="L20">
            <v>20031231</v>
          </cell>
          <cell r="M20">
            <v>2.2400000000000002</v>
          </cell>
          <cell r="N20">
            <v>20040304</v>
          </cell>
        </row>
        <row r="21">
          <cell r="A21" t="str">
            <v>GXP</v>
          </cell>
          <cell r="B21" t="str">
            <v>KLT</v>
          </cell>
          <cell r="C21" t="str">
            <v>GREAT PLAINS</v>
          </cell>
          <cell r="D21">
            <v>20031218</v>
          </cell>
          <cell r="E21" t="str">
            <v>EPS</v>
          </cell>
          <cell r="F21" t="str">
            <v>ANN</v>
          </cell>
          <cell r="G21">
            <v>1</v>
          </cell>
          <cell r="H21">
            <v>7</v>
          </cell>
          <cell r="I21">
            <v>2.0499999999999998</v>
          </cell>
          <cell r="J21">
            <v>2.0499999999999998</v>
          </cell>
          <cell r="K21">
            <v>1</v>
          </cell>
          <cell r="L21">
            <v>20031231</v>
          </cell>
          <cell r="M21">
            <v>2.08</v>
          </cell>
          <cell r="N21">
            <v>20040204</v>
          </cell>
        </row>
        <row r="22">
          <cell r="A22" t="str">
            <v>ALE</v>
          </cell>
          <cell r="B22" t="str">
            <v>MPL</v>
          </cell>
          <cell r="C22" t="str">
            <v>ALLETE INC</v>
          </cell>
          <cell r="D22">
            <v>20031218</v>
          </cell>
          <cell r="E22" t="str">
            <v>EPS</v>
          </cell>
          <cell r="F22" t="str">
            <v>ANN</v>
          </cell>
          <cell r="G22">
            <v>1</v>
          </cell>
          <cell r="H22">
            <v>3</v>
          </cell>
          <cell r="I22">
            <v>6</v>
          </cell>
          <cell r="J22">
            <v>6.02</v>
          </cell>
          <cell r="K22">
            <v>1</v>
          </cell>
          <cell r="L22">
            <v>20031231</v>
          </cell>
          <cell r="M22">
            <v>5.85</v>
          </cell>
          <cell r="N22">
            <v>20040130</v>
          </cell>
        </row>
        <row r="23">
          <cell r="A23" t="str">
            <v>ETR</v>
          </cell>
          <cell r="B23" t="str">
            <v>MSU</v>
          </cell>
          <cell r="C23" t="str">
            <v>ENTERGY CP</v>
          </cell>
          <cell r="D23">
            <v>20031218</v>
          </cell>
          <cell r="E23" t="str">
            <v>EPS</v>
          </cell>
          <cell r="F23" t="str">
            <v>ANN</v>
          </cell>
          <cell r="G23">
            <v>1</v>
          </cell>
          <cell r="H23">
            <v>19</v>
          </cell>
          <cell r="I23">
            <v>4.2</v>
          </cell>
          <cell r="J23">
            <v>4.21</v>
          </cell>
          <cell r="K23">
            <v>1</v>
          </cell>
          <cell r="L23">
            <v>20031231</v>
          </cell>
          <cell r="M23">
            <v>4.25</v>
          </cell>
          <cell r="N23">
            <v>20040202</v>
          </cell>
        </row>
        <row r="24">
          <cell r="A24" t="str">
            <v>EAS</v>
          </cell>
          <cell r="B24" t="str">
            <v>NGE</v>
          </cell>
          <cell r="C24" t="str">
            <v>ENERGY EAST CORP</v>
          </cell>
          <cell r="D24">
            <v>20031218</v>
          </cell>
          <cell r="E24" t="str">
            <v>EPS</v>
          </cell>
          <cell r="F24" t="str">
            <v>ANN</v>
          </cell>
          <cell r="G24">
            <v>1</v>
          </cell>
          <cell r="H24">
            <v>9</v>
          </cell>
          <cell r="I24">
            <v>1.6</v>
          </cell>
          <cell r="J24">
            <v>1.61</v>
          </cell>
          <cell r="K24">
            <v>1</v>
          </cell>
          <cell r="L24">
            <v>20031231</v>
          </cell>
          <cell r="M24">
            <v>1.42</v>
          </cell>
          <cell r="N24">
            <v>20040130</v>
          </cell>
        </row>
        <row r="25">
          <cell r="A25" t="str">
            <v>XEL</v>
          </cell>
          <cell r="B25" t="str">
            <v>NSP</v>
          </cell>
          <cell r="C25" t="str">
            <v>XCEL ENERGY INC</v>
          </cell>
          <cell r="D25">
            <v>20031218</v>
          </cell>
          <cell r="E25" t="str">
            <v>EPS</v>
          </cell>
          <cell r="F25" t="str">
            <v>ANN</v>
          </cell>
          <cell r="G25">
            <v>1</v>
          </cell>
          <cell r="H25">
            <v>15</v>
          </cell>
          <cell r="I25">
            <v>1.2</v>
          </cell>
          <cell r="J25">
            <v>1.18</v>
          </cell>
          <cell r="K25">
            <v>1</v>
          </cell>
          <cell r="L25">
            <v>20031231</v>
          </cell>
          <cell r="M25">
            <v>1.29</v>
          </cell>
          <cell r="N25">
            <v>20040128</v>
          </cell>
        </row>
        <row r="26">
          <cell r="A26" t="str">
            <v>NU</v>
          </cell>
          <cell r="B26" t="str">
            <v>NU</v>
          </cell>
          <cell r="C26" t="str">
            <v>NORTHEAST UTILS</v>
          </cell>
          <cell r="D26">
            <v>20031218</v>
          </cell>
          <cell r="E26" t="str">
            <v>EPS</v>
          </cell>
          <cell r="F26" t="str">
            <v>ANN</v>
          </cell>
          <cell r="G26">
            <v>1</v>
          </cell>
          <cell r="H26">
            <v>10</v>
          </cell>
          <cell r="I26">
            <v>1.23</v>
          </cell>
          <cell r="J26">
            <v>1.19</v>
          </cell>
          <cell r="K26">
            <v>1</v>
          </cell>
          <cell r="L26">
            <v>20031231</v>
          </cell>
          <cell r="M26">
            <v>1.24</v>
          </cell>
          <cell r="N26">
            <v>20040127</v>
          </cell>
        </row>
        <row r="27">
          <cell r="A27" t="str">
            <v>FE</v>
          </cell>
          <cell r="B27" t="str">
            <v>OEC</v>
          </cell>
          <cell r="C27" t="str">
            <v>FIRSTENERGY CORP</v>
          </cell>
          <cell r="D27">
            <v>20031218</v>
          </cell>
          <cell r="E27" t="str">
            <v>EPS</v>
          </cell>
          <cell r="F27" t="str">
            <v>ANN</v>
          </cell>
          <cell r="G27">
            <v>1</v>
          </cell>
          <cell r="H27">
            <v>12</v>
          </cell>
          <cell r="I27">
            <v>2.12</v>
          </cell>
          <cell r="J27">
            <v>2.1</v>
          </cell>
          <cell r="K27">
            <v>1</v>
          </cell>
          <cell r="L27">
            <v>20031231</v>
          </cell>
          <cell r="M27">
            <v>1.86</v>
          </cell>
          <cell r="N27">
            <v>20040219</v>
          </cell>
        </row>
        <row r="28">
          <cell r="A28" t="str">
            <v>OGE</v>
          </cell>
          <cell r="B28" t="str">
            <v>OGE</v>
          </cell>
          <cell r="C28" t="str">
            <v>OGE ENERGY CORP</v>
          </cell>
          <cell r="D28">
            <v>20031218</v>
          </cell>
          <cell r="E28" t="str">
            <v>EPS</v>
          </cell>
          <cell r="F28" t="str">
            <v>ANN</v>
          </cell>
          <cell r="G28">
            <v>1</v>
          </cell>
          <cell r="H28">
            <v>5</v>
          </cell>
          <cell r="I28">
            <v>0.75</v>
          </cell>
          <cell r="J28">
            <v>0.76</v>
          </cell>
          <cell r="K28">
            <v>1</v>
          </cell>
          <cell r="L28">
            <v>20031231</v>
          </cell>
          <cell r="M28">
            <v>0.83</v>
          </cell>
          <cell r="N28">
            <v>20040128</v>
          </cell>
        </row>
        <row r="29">
          <cell r="A29" t="str">
            <v>OTTR</v>
          </cell>
          <cell r="B29" t="str">
            <v>OTTR</v>
          </cell>
          <cell r="C29" t="str">
            <v>OTTER TAIL CORP.</v>
          </cell>
          <cell r="D29">
            <v>20031218</v>
          </cell>
          <cell r="E29" t="str">
            <v>EPS</v>
          </cell>
          <cell r="F29" t="str">
            <v>ANN</v>
          </cell>
          <cell r="G29">
            <v>1</v>
          </cell>
          <cell r="H29">
            <v>2</v>
          </cell>
          <cell r="I29">
            <v>1.5</v>
          </cell>
          <cell r="J29">
            <v>1.5</v>
          </cell>
          <cell r="K29">
            <v>1</v>
          </cell>
          <cell r="L29">
            <v>20031231</v>
          </cell>
          <cell r="M29">
            <v>1.54</v>
          </cell>
          <cell r="N29">
            <v>20040202</v>
          </cell>
        </row>
        <row r="30">
          <cell r="A30" t="str">
            <v>PCG</v>
          </cell>
          <cell r="B30" t="str">
            <v>PCG</v>
          </cell>
          <cell r="C30" t="str">
            <v>P G &amp; E CORP</v>
          </cell>
          <cell r="D30">
            <v>20031218</v>
          </cell>
          <cell r="E30" t="str">
            <v>EPS</v>
          </cell>
          <cell r="F30" t="str">
            <v>ANN</v>
          </cell>
          <cell r="G30">
            <v>1</v>
          </cell>
          <cell r="H30">
            <v>14</v>
          </cell>
          <cell r="I30">
            <v>1.9</v>
          </cell>
          <cell r="J30">
            <v>1.87</v>
          </cell>
          <cell r="K30">
            <v>1</v>
          </cell>
          <cell r="L30">
            <v>20031231</v>
          </cell>
          <cell r="M30">
            <v>1.52</v>
          </cell>
          <cell r="N30">
            <v>20040219</v>
          </cell>
        </row>
        <row r="31">
          <cell r="A31" t="str">
            <v>EXC</v>
          </cell>
          <cell r="B31" t="str">
            <v>PE</v>
          </cell>
          <cell r="C31" t="str">
            <v>EXELON CORP</v>
          </cell>
          <cell r="D31">
            <v>20031218</v>
          </cell>
          <cell r="E31" t="str">
            <v>EPS</v>
          </cell>
          <cell r="F31" t="str">
            <v>ANN</v>
          </cell>
          <cell r="G31">
            <v>1</v>
          </cell>
          <cell r="H31">
            <v>20</v>
          </cell>
          <cell r="I31">
            <v>2.58</v>
          </cell>
          <cell r="J31">
            <v>2.56</v>
          </cell>
          <cell r="K31">
            <v>1</v>
          </cell>
          <cell r="L31">
            <v>20031231</v>
          </cell>
          <cell r="M31">
            <v>2.61</v>
          </cell>
          <cell r="N31">
            <v>20040128</v>
          </cell>
        </row>
        <row r="32">
          <cell r="A32" t="str">
            <v>PEG</v>
          </cell>
          <cell r="B32" t="str">
            <v>PEG</v>
          </cell>
          <cell r="C32" t="str">
            <v>PUB SVC ENTERS</v>
          </cell>
          <cell r="D32">
            <v>20031218</v>
          </cell>
          <cell r="E32" t="str">
            <v>EPS</v>
          </cell>
          <cell r="F32" t="str">
            <v>ANN</v>
          </cell>
          <cell r="G32">
            <v>1</v>
          </cell>
          <cell r="H32">
            <v>18</v>
          </cell>
          <cell r="I32">
            <v>1.85</v>
          </cell>
          <cell r="J32">
            <v>1.85</v>
          </cell>
          <cell r="K32">
            <v>1</v>
          </cell>
          <cell r="L32">
            <v>20031231</v>
          </cell>
          <cell r="M32">
            <v>1.86</v>
          </cell>
          <cell r="N32">
            <v>20040127</v>
          </cell>
        </row>
        <row r="33">
          <cell r="A33" t="str">
            <v>PNM</v>
          </cell>
          <cell r="B33" t="str">
            <v>PNM</v>
          </cell>
          <cell r="C33" t="str">
            <v>PNM RESOURCES</v>
          </cell>
          <cell r="D33">
            <v>20031218</v>
          </cell>
          <cell r="E33" t="str">
            <v>EPS</v>
          </cell>
          <cell r="F33" t="str">
            <v>ANN</v>
          </cell>
          <cell r="G33">
            <v>1</v>
          </cell>
          <cell r="H33">
            <v>3</v>
          </cell>
          <cell r="I33">
            <v>1.3</v>
          </cell>
          <cell r="J33">
            <v>1.31</v>
          </cell>
          <cell r="K33">
            <v>1</v>
          </cell>
          <cell r="L33">
            <v>20031231</v>
          </cell>
          <cell r="M33">
            <v>1.3</v>
          </cell>
          <cell r="N33">
            <v>20040210</v>
          </cell>
        </row>
        <row r="34">
          <cell r="A34" t="str">
            <v>POM</v>
          </cell>
          <cell r="B34" t="str">
            <v>POM</v>
          </cell>
          <cell r="C34" t="str">
            <v>PEPCO HOLDINGS</v>
          </cell>
          <cell r="D34">
            <v>20031218</v>
          </cell>
          <cell r="E34" t="str">
            <v>EPS</v>
          </cell>
          <cell r="F34" t="str">
            <v>ANN</v>
          </cell>
          <cell r="G34">
            <v>1</v>
          </cell>
          <cell r="H34">
            <v>7</v>
          </cell>
          <cell r="I34">
            <v>1.4</v>
          </cell>
          <cell r="J34">
            <v>1.47</v>
          </cell>
          <cell r="K34">
            <v>1</v>
          </cell>
          <cell r="L34">
            <v>20031231</v>
          </cell>
          <cell r="M34">
            <v>1.25</v>
          </cell>
          <cell r="N34">
            <v>20040226</v>
          </cell>
        </row>
        <row r="35">
          <cell r="A35" t="str">
            <v>PPL</v>
          </cell>
          <cell r="B35" t="str">
            <v>PPL</v>
          </cell>
          <cell r="C35" t="str">
            <v>PP&amp;L CORP</v>
          </cell>
          <cell r="D35">
            <v>20031218</v>
          </cell>
          <cell r="E35" t="str">
            <v>EPS</v>
          </cell>
          <cell r="F35" t="str">
            <v>ANN</v>
          </cell>
          <cell r="G35">
            <v>1</v>
          </cell>
          <cell r="H35">
            <v>11</v>
          </cell>
          <cell r="I35">
            <v>1.8</v>
          </cell>
          <cell r="J35">
            <v>1.8</v>
          </cell>
          <cell r="K35">
            <v>1</v>
          </cell>
          <cell r="L35">
            <v>20031231</v>
          </cell>
          <cell r="M35">
            <v>1.855</v>
          </cell>
          <cell r="N35">
            <v>20040128</v>
          </cell>
        </row>
        <row r="36">
          <cell r="A36" t="str">
            <v>PSD</v>
          </cell>
          <cell r="B36" t="str">
            <v>PSD</v>
          </cell>
          <cell r="C36" t="str">
            <v>PUGET ENERGY INC</v>
          </cell>
          <cell r="D36">
            <v>20031218</v>
          </cell>
          <cell r="E36" t="str">
            <v>EPS</v>
          </cell>
          <cell r="F36" t="str">
            <v>ANN</v>
          </cell>
          <cell r="G36">
            <v>1</v>
          </cell>
          <cell r="H36">
            <v>8</v>
          </cell>
          <cell r="I36">
            <v>1.35</v>
          </cell>
          <cell r="J36">
            <v>1.35</v>
          </cell>
          <cell r="K36">
            <v>1</v>
          </cell>
          <cell r="L36">
            <v>20031231</v>
          </cell>
          <cell r="M36">
            <v>1.26</v>
          </cell>
          <cell r="N36">
            <v>20040210</v>
          </cell>
        </row>
        <row r="37">
          <cell r="A37" t="str">
            <v>EIX</v>
          </cell>
          <cell r="B37" t="str">
            <v>SCE</v>
          </cell>
          <cell r="C37" t="str">
            <v>EDISON INTL</v>
          </cell>
          <cell r="D37">
            <v>20031218</v>
          </cell>
          <cell r="E37" t="str">
            <v>EPS</v>
          </cell>
          <cell r="F37" t="str">
            <v>ANN</v>
          </cell>
          <cell r="G37">
            <v>1</v>
          </cell>
          <cell r="H37">
            <v>6</v>
          </cell>
          <cell r="I37">
            <v>2.23</v>
          </cell>
          <cell r="J37">
            <v>2.21</v>
          </cell>
          <cell r="K37">
            <v>1</v>
          </cell>
          <cell r="L37">
            <v>20031231</v>
          </cell>
          <cell r="M37">
            <v>2.86</v>
          </cell>
          <cell r="N37">
            <v>20040226</v>
          </cell>
        </row>
        <row r="38">
          <cell r="A38" t="str">
            <v>SCG</v>
          </cell>
          <cell r="B38" t="str">
            <v>SCG</v>
          </cell>
          <cell r="C38" t="str">
            <v>SCANA CP</v>
          </cell>
          <cell r="D38">
            <v>20031218</v>
          </cell>
          <cell r="E38" t="str">
            <v>EPS</v>
          </cell>
          <cell r="F38" t="str">
            <v>ANN</v>
          </cell>
          <cell r="G38">
            <v>1</v>
          </cell>
          <cell r="H38">
            <v>8</v>
          </cell>
          <cell r="I38">
            <v>2.4900000000000002</v>
          </cell>
          <cell r="J38">
            <v>2.4900000000000002</v>
          </cell>
          <cell r="K38">
            <v>1</v>
          </cell>
          <cell r="L38">
            <v>20031231</v>
          </cell>
          <cell r="M38">
            <v>2.5</v>
          </cell>
          <cell r="N38">
            <v>20040213</v>
          </cell>
        </row>
        <row r="39">
          <cell r="A39" t="str">
            <v>SRE</v>
          </cell>
          <cell r="B39" t="str">
            <v>SDO</v>
          </cell>
          <cell r="C39" t="str">
            <v>SEMPRA ENERGY</v>
          </cell>
          <cell r="D39">
            <v>20031218</v>
          </cell>
          <cell r="E39" t="str">
            <v>EPS</v>
          </cell>
          <cell r="F39" t="str">
            <v>ANN</v>
          </cell>
          <cell r="G39">
            <v>1</v>
          </cell>
          <cell r="H39">
            <v>12</v>
          </cell>
          <cell r="I39">
            <v>2.73</v>
          </cell>
          <cell r="J39">
            <v>2.71</v>
          </cell>
          <cell r="K39">
            <v>1</v>
          </cell>
          <cell r="L39">
            <v>20031231</v>
          </cell>
          <cell r="M39">
            <v>2.93</v>
          </cell>
          <cell r="N39">
            <v>20040224</v>
          </cell>
        </row>
        <row r="40">
          <cell r="A40" t="str">
            <v>VVC</v>
          </cell>
          <cell r="B40" t="str">
            <v>SIG</v>
          </cell>
          <cell r="C40" t="str">
            <v>VECTREN CORP</v>
          </cell>
          <cell r="D40">
            <v>20031218</v>
          </cell>
          <cell r="E40" t="str">
            <v>EPS</v>
          </cell>
          <cell r="F40" t="str">
            <v>ANN</v>
          </cell>
          <cell r="G40">
            <v>1</v>
          </cell>
          <cell r="H40">
            <v>6</v>
          </cell>
          <cell r="I40">
            <v>1.55</v>
          </cell>
          <cell r="J40">
            <v>1.57</v>
          </cell>
          <cell r="K40">
            <v>1</v>
          </cell>
          <cell r="L40">
            <v>20031231</v>
          </cell>
          <cell r="M40">
            <v>1.57</v>
          </cell>
          <cell r="N40">
            <v>20040128</v>
          </cell>
        </row>
        <row r="41">
          <cell r="A41" t="str">
            <v>SO</v>
          </cell>
          <cell r="B41" t="str">
            <v>SO</v>
          </cell>
          <cell r="C41" t="str">
            <v>SOUTHN CO</v>
          </cell>
          <cell r="D41">
            <v>20031218</v>
          </cell>
          <cell r="E41" t="str">
            <v>EPS</v>
          </cell>
          <cell r="F41" t="str">
            <v>ANN</v>
          </cell>
          <cell r="G41">
            <v>1</v>
          </cell>
          <cell r="H41">
            <v>24</v>
          </cell>
          <cell r="I41">
            <v>1.91</v>
          </cell>
          <cell r="J41">
            <v>1.91</v>
          </cell>
          <cell r="K41">
            <v>1</v>
          </cell>
          <cell r="L41">
            <v>20031231</v>
          </cell>
          <cell r="M41">
            <v>1.97</v>
          </cell>
          <cell r="N41">
            <v>20040129</v>
          </cell>
        </row>
        <row r="42">
          <cell r="A42" t="str">
            <v>TE</v>
          </cell>
          <cell r="B42" t="str">
            <v>TE</v>
          </cell>
          <cell r="C42" t="str">
            <v>TECO ENERGY INC</v>
          </cell>
          <cell r="D42">
            <v>20031218</v>
          </cell>
          <cell r="E42" t="str">
            <v>EPS</v>
          </cell>
          <cell r="F42" t="str">
            <v>ANN</v>
          </cell>
          <cell r="G42">
            <v>1</v>
          </cell>
          <cell r="H42">
            <v>14</v>
          </cell>
          <cell r="I42">
            <v>0.85</v>
          </cell>
          <cell r="J42">
            <v>0.89</v>
          </cell>
          <cell r="K42">
            <v>1</v>
          </cell>
          <cell r="L42">
            <v>20031231</v>
          </cell>
          <cell r="M42">
            <v>0.78</v>
          </cell>
          <cell r="N42">
            <v>20040209</v>
          </cell>
        </row>
        <row r="43">
          <cell r="A43" t="str">
            <v>AEE</v>
          </cell>
          <cell r="B43" t="str">
            <v>UEP</v>
          </cell>
          <cell r="C43" t="str">
            <v>AMEREN CP</v>
          </cell>
          <cell r="D43">
            <v>20031218</v>
          </cell>
          <cell r="E43" t="str">
            <v>EPS</v>
          </cell>
          <cell r="F43" t="str">
            <v>ANN</v>
          </cell>
          <cell r="G43">
            <v>1</v>
          </cell>
          <cell r="H43">
            <v>12</v>
          </cell>
          <cell r="I43">
            <v>2.95</v>
          </cell>
          <cell r="J43">
            <v>2.96</v>
          </cell>
          <cell r="K43">
            <v>1</v>
          </cell>
          <cell r="L43">
            <v>20031231</v>
          </cell>
          <cell r="M43">
            <v>2.95</v>
          </cell>
          <cell r="N43">
            <v>20040210</v>
          </cell>
        </row>
        <row r="44">
          <cell r="A44" t="str">
            <v>UIL</v>
          </cell>
          <cell r="B44" t="str">
            <v>UIL</v>
          </cell>
          <cell r="C44" t="str">
            <v>UIL HOLDING CORP</v>
          </cell>
          <cell r="D44">
            <v>20031218</v>
          </cell>
          <cell r="E44" t="str">
            <v>EPS</v>
          </cell>
          <cell r="F44" t="str">
            <v>ANN</v>
          </cell>
          <cell r="G44">
            <v>1</v>
          </cell>
          <cell r="H44">
            <v>1</v>
          </cell>
          <cell r="I44">
            <v>1.17</v>
          </cell>
          <cell r="J44">
            <v>1.17</v>
          </cell>
          <cell r="K44">
            <v>1</v>
          </cell>
          <cell r="L44">
            <v>20031231</v>
          </cell>
          <cell r="M44">
            <v>1.218</v>
          </cell>
          <cell r="N44">
            <v>20040126</v>
          </cell>
        </row>
        <row r="45">
          <cell r="A45" t="str">
            <v>WEC</v>
          </cell>
          <cell r="B45" t="str">
            <v>WPC</v>
          </cell>
          <cell r="C45" t="str">
            <v>WISCONSIN ENERGY</v>
          </cell>
          <cell r="D45">
            <v>20031218</v>
          </cell>
          <cell r="E45" t="str">
            <v>EPS</v>
          </cell>
          <cell r="F45" t="str">
            <v>ANN</v>
          </cell>
          <cell r="G45">
            <v>1</v>
          </cell>
          <cell r="H45">
            <v>13</v>
          </cell>
          <cell r="I45">
            <v>1.1499999999999999</v>
          </cell>
          <cell r="J45">
            <v>1.1499999999999999</v>
          </cell>
          <cell r="K45">
            <v>1</v>
          </cell>
          <cell r="L45">
            <v>20031231</v>
          </cell>
          <cell r="M45">
            <v>1.155</v>
          </cell>
          <cell r="N45">
            <v>20040211</v>
          </cell>
        </row>
        <row r="46">
          <cell r="A46" t="str">
            <v>LNT</v>
          </cell>
          <cell r="B46" t="str">
            <v>WPL</v>
          </cell>
          <cell r="C46" t="str">
            <v>ALLIANT ENER</v>
          </cell>
          <cell r="D46">
            <v>20031218</v>
          </cell>
          <cell r="E46" t="str">
            <v>EPS</v>
          </cell>
          <cell r="F46" t="str">
            <v>ANN</v>
          </cell>
          <cell r="G46">
            <v>1</v>
          </cell>
          <cell r="H46">
            <v>3</v>
          </cell>
          <cell r="I46">
            <v>0.8</v>
          </cell>
          <cell r="J46">
            <v>0.79</v>
          </cell>
          <cell r="K46">
            <v>1</v>
          </cell>
          <cell r="L46">
            <v>20031231</v>
          </cell>
          <cell r="M46">
            <v>0.78500000000000003</v>
          </cell>
          <cell r="N46">
            <v>20040130</v>
          </cell>
        </row>
        <row r="47">
          <cell r="A47" t="str">
            <v>WPS</v>
          </cell>
          <cell r="B47" t="str">
            <v>WPS</v>
          </cell>
          <cell r="C47" t="str">
            <v>WPS RESOURCES CP</v>
          </cell>
          <cell r="D47">
            <v>20031218</v>
          </cell>
          <cell r="E47" t="str">
            <v>EPS</v>
          </cell>
          <cell r="F47" t="str">
            <v>ANN</v>
          </cell>
          <cell r="G47">
            <v>1</v>
          </cell>
          <cell r="H47">
            <v>2</v>
          </cell>
          <cell r="I47">
            <v>2.85</v>
          </cell>
          <cell r="J47">
            <v>2.85</v>
          </cell>
          <cell r="K47">
            <v>1</v>
          </cell>
          <cell r="L47">
            <v>20031231</v>
          </cell>
          <cell r="M47">
            <v>2.71</v>
          </cell>
          <cell r="N47">
            <v>20040129</v>
          </cell>
        </row>
        <row r="48">
          <cell r="A48" t="str">
            <v>AVA</v>
          </cell>
          <cell r="B48" t="str">
            <v>WWP</v>
          </cell>
          <cell r="C48" t="str">
            <v>AVISTA CORP</v>
          </cell>
          <cell r="D48">
            <v>20031218</v>
          </cell>
          <cell r="E48" t="str">
            <v>EPS</v>
          </cell>
          <cell r="F48" t="str">
            <v>ANN</v>
          </cell>
          <cell r="G48">
            <v>1</v>
          </cell>
          <cell r="H48">
            <v>6</v>
          </cell>
          <cell r="I48">
            <v>0.95</v>
          </cell>
          <cell r="J48">
            <v>0.95</v>
          </cell>
          <cell r="K48">
            <v>1</v>
          </cell>
          <cell r="L48">
            <v>20031231</v>
          </cell>
          <cell r="M48">
            <v>1.02</v>
          </cell>
          <cell r="N48">
            <v>20040128</v>
          </cell>
        </row>
        <row r="49">
          <cell r="A49" t="str">
            <v>OGE</v>
          </cell>
          <cell r="B49" t="str">
            <v>@2OR</v>
          </cell>
          <cell r="C49" t="str">
            <v>ORANGE SA</v>
          </cell>
          <cell r="D49">
            <v>20031218</v>
          </cell>
          <cell r="E49" t="str">
            <v>EPS</v>
          </cell>
          <cell r="F49" t="str">
            <v>ANN</v>
          </cell>
          <cell r="G49">
            <v>1</v>
          </cell>
          <cell r="H49">
            <v>8</v>
          </cell>
          <cell r="I49">
            <v>0.51</v>
          </cell>
          <cell r="J49">
            <v>0.57999999999999996</v>
          </cell>
          <cell r="K49">
            <v>0</v>
          </cell>
          <cell r="L49">
            <v>20031231</v>
          </cell>
        </row>
        <row r="50">
          <cell r="A50" t="str">
            <v>ETR</v>
          </cell>
          <cell r="B50" t="str">
            <v>@8EN</v>
          </cell>
          <cell r="C50" t="str">
            <v>ENTERPRISE</v>
          </cell>
          <cell r="D50">
            <v>20031218</v>
          </cell>
          <cell r="E50" t="str">
            <v>EPS</v>
          </cell>
          <cell r="F50" t="str">
            <v>ANN</v>
          </cell>
          <cell r="G50">
            <v>1</v>
          </cell>
          <cell r="H50">
            <v>3</v>
          </cell>
          <cell r="I50">
            <v>14.7</v>
          </cell>
          <cell r="J50">
            <v>15.52</v>
          </cell>
          <cell r="K50">
            <v>0</v>
          </cell>
          <cell r="L50">
            <v>20031231</v>
          </cell>
          <cell r="M50">
            <v>14.02</v>
          </cell>
          <cell r="N50">
            <v>20040331</v>
          </cell>
        </row>
        <row r="51">
          <cell r="A51" t="str">
            <v>ETR</v>
          </cell>
          <cell r="B51" t="str">
            <v>@8EN</v>
          </cell>
          <cell r="C51" t="str">
            <v>ENTERPRISE</v>
          </cell>
          <cell r="D51">
            <v>20031218</v>
          </cell>
          <cell r="E51" t="str">
            <v>EPS</v>
          </cell>
          <cell r="F51" t="str">
            <v>ANN</v>
          </cell>
          <cell r="G51">
            <v>1</v>
          </cell>
          <cell r="H51">
            <v>3</v>
          </cell>
          <cell r="I51">
            <v>14.7</v>
          </cell>
          <cell r="J51">
            <v>15.52</v>
          </cell>
          <cell r="K51">
            <v>0</v>
          </cell>
          <cell r="L51">
            <v>20031231</v>
          </cell>
          <cell r="M51">
            <v>21.32</v>
          </cell>
          <cell r="N51">
            <v>20040331</v>
          </cell>
        </row>
        <row r="52">
          <cell r="A52" t="str">
            <v>AVA</v>
          </cell>
          <cell r="B52" t="str">
            <v>@AHV</v>
          </cell>
          <cell r="C52" t="str">
            <v>AVA</v>
          </cell>
          <cell r="D52">
            <v>20031218</v>
          </cell>
          <cell r="E52" t="str">
            <v>EPS</v>
          </cell>
          <cell r="F52" t="str">
            <v>ANN</v>
          </cell>
          <cell r="G52">
            <v>1</v>
          </cell>
          <cell r="H52">
            <v>3</v>
          </cell>
          <cell r="I52">
            <v>0.94</v>
          </cell>
          <cell r="J52">
            <v>0.92</v>
          </cell>
          <cell r="K52">
            <v>0</v>
          </cell>
          <cell r="L52">
            <v>20031231</v>
          </cell>
          <cell r="M52">
            <v>0.28999999999999998</v>
          </cell>
          <cell r="N52">
            <v>20040713</v>
          </cell>
        </row>
        <row r="53">
          <cell r="A53" t="str">
            <v>CNP</v>
          </cell>
          <cell r="B53" t="str">
            <v>@C3I</v>
          </cell>
          <cell r="C53" t="str">
            <v>INTL REAL ESTATE</v>
          </cell>
          <cell r="D53">
            <v>20031218</v>
          </cell>
          <cell r="E53" t="str">
            <v>EPS</v>
          </cell>
          <cell r="F53" t="str">
            <v>ANN</v>
          </cell>
          <cell r="G53">
            <v>1</v>
          </cell>
          <cell r="H53">
            <v>1</v>
          </cell>
          <cell r="I53">
            <v>0.68</v>
          </cell>
          <cell r="J53">
            <v>0.68</v>
          </cell>
          <cell r="K53">
            <v>0</v>
          </cell>
          <cell r="L53">
            <v>20031231</v>
          </cell>
          <cell r="M53">
            <v>0.4</v>
          </cell>
          <cell r="N53">
            <v>20040303</v>
          </cell>
        </row>
        <row r="54">
          <cell r="A54" t="str">
            <v>CNP</v>
          </cell>
          <cell r="B54" t="str">
            <v>@C3I</v>
          </cell>
          <cell r="C54" t="str">
            <v>INTL REAL ESTATE</v>
          </cell>
          <cell r="D54">
            <v>20031218</v>
          </cell>
          <cell r="E54" t="str">
            <v>EPS</v>
          </cell>
          <cell r="F54" t="str">
            <v>ANN</v>
          </cell>
          <cell r="G54">
            <v>1</v>
          </cell>
          <cell r="H54">
            <v>1</v>
          </cell>
          <cell r="I54">
            <v>0.68</v>
          </cell>
          <cell r="J54">
            <v>0.68</v>
          </cell>
          <cell r="K54">
            <v>0</v>
          </cell>
          <cell r="L54">
            <v>20031231</v>
          </cell>
          <cell r="M54">
            <v>0.4</v>
          </cell>
          <cell r="N54">
            <v>20040303</v>
          </cell>
        </row>
        <row r="55">
          <cell r="A55" t="str">
            <v>CNP</v>
          </cell>
          <cell r="B55" t="str">
            <v>@CN0</v>
          </cell>
          <cell r="C55" t="str">
            <v>CNP ASSURANCES</v>
          </cell>
          <cell r="D55">
            <v>20031218</v>
          </cell>
          <cell r="E55" t="str">
            <v>EPS</v>
          </cell>
          <cell r="F55" t="str">
            <v>ANN</v>
          </cell>
          <cell r="G55">
            <v>1</v>
          </cell>
          <cell r="H55">
            <v>16</v>
          </cell>
          <cell r="I55">
            <v>1.05</v>
          </cell>
          <cell r="J55">
            <v>1.06</v>
          </cell>
          <cell r="K55">
            <v>0</v>
          </cell>
          <cell r="L55">
            <v>20031231</v>
          </cell>
          <cell r="M55">
            <v>1.0859000000000001</v>
          </cell>
          <cell r="N55">
            <v>20050208</v>
          </cell>
        </row>
        <row r="56">
          <cell r="A56" t="str">
            <v>CNP</v>
          </cell>
          <cell r="B56" t="str">
            <v>@CN0</v>
          </cell>
          <cell r="C56" t="str">
            <v>CNP ASSURANCES</v>
          </cell>
          <cell r="D56">
            <v>20031218</v>
          </cell>
          <cell r="E56" t="str">
            <v>EPS</v>
          </cell>
          <cell r="F56" t="str">
            <v>ANN</v>
          </cell>
          <cell r="G56">
            <v>1</v>
          </cell>
          <cell r="H56">
            <v>16</v>
          </cell>
          <cell r="I56">
            <v>1.05</v>
          </cell>
          <cell r="J56">
            <v>1.06</v>
          </cell>
          <cell r="K56">
            <v>0</v>
          </cell>
          <cell r="L56">
            <v>20031231</v>
          </cell>
          <cell r="M56">
            <v>1.0439000000000001</v>
          </cell>
          <cell r="N56">
            <v>20040310</v>
          </cell>
        </row>
        <row r="57">
          <cell r="A57" t="str">
            <v>DTE</v>
          </cell>
          <cell r="B57" t="str">
            <v>@DT</v>
          </cell>
          <cell r="C57" t="str">
            <v>DEUTSCHE TELEKOM</v>
          </cell>
          <cell r="D57">
            <v>20031218</v>
          </cell>
          <cell r="E57" t="str">
            <v>EPS</v>
          </cell>
          <cell r="F57" t="str">
            <v>ANN</v>
          </cell>
          <cell r="G57">
            <v>1</v>
          </cell>
          <cell r="H57">
            <v>31</v>
          </cell>
          <cell r="I57">
            <v>0.25</v>
          </cell>
          <cell r="J57">
            <v>0.21</v>
          </cell>
          <cell r="K57">
            <v>0</v>
          </cell>
          <cell r="L57">
            <v>20031231</v>
          </cell>
          <cell r="M57">
            <v>0.31</v>
          </cell>
          <cell r="N57">
            <v>20040310</v>
          </cell>
        </row>
        <row r="58">
          <cell r="A58" t="str">
            <v>EDE</v>
          </cell>
          <cell r="B58" t="str">
            <v>@E2L</v>
          </cell>
          <cell r="C58" t="str">
            <v>EDEGEL (B)</v>
          </cell>
          <cell r="D58">
            <v>20031218</v>
          </cell>
          <cell r="E58" t="str">
            <v>EPS</v>
          </cell>
          <cell r="F58" t="str">
            <v>ANN</v>
          </cell>
          <cell r="G58">
            <v>1</v>
          </cell>
          <cell r="H58">
            <v>1</v>
          </cell>
          <cell r="I58">
            <v>0.02</v>
          </cell>
          <cell r="J58">
            <v>0.02</v>
          </cell>
          <cell r="K58">
            <v>0</v>
          </cell>
          <cell r="L58">
            <v>20031231</v>
          </cell>
          <cell r="M58">
            <v>2.1600000000000001E-2</v>
          </cell>
          <cell r="N58">
            <v>20040427</v>
          </cell>
        </row>
        <row r="59">
          <cell r="A59" t="str">
            <v>FPL</v>
          </cell>
          <cell r="B59" t="str">
            <v>@F8X</v>
          </cell>
          <cell r="C59" t="str">
            <v>1ST CALGARY PETE</v>
          </cell>
          <cell r="D59">
            <v>20031218</v>
          </cell>
          <cell r="E59" t="str">
            <v>EPS</v>
          </cell>
          <cell r="F59" t="str">
            <v>ANN</v>
          </cell>
          <cell r="G59">
            <v>1</v>
          </cell>
          <cell r="H59">
            <v>1</v>
          </cell>
          <cell r="I59">
            <v>-1.29</v>
          </cell>
          <cell r="J59">
            <v>-1.29</v>
          </cell>
          <cell r="K59">
            <v>0</v>
          </cell>
          <cell r="L59">
            <v>20031231</v>
          </cell>
          <cell r="M59">
            <v>0.05</v>
          </cell>
          <cell r="N59">
            <v>20040618</v>
          </cell>
        </row>
        <row r="60">
          <cell r="A60" t="str">
            <v>FPL</v>
          </cell>
          <cell r="B60" t="str">
            <v>@F8X</v>
          </cell>
          <cell r="C60" t="str">
            <v>1ST CALGARY PETE</v>
          </cell>
          <cell r="D60">
            <v>20031218</v>
          </cell>
          <cell r="E60" t="str">
            <v>EPS</v>
          </cell>
          <cell r="F60" t="str">
            <v>ANN</v>
          </cell>
          <cell r="G60">
            <v>1</v>
          </cell>
          <cell r="H60">
            <v>1</v>
          </cell>
          <cell r="I60">
            <v>-1.29</v>
          </cell>
          <cell r="J60">
            <v>-1.29</v>
          </cell>
          <cell r="K60">
            <v>0</v>
          </cell>
          <cell r="L60">
            <v>20031231</v>
          </cell>
          <cell r="M60">
            <v>0.05</v>
          </cell>
          <cell r="N60">
            <v>20040618</v>
          </cell>
        </row>
        <row r="61">
          <cell r="A61" t="str">
            <v>NST</v>
          </cell>
          <cell r="B61" t="str">
            <v>@NST</v>
          </cell>
          <cell r="C61" t="str">
            <v>NEW STRAITS TIME</v>
          </cell>
          <cell r="D61">
            <v>20031218</v>
          </cell>
          <cell r="E61" t="str">
            <v>EPS</v>
          </cell>
          <cell r="F61" t="str">
            <v>ANN</v>
          </cell>
          <cell r="G61">
            <v>1</v>
          </cell>
          <cell r="H61">
            <v>2</v>
          </cell>
          <cell r="I61">
            <v>-1.9E-2</v>
          </cell>
          <cell r="J61">
            <v>-1.9E-2</v>
          </cell>
          <cell r="K61">
            <v>0</v>
          </cell>
          <cell r="L61">
            <v>20031231</v>
          </cell>
          <cell r="N61">
            <v>20040520</v>
          </cell>
        </row>
        <row r="62">
          <cell r="A62" t="str">
            <v>PGN</v>
          </cell>
          <cell r="B62" t="str">
            <v>@PGW</v>
          </cell>
          <cell r="C62" t="str">
            <v>PHARMAGENE PLC</v>
          </cell>
          <cell r="D62">
            <v>20031218</v>
          </cell>
          <cell r="E62" t="str">
            <v>EPS</v>
          </cell>
          <cell r="F62" t="str">
            <v>ANN</v>
          </cell>
          <cell r="G62">
            <v>1</v>
          </cell>
          <cell r="H62">
            <v>1</v>
          </cell>
          <cell r="I62">
            <v>-16.7</v>
          </cell>
          <cell r="J62">
            <v>-16.7</v>
          </cell>
          <cell r="K62">
            <v>0</v>
          </cell>
          <cell r="L62">
            <v>20031231</v>
          </cell>
          <cell r="M62">
            <v>-10.8</v>
          </cell>
          <cell r="N62">
            <v>20040225</v>
          </cell>
        </row>
        <row r="63">
          <cell r="A63" t="str">
            <v>POM</v>
          </cell>
          <cell r="B63" t="str">
            <v>@PO8</v>
          </cell>
          <cell r="C63" t="str">
            <v>PLASTIC OMNIUM</v>
          </cell>
          <cell r="D63">
            <v>20031218</v>
          </cell>
          <cell r="E63" t="str">
            <v>EPS</v>
          </cell>
          <cell r="F63" t="str">
            <v>ANN</v>
          </cell>
          <cell r="G63">
            <v>1</v>
          </cell>
          <cell r="H63">
            <v>9</v>
          </cell>
          <cell r="I63">
            <v>0.2</v>
          </cell>
          <cell r="J63">
            <v>0.2</v>
          </cell>
          <cell r="K63">
            <v>0</v>
          </cell>
          <cell r="L63">
            <v>20031231</v>
          </cell>
          <cell r="M63">
            <v>0.25779999999999997</v>
          </cell>
          <cell r="N63">
            <v>20040309</v>
          </cell>
        </row>
        <row r="64">
          <cell r="A64" t="str">
            <v>POM</v>
          </cell>
          <cell r="B64" t="str">
            <v>@PO8</v>
          </cell>
          <cell r="C64" t="str">
            <v>PLASTIC OMNIUM</v>
          </cell>
          <cell r="D64">
            <v>20031218</v>
          </cell>
          <cell r="E64" t="str">
            <v>EPS</v>
          </cell>
          <cell r="F64" t="str">
            <v>ANN</v>
          </cell>
          <cell r="G64">
            <v>1</v>
          </cell>
          <cell r="H64">
            <v>9</v>
          </cell>
          <cell r="I64">
            <v>0.2</v>
          </cell>
          <cell r="J64">
            <v>0.2</v>
          </cell>
          <cell r="K64">
            <v>0</v>
          </cell>
          <cell r="L64">
            <v>20031231</v>
          </cell>
          <cell r="M64">
            <v>0.2089</v>
          </cell>
          <cell r="N64">
            <v>20040309</v>
          </cell>
        </row>
        <row r="65">
          <cell r="A65" t="str">
            <v>WEC</v>
          </cell>
          <cell r="B65" t="str">
            <v>@WE0</v>
          </cell>
          <cell r="C65" t="str">
            <v>WONG ENGINEER</v>
          </cell>
          <cell r="D65">
            <v>20031218</v>
          </cell>
          <cell r="E65" t="str">
            <v>EPS</v>
          </cell>
          <cell r="F65" t="str">
            <v>ANN</v>
          </cell>
          <cell r="G65">
            <v>1</v>
          </cell>
          <cell r="H65">
            <v>1</v>
          </cell>
          <cell r="I65">
            <v>0.109</v>
          </cell>
          <cell r="J65">
            <v>0.109</v>
          </cell>
          <cell r="K65">
            <v>0</v>
          </cell>
          <cell r="L65">
            <v>20031031</v>
          </cell>
          <cell r="M65">
            <v>1.6E-2</v>
          </cell>
          <cell r="N65">
            <v>20040106</v>
          </cell>
        </row>
        <row r="66">
          <cell r="A66" t="str">
            <v>CIN</v>
          </cell>
          <cell r="B66" t="str">
            <v>@YYN</v>
          </cell>
          <cell r="C66" t="str">
            <v>CIN</v>
          </cell>
          <cell r="D66">
            <v>20031218</v>
          </cell>
          <cell r="E66" t="str">
            <v>EPS</v>
          </cell>
          <cell r="F66" t="str">
            <v>ANN</v>
          </cell>
          <cell r="G66">
            <v>1</v>
          </cell>
          <cell r="H66">
            <v>1</v>
          </cell>
          <cell r="I66">
            <v>0.59</v>
          </cell>
          <cell r="J66">
            <v>0.59</v>
          </cell>
          <cell r="K66">
            <v>0</v>
          </cell>
          <cell r="L66">
            <v>20031231</v>
          </cell>
          <cell r="M66">
            <v>0.51</v>
          </cell>
          <cell r="N66">
            <v>20041210</v>
          </cell>
        </row>
        <row r="67">
          <cell r="A67" t="str">
            <v>CIN</v>
          </cell>
          <cell r="B67" t="str">
            <v>@YYN</v>
          </cell>
          <cell r="C67" t="str">
            <v>CIN</v>
          </cell>
          <cell r="D67">
            <v>20031218</v>
          </cell>
          <cell r="E67" t="str">
            <v>EPS</v>
          </cell>
          <cell r="F67" t="str">
            <v>ANN</v>
          </cell>
          <cell r="G67">
            <v>1</v>
          </cell>
          <cell r="H67">
            <v>1</v>
          </cell>
          <cell r="I67">
            <v>0.59</v>
          </cell>
          <cell r="J67">
            <v>0.59</v>
          </cell>
          <cell r="K67">
            <v>0</v>
          </cell>
          <cell r="L67">
            <v>20031231</v>
          </cell>
          <cell r="M67">
            <v>0.51</v>
          </cell>
          <cell r="N67">
            <v>20041210</v>
          </cell>
        </row>
        <row r="68">
          <cell r="A68" t="str">
            <v>ALE</v>
          </cell>
          <cell r="B68" t="str">
            <v>ALE1</v>
          </cell>
          <cell r="C68" t="str">
            <v>SLEEMAN BREWS</v>
          </cell>
          <cell r="D68">
            <v>20031218</v>
          </cell>
          <cell r="E68" t="str">
            <v>EPS</v>
          </cell>
          <cell r="F68" t="str">
            <v>ANN</v>
          </cell>
          <cell r="G68">
            <v>1</v>
          </cell>
          <cell r="H68">
            <v>9</v>
          </cell>
          <cell r="I68">
            <v>0.78</v>
          </cell>
          <cell r="J68">
            <v>0.79</v>
          </cell>
          <cell r="K68">
            <v>0</v>
          </cell>
          <cell r="L68">
            <v>20031231</v>
          </cell>
          <cell r="M68">
            <v>0.76</v>
          </cell>
          <cell r="N68">
            <v>20040302</v>
          </cell>
        </row>
        <row r="69">
          <cell r="A69" t="str">
            <v>D</v>
          </cell>
          <cell r="B69" t="str">
            <v>D2</v>
          </cell>
          <cell r="C69" t="str">
            <v>DUNDEE REAL ESTA</v>
          </cell>
          <cell r="D69">
            <v>20031218</v>
          </cell>
          <cell r="E69" t="str">
            <v>EPS</v>
          </cell>
          <cell r="F69" t="str">
            <v>ANN</v>
          </cell>
          <cell r="G69">
            <v>1</v>
          </cell>
          <cell r="H69">
            <v>1</v>
          </cell>
          <cell r="I69">
            <v>2.5299999999999998</v>
          </cell>
          <cell r="J69">
            <v>2.5299999999999998</v>
          </cell>
          <cell r="K69">
            <v>0</v>
          </cell>
          <cell r="L69">
            <v>20031231</v>
          </cell>
          <cell r="N69">
            <v>20040302</v>
          </cell>
        </row>
        <row r="70">
          <cell r="A70" t="str">
            <v>EXC</v>
          </cell>
          <cell r="B70" t="str">
            <v>EXC1</v>
          </cell>
          <cell r="C70" t="str">
            <v>EXTREME CCTV</v>
          </cell>
          <cell r="D70">
            <v>20031218</v>
          </cell>
          <cell r="E70" t="str">
            <v>EPS</v>
          </cell>
          <cell r="F70" t="str">
            <v>ANN</v>
          </cell>
          <cell r="G70">
            <v>1</v>
          </cell>
          <cell r="H70">
            <v>4</v>
          </cell>
          <cell r="I70">
            <v>0.16</v>
          </cell>
          <cell r="J70">
            <v>0.19</v>
          </cell>
          <cell r="K70">
            <v>0</v>
          </cell>
          <cell r="L70">
            <v>20040930</v>
          </cell>
          <cell r="M70">
            <v>0.08</v>
          </cell>
          <cell r="N70">
            <v>20041210</v>
          </cell>
        </row>
        <row r="71">
          <cell r="A71" t="str">
            <v>FPL</v>
          </cell>
          <cell r="B71" t="str">
            <v>FPI1</v>
          </cell>
          <cell r="C71" t="str">
            <v>FPI LTD</v>
          </cell>
          <cell r="D71">
            <v>20031218</v>
          </cell>
          <cell r="E71" t="str">
            <v>EPS</v>
          </cell>
          <cell r="F71" t="str">
            <v>ANN</v>
          </cell>
          <cell r="G71">
            <v>1</v>
          </cell>
          <cell r="H71">
            <v>1</v>
          </cell>
          <cell r="I71">
            <v>0.75</v>
          </cell>
          <cell r="J71">
            <v>0.75</v>
          </cell>
          <cell r="K71">
            <v>0</v>
          </cell>
          <cell r="L71">
            <v>20031231</v>
          </cell>
          <cell r="M71">
            <v>0.11</v>
          </cell>
          <cell r="N71">
            <v>20040217</v>
          </cell>
        </row>
        <row r="72">
          <cell r="A72" t="str">
            <v>NU</v>
          </cell>
          <cell r="B72" t="str">
            <v>NU1</v>
          </cell>
          <cell r="C72" t="str">
            <v>NU-GRO CORP</v>
          </cell>
          <cell r="D72">
            <v>20031218</v>
          </cell>
          <cell r="E72" t="str">
            <v>EPS</v>
          </cell>
          <cell r="F72" t="str">
            <v>ANN</v>
          </cell>
          <cell r="G72">
            <v>1</v>
          </cell>
          <cell r="H72">
            <v>2</v>
          </cell>
          <cell r="I72">
            <v>0.82</v>
          </cell>
          <cell r="J72">
            <v>0.82</v>
          </cell>
          <cell r="K72">
            <v>0</v>
          </cell>
          <cell r="L72">
            <v>20040930</v>
          </cell>
        </row>
        <row r="73">
          <cell r="A73" t="str">
            <v>SO</v>
          </cell>
          <cell r="B73" t="str">
            <v>SOCA</v>
          </cell>
          <cell r="C73" t="str">
            <v>SOFTCHOICE CORP</v>
          </cell>
          <cell r="D73">
            <v>20031218</v>
          </cell>
          <cell r="E73" t="str">
            <v>EPS</v>
          </cell>
          <cell r="F73" t="str">
            <v>ANN</v>
          </cell>
          <cell r="G73">
            <v>1</v>
          </cell>
          <cell r="H73">
            <v>3</v>
          </cell>
          <cell r="I73">
            <v>0.25</v>
          </cell>
          <cell r="J73">
            <v>0.31</v>
          </cell>
          <cell r="K73">
            <v>0</v>
          </cell>
          <cell r="L73">
            <v>20031231</v>
          </cell>
          <cell r="M73">
            <v>0.24</v>
          </cell>
          <cell r="N73">
            <v>20040216</v>
          </cell>
        </row>
      </sheetData>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RDS"/>
    </sheetNames>
    <sheetDataSet>
      <sheetData sheetId="0">
        <row r="1">
          <cell r="A1" t="str">
            <v>OFTIC</v>
          </cell>
          <cell r="B1" t="str">
            <v>IBES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USFIRM=0 if from .INT file and USFIRM=1 if from .US file</v>
          </cell>
          <cell r="M1" t="str">
            <v>Forecast Period End Date (SAS Format)</v>
          </cell>
          <cell r="N1" t="str">
            <v>Actual Value, from the Detail Actuals File</v>
          </cell>
          <cell r="O1" t="str">
            <v>Announce date of the Actual, from the Detail Actuals File</v>
          </cell>
        </row>
        <row r="2">
          <cell r="A2" t="str">
            <v>PNW</v>
          </cell>
          <cell r="B2" t="str">
            <v>AZP</v>
          </cell>
          <cell r="C2" t="str">
            <v>PINNACLE WST CAP</v>
          </cell>
          <cell r="D2">
            <v>20031218</v>
          </cell>
          <cell r="E2" t="str">
            <v>EPS</v>
          </cell>
          <cell r="F2" t="str">
            <v>LTG</v>
          </cell>
          <cell r="G2">
            <v>0</v>
          </cell>
          <cell r="H2">
            <v>7</v>
          </cell>
          <cell r="I2">
            <v>5</v>
          </cell>
          <cell r="J2">
            <v>2.86</v>
          </cell>
          <cell r="K2">
            <v>4.1399999999999997</v>
          </cell>
          <cell r="L2">
            <v>1</v>
          </cell>
        </row>
        <row r="3">
          <cell r="A3" t="str">
            <v>CEG</v>
          </cell>
          <cell r="B3" t="str">
            <v>BGE</v>
          </cell>
          <cell r="C3" t="str">
            <v>CONSTELLATION EN</v>
          </cell>
          <cell r="D3">
            <v>20031218</v>
          </cell>
          <cell r="E3" t="str">
            <v>EPS</v>
          </cell>
          <cell r="F3" t="str">
            <v>LTG</v>
          </cell>
          <cell r="G3">
            <v>0</v>
          </cell>
          <cell r="H3">
            <v>9</v>
          </cell>
          <cell r="I3">
            <v>6.9</v>
          </cell>
          <cell r="J3">
            <v>6.99</v>
          </cell>
          <cell r="K3">
            <v>1.8</v>
          </cell>
          <cell r="L3">
            <v>1</v>
          </cell>
        </row>
        <row r="4">
          <cell r="A4" t="str">
            <v>BKH</v>
          </cell>
          <cell r="B4" t="str">
            <v>BHP</v>
          </cell>
          <cell r="C4" t="str">
            <v>BLACK HILLS CP</v>
          </cell>
          <cell r="D4">
            <v>20031218</v>
          </cell>
          <cell r="E4" t="str">
            <v>EPS</v>
          </cell>
          <cell r="F4" t="str">
            <v>LTG</v>
          </cell>
          <cell r="G4">
            <v>0</v>
          </cell>
          <cell r="H4">
            <v>4</v>
          </cell>
          <cell r="I4">
            <v>6.55</v>
          </cell>
          <cell r="J4">
            <v>6.03</v>
          </cell>
          <cell r="K4">
            <v>2.44</v>
          </cell>
          <cell r="L4">
            <v>1</v>
          </cell>
        </row>
        <row r="5">
          <cell r="A5" t="str">
            <v>NST</v>
          </cell>
          <cell r="B5" t="str">
            <v>BSE</v>
          </cell>
          <cell r="C5" t="str">
            <v>NSTAR</v>
          </cell>
          <cell r="D5">
            <v>20031218</v>
          </cell>
          <cell r="E5" t="str">
            <v>EPS</v>
          </cell>
          <cell r="F5" t="str">
            <v>LTG</v>
          </cell>
          <cell r="G5">
            <v>0</v>
          </cell>
          <cell r="H5">
            <v>4</v>
          </cell>
          <cell r="I5">
            <v>4.5</v>
          </cell>
          <cell r="J5">
            <v>4.5</v>
          </cell>
          <cell r="K5">
            <v>1.29</v>
          </cell>
          <cell r="L5">
            <v>1</v>
          </cell>
        </row>
        <row r="6">
          <cell r="A6" t="str">
            <v>CIN</v>
          </cell>
          <cell r="B6" t="str">
            <v>CIN</v>
          </cell>
          <cell r="C6" t="str">
            <v>CINERGY CORP</v>
          </cell>
          <cell r="D6">
            <v>20031218</v>
          </cell>
          <cell r="E6" t="str">
            <v>EPS</v>
          </cell>
          <cell r="F6" t="str">
            <v>LTG</v>
          </cell>
          <cell r="G6">
            <v>0</v>
          </cell>
          <cell r="H6">
            <v>11</v>
          </cell>
          <cell r="I6">
            <v>4</v>
          </cell>
          <cell r="J6">
            <v>4</v>
          </cell>
          <cell r="K6">
            <v>0.89</v>
          </cell>
          <cell r="L6">
            <v>1</v>
          </cell>
        </row>
        <row r="7">
          <cell r="A7" t="str">
            <v>CMS</v>
          </cell>
          <cell r="B7" t="str">
            <v>CMS</v>
          </cell>
          <cell r="C7" t="str">
            <v>CMS ENERGY CORP</v>
          </cell>
          <cell r="D7">
            <v>20031218</v>
          </cell>
          <cell r="E7" t="str">
            <v>EPS</v>
          </cell>
          <cell r="F7" t="str">
            <v>LTG</v>
          </cell>
          <cell r="G7">
            <v>0</v>
          </cell>
          <cell r="H7">
            <v>7</v>
          </cell>
          <cell r="I7">
            <v>4</v>
          </cell>
          <cell r="J7">
            <v>4.29</v>
          </cell>
          <cell r="K7">
            <v>1.6</v>
          </cell>
          <cell r="L7">
            <v>1</v>
          </cell>
        </row>
        <row r="8">
          <cell r="A8" t="str">
            <v>PGN</v>
          </cell>
          <cell r="B8" t="str">
            <v>CPL</v>
          </cell>
          <cell r="C8" t="str">
            <v>PROGRESS ENERGY</v>
          </cell>
          <cell r="D8">
            <v>20031218</v>
          </cell>
          <cell r="E8" t="str">
            <v>EPS</v>
          </cell>
          <cell r="F8" t="str">
            <v>LTG</v>
          </cell>
          <cell r="G8">
            <v>0</v>
          </cell>
          <cell r="H8">
            <v>12</v>
          </cell>
          <cell r="I8">
            <v>4</v>
          </cell>
          <cell r="J8">
            <v>3.96</v>
          </cell>
          <cell r="K8">
            <v>1.42</v>
          </cell>
          <cell r="L8">
            <v>1</v>
          </cell>
        </row>
        <row r="9">
          <cell r="A9" t="str">
            <v>D</v>
          </cell>
          <cell r="B9" t="str">
            <v>D</v>
          </cell>
          <cell r="C9" t="str">
            <v>DOMINION RES INC</v>
          </cell>
          <cell r="D9">
            <v>20031218</v>
          </cell>
          <cell r="E9" t="str">
            <v>EPS</v>
          </cell>
          <cell r="F9" t="str">
            <v>LTG</v>
          </cell>
          <cell r="G9">
            <v>0</v>
          </cell>
          <cell r="H9">
            <v>16</v>
          </cell>
          <cell r="I9">
            <v>5.5</v>
          </cell>
          <cell r="J9">
            <v>5.35</v>
          </cell>
          <cell r="K9">
            <v>1.1499999999999999</v>
          </cell>
          <cell r="L9">
            <v>1</v>
          </cell>
        </row>
        <row r="10">
          <cell r="A10" t="str">
            <v>DPL</v>
          </cell>
          <cell r="B10" t="str">
            <v>DPL</v>
          </cell>
          <cell r="C10" t="str">
            <v>DPL INC</v>
          </cell>
          <cell r="D10">
            <v>20031218</v>
          </cell>
          <cell r="E10" t="str">
            <v>EPS</v>
          </cell>
          <cell r="F10" t="str">
            <v>LTG</v>
          </cell>
          <cell r="G10">
            <v>0</v>
          </cell>
          <cell r="H10">
            <v>6</v>
          </cell>
          <cell r="I10">
            <v>4</v>
          </cell>
          <cell r="J10">
            <v>4.33</v>
          </cell>
          <cell r="K10">
            <v>1.51</v>
          </cell>
          <cell r="L10">
            <v>1</v>
          </cell>
        </row>
        <row r="11">
          <cell r="A11" t="str">
            <v>DTE</v>
          </cell>
          <cell r="B11" t="str">
            <v>DTE</v>
          </cell>
          <cell r="C11" t="str">
            <v>DTE ENERGY</v>
          </cell>
          <cell r="D11">
            <v>20031218</v>
          </cell>
          <cell r="E11" t="str">
            <v>EPS</v>
          </cell>
          <cell r="F11" t="str">
            <v>LTG</v>
          </cell>
          <cell r="G11">
            <v>0</v>
          </cell>
          <cell r="H11">
            <v>8</v>
          </cell>
          <cell r="I11">
            <v>5</v>
          </cell>
          <cell r="J11">
            <v>4.78</v>
          </cell>
          <cell r="K11">
            <v>2.34</v>
          </cell>
          <cell r="L11">
            <v>1</v>
          </cell>
        </row>
        <row r="12">
          <cell r="A12" t="str">
            <v>DUK</v>
          </cell>
          <cell r="B12" t="str">
            <v>DUK</v>
          </cell>
          <cell r="C12" t="str">
            <v>DUKE ENERGY CORP</v>
          </cell>
          <cell r="D12">
            <v>20031218</v>
          </cell>
          <cell r="E12" t="str">
            <v>EPS</v>
          </cell>
          <cell r="F12" t="str">
            <v>LTG</v>
          </cell>
          <cell r="G12">
            <v>0</v>
          </cell>
          <cell r="H12">
            <v>15</v>
          </cell>
          <cell r="I12">
            <v>5</v>
          </cell>
          <cell r="J12">
            <v>3.73</v>
          </cell>
          <cell r="K12">
            <v>4.01</v>
          </cell>
          <cell r="L12">
            <v>1</v>
          </cell>
        </row>
        <row r="13">
          <cell r="A13" t="str">
            <v>ED</v>
          </cell>
          <cell r="B13" t="str">
            <v>ED</v>
          </cell>
          <cell r="C13" t="str">
            <v>CONS EDISON INC</v>
          </cell>
          <cell r="D13">
            <v>20031218</v>
          </cell>
          <cell r="E13" t="str">
            <v>EPS</v>
          </cell>
          <cell r="F13" t="str">
            <v>LTG</v>
          </cell>
          <cell r="G13">
            <v>0</v>
          </cell>
          <cell r="H13">
            <v>11</v>
          </cell>
          <cell r="I13">
            <v>3</v>
          </cell>
          <cell r="J13">
            <v>3.18</v>
          </cell>
          <cell r="K13">
            <v>1.17</v>
          </cell>
          <cell r="L13">
            <v>1</v>
          </cell>
        </row>
        <row r="14">
          <cell r="A14" t="str">
            <v>EDE</v>
          </cell>
          <cell r="B14" t="str">
            <v>EDE</v>
          </cell>
          <cell r="C14" t="str">
            <v>EMPIRE DIST ELEC</v>
          </cell>
          <cell r="D14">
            <v>20031218</v>
          </cell>
          <cell r="E14" t="str">
            <v>EPS</v>
          </cell>
          <cell r="F14" t="str">
            <v>LTG</v>
          </cell>
          <cell r="G14">
            <v>0</v>
          </cell>
          <cell r="H14">
            <v>1</v>
          </cell>
          <cell r="I14">
            <v>3</v>
          </cell>
          <cell r="J14">
            <v>3</v>
          </cell>
          <cell r="L14">
            <v>1</v>
          </cell>
        </row>
        <row r="15">
          <cell r="A15" t="str">
            <v>FPL</v>
          </cell>
          <cell r="B15" t="str">
            <v>FPL</v>
          </cell>
          <cell r="C15" t="str">
            <v>FPL GROUP</v>
          </cell>
          <cell r="D15">
            <v>20031218</v>
          </cell>
          <cell r="E15" t="str">
            <v>EPS</v>
          </cell>
          <cell r="F15" t="str">
            <v>LTG</v>
          </cell>
          <cell r="G15">
            <v>0</v>
          </cell>
          <cell r="H15">
            <v>18</v>
          </cell>
          <cell r="I15">
            <v>5</v>
          </cell>
          <cell r="J15">
            <v>4.63</v>
          </cell>
          <cell r="K15">
            <v>1.83</v>
          </cell>
          <cell r="L15">
            <v>1</v>
          </cell>
        </row>
        <row r="16">
          <cell r="A16" t="str">
            <v>HE</v>
          </cell>
          <cell r="B16" t="str">
            <v>HE</v>
          </cell>
          <cell r="C16" t="str">
            <v>HAWAIIAN ELEC</v>
          </cell>
          <cell r="D16">
            <v>20031218</v>
          </cell>
          <cell r="E16" t="str">
            <v>EPS</v>
          </cell>
          <cell r="F16" t="str">
            <v>LTG</v>
          </cell>
          <cell r="G16">
            <v>0</v>
          </cell>
          <cell r="H16">
            <v>4</v>
          </cell>
          <cell r="I16">
            <v>2.75</v>
          </cell>
          <cell r="J16">
            <v>2.88</v>
          </cell>
          <cell r="K16">
            <v>1.65</v>
          </cell>
          <cell r="L16">
            <v>1</v>
          </cell>
        </row>
        <row r="17">
          <cell r="A17" t="str">
            <v>CNP</v>
          </cell>
          <cell r="B17" t="str">
            <v>HOU</v>
          </cell>
          <cell r="C17" t="str">
            <v>CENTERPOINT ENER</v>
          </cell>
          <cell r="D17">
            <v>20031218</v>
          </cell>
          <cell r="E17" t="str">
            <v>EPS</v>
          </cell>
          <cell r="F17" t="str">
            <v>LTG</v>
          </cell>
          <cell r="G17">
            <v>0</v>
          </cell>
          <cell r="H17">
            <v>5</v>
          </cell>
          <cell r="I17">
            <v>3</v>
          </cell>
          <cell r="J17">
            <v>3.2</v>
          </cell>
          <cell r="K17">
            <v>0.45</v>
          </cell>
          <cell r="L17">
            <v>1</v>
          </cell>
        </row>
        <row r="18">
          <cell r="A18" t="str">
            <v>IDA</v>
          </cell>
          <cell r="B18" t="str">
            <v>IDA</v>
          </cell>
          <cell r="C18" t="str">
            <v>IDACORP INC.</v>
          </cell>
          <cell r="D18">
            <v>20031218</v>
          </cell>
          <cell r="E18" t="str">
            <v>EPS</v>
          </cell>
          <cell r="F18" t="str">
            <v>LTG</v>
          </cell>
          <cell r="G18">
            <v>0</v>
          </cell>
          <cell r="H18">
            <v>1</v>
          </cell>
          <cell r="I18">
            <v>5</v>
          </cell>
          <cell r="J18">
            <v>5</v>
          </cell>
          <cell r="L18">
            <v>1</v>
          </cell>
        </row>
        <row r="19">
          <cell r="A19" t="str">
            <v>GXP</v>
          </cell>
          <cell r="B19" t="str">
            <v>KLT</v>
          </cell>
          <cell r="C19" t="str">
            <v>GREAT PLAINS</v>
          </cell>
          <cell r="D19">
            <v>20031218</v>
          </cell>
          <cell r="E19" t="str">
            <v>EPS</v>
          </cell>
          <cell r="F19" t="str">
            <v>LTG</v>
          </cell>
          <cell r="G19">
            <v>0</v>
          </cell>
          <cell r="H19">
            <v>5</v>
          </cell>
          <cell r="I19">
            <v>4</v>
          </cell>
          <cell r="J19">
            <v>4</v>
          </cell>
          <cell r="K19">
            <v>1</v>
          </cell>
          <cell r="L19">
            <v>1</v>
          </cell>
        </row>
        <row r="20">
          <cell r="A20" t="str">
            <v>ALE</v>
          </cell>
          <cell r="B20" t="str">
            <v>MPL</v>
          </cell>
          <cell r="C20" t="str">
            <v>ALLETE INC</v>
          </cell>
          <cell r="D20">
            <v>20031218</v>
          </cell>
          <cell r="E20" t="str">
            <v>EPS</v>
          </cell>
          <cell r="F20" t="str">
            <v>LTG</v>
          </cell>
          <cell r="G20">
            <v>0</v>
          </cell>
          <cell r="H20">
            <v>3</v>
          </cell>
          <cell r="I20">
            <v>10</v>
          </cell>
          <cell r="J20">
            <v>9</v>
          </cell>
          <cell r="K20">
            <v>3.61</v>
          </cell>
          <cell r="L20">
            <v>1</v>
          </cell>
        </row>
        <row r="21">
          <cell r="A21" t="str">
            <v>ETR</v>
          </cell>
          <cell r="B21" t="str">
            <v>MSU</v>
          </cell>
          <cell r="C21" t="str">
            <v>ENTERGY CP</v>
          </cell>
          <cell r="D21">
            <v>20031218</v>
          </cell>
          <cell r="E21" t="str">
            <v>EPS</v>
          </cell>
          <cell r="F21" t="str">
            <v>LTG</v>
          </cell>
          <cell r="G21">
            <v>0</v>
          </cell>
          <cell r="H21">
            <v>11</v>
          </cell>
          <cell r="I21">
            <v>6</v>
          </cell>
          <cell r="J21">
            <v>5.82</v>
          </cell>
          <cell r="K21">
            <v>1.83</v>
          </cell>
          <cell r="L21">
            <v>1</v>
          </cell>
        </row>
        <row r="22">
          <cell r="A22" t="str">
            <v>EAS</v>
          </cell>
          <cell r="B22" t="str">
            <v>NGE</v>
          </cell>
          <cell r="C22" t="str">
            <v>ENERGY EAST CORP</v>
          </cell>
          <cell r="D22">
            <v>20031218</v>
          </cell>
          <cell r="E22" t="str">
            <v>EPS</v>
          </cell>
          <cell r="F22" t="str">
            <v>LTG</v>
          </cell>
          <cell r="G22">
            <v>0</v>
          </cell>
          <cell r="H22">
            <v>7</v>
          </cell>
          <cell r="I22">
            <v>4</v>
          </cell>
          <cell r="J22">
            <v>4.43</v>
          </cell>
          <cell r="K22">
            <v>2.15</v>
          </cell>
          <cell r="L22">
            <v>1</v>
          </cell>
        </row>
        <row r="23">
          <cell r="A23" t="str">
            <v>XEL</v>
          </cell>
          <cell r="B23" t="str">
            <v>NSP</v>
          </cell>
          <cell r="C23" t="str">
            <v>XCEL ENERGY INC</v>
          </cell>
          <cell r="D23">
            <v>20031218</v>
          </cell>
          <cell r="E23" t="str">
            <v>EPS</v>
          </cell>
          <cell r="F23" t="str">
            <v>LTG</v>
          </cell>
          <cell r="G23">
            <v>0</v>
          </cell>
          <cell r="H23">
            <v>11</v>
          </cell>
          <cell r="I23">
            <v>3</v>
          </cell>
          <cell r="J23">
            <v>3.73</v>
          </cell>
          <cell r="K23">
            <v>1.68</v>
          </cell>
          <cell r="L23">
            <v>1</v>
          </cell>
        </row>
        <row r="24">
          <cell r="A24" t="str">
            <v>NU</v>
          </cell>
          <cell r="B24" t="str">
            <v>NU</v>
          </cell>
          <cell r="C24" t="str">
            <v>NORTHEAST UTILS</v>
          </cell>
          <cell r="D24">
            <v>20031218</v>
          </cell>
          <cell r="E24" t="str">
            <v>EPS</v>
          </cell>
          <cell r="F24" t="str">
            <v>LTG</v>
          </cell>
          <cell r="G24">
            <v>0</v>
          </cell>
          <cell r="H24">
            <v>5</v>
          </cell>
          <cell r="I24">
            <v>4</v>
          </cell>
          <cell r="J24">
            <v>3.6</v>
          </cell>
          <cell r="K24">
            <v>2.0699999999999998</v>
          </cell>
          <cell r="L24">
            <v>1</v>
          </cell>
        </row>
        <row r="25">
          <cell r="A25" t="str">
            <v>FE</v>
          </cell>
          <cell r="B25" t="str">
            <v>OEC</v>
          </cell>
          <cell r="C25" t="str">
            <v>FIRSTENERGY CORP</v>
          </cell>
          <cell r="D25">
            <v>20031218</v>
          </cell>
          <cell r="E25" t="str">
            <v>EPS</v>
          </cell>
          <cell r="F25" t="str">
            <v>LTG</v>
          </cell>
          <cell r="G25">
            <v>0</v>
          </cell>
          <cell r="H25">
            <v>9</v>
          </cell>
          <cell r="I25">
            <v>4</v>
          </cell>
          <cell r="J25">
            <v>4.4400000000000004</v>
          </cell>
          <cell r="K25">
            <v>1.01</v>
          </cell>
          <cell r="L25">
            <v>1</v>
          </cell>
        </row>
        <row r="26">
          <cell r="A26" t="str">
            <v>OGE</v>
          </cell>
          <cell r="B26" t="str">
            <v>OGE</v>
          </cell>
          <cell r="C26" t="str">
            <v>OGE ENERGY CORP</v>
          </cell>
          <cell r="D26">
            <v>20031218</v>
          </cell>
          <cell r="E26" t="str">
            <v>EPS</v>
          </cell>
          <cell r="F26" t="str">
            <v>LTG</v>
          </cell>
          <cell r="G26">
            <v>0</v>
          </cell>
          <cell r="H26">
            <v>3</v>
          </cell>
          <cell r="I26">
            <v>3</v>
          </cell>
          <cell r="J26">
            <v>3.33</v>
          </cell>
          <cell r="K26">
            <v>0.57999999999999996</v>
          </cell>
          <cell r="L26">
            <v>1</v>
          </cell>
        </row>
        <row r="27">
          <cell r="A27" t="str">
            <v>OTTR</v>
          </cell>
          <cell r="B27" t="str">
            <v>OTTR</v>
          </cell>
          <cell r="C27" t="str">
            <v>OTTER TAIL CORP.</v>
          </cell>
          <cell r="D27">
            <v>20031218</v>
          </cell>
          <cell r="E27" t="str">
            <v>EPS</v>
          </cell>
          <cell r="F27" t="str">
            <v>LTG</v>
          </cell>
          <cell r="G27">
            <v>0</v>
          </cell>
          <cell r="H27">
            <v>3</v>
          </cell>
          <cell r="I27">
            <v>5</v>
          </cell>
          <cell r="J27">
            <v>4.67</v>
          </cell>
          <cell r="K27">
            <v>0.57999999999999996</v>
          </cell>
          <cell r="L27">
            <v>1</v>
          </cell>
        </row>
        <row r="28">
          <cell r="A28" t="str">
            <v>PCG</v>
          </cell>
          <cell r="B28" t="str">
            <v>PCG</v>
          </cell>
          <cell r="C28" t="str">
            <v>P G &amp; E CORP</v>
          </cell>
          <cell r="D28">
            <v>20031218</v>
          </cell>
          <cell r="E28" t="str">
            <v>EPS</v>
          </cell>
          <cell r="F28" t="str">
            <v>LTG</v>
          </cell>
          <cell r="G28">
            <v>0</v>
          </cell>
          <cell r="H28">
            <v>7</v>
          </cell>
          <cell r="I28">
            <v>5</v>
          </cell>
          <cell r="J28">
            <v>5.86</v>
          </cell>
          <cell r="K28">
            <v>2.04</v>
          </cell>
          <cell r="L28">
            <v>1</v>
          </cell>
        </row>
        <row r="29">
          <cell r="A29" t="str">
            <v>EXC</v>
          </cell>
          <cell r="B29" t="str">
            <v>PE</v>
          </cell>
          <cell r="C29" t="str">
            <v>EXELON CORP</v>
          </cell>
          <cell r="D29">
            <v>20031218</v>
          </cell>
          <cell r="E29" t="str">
            <v>EPS</v>
          </cell>
          <cell r="F29" t="str">
            <v>LTG</v>
          </cell>
          <cell r="G29">
            <v>0</v>
          </cell>
          <cell r="H29">
            <v>15</v>
          </cell>
          <cell r="I29">
            <v>5</v>
          </cell>
          <cell r="J29">
            <v>5.21</v>
          </cell>
          <cell r="K29">
            <v>1.3</v>
          </cell>
          <cell r="L29">
            <v>1</v>
          </cell>
        </row>
        <row r="30">
          <cell r="A30" t="str">
            <v>PEG</v>
          </cell>
          <cell r="B30" t="str">
            <v>PEG</v>
          </cell>
          <cell r="C30" t="str">
            <v>PUB SVC ENTERS</v>
          </cell>
          <cell r="D30">
            <v>20031218</v>
          </cell>
          <cell r="E30" t="str">
            <v>EPS</v>
          </cell>
          <cell r="F30" t="str">
            <v>LTG</v>
          </cell>
          <cell r="G30">
            <v>0</v>
          </cell>
          <cell r="H30">
            <v>11</v>
          </cell>
          <cell r="I30">
            <v>4</v>
          </cell>
          <cell r="J30">
            <v>4</v>
          </cell>
          <cell r="K30">
            <v>1.26</v>
          </cell>
          <cell r="L30">
            <v>1</v>
          </cell>
        </row>
        <row r="31">
          <cell r="A31" t="str">
            <v>PNM</v>
          </cell>
          <cell r="B31" t="str">
            <v>PNM</v>
          </cell>
          <cell r="C31" t="str">
            <v>PNM RESOURCES</v>
          </cell>
          <cell r="D31">
            <v>20031218</v>
          </cell>
          <cell r="E31" t="str">
            <v>EPS</v>
          </cell>
          <cell r="F31" t="str">
            <v>LTG</v>
          </cell>
          <cell r="G31">
            <v>0</v>
          </cell>
          <cell r="H31">
            <v>1</v>
          </cell>
          <cell r="I31">
            <v>5</v>
          </cell>
          <cell r="J31">
            <v>5</v>
          </cell>
          <cell r="L31">
            <v>1</v>
          </cell>
        </row>
        <row r="32">
          <cell r="A32" t="str">
            <v>POM</v>
          </cell>
          <cell r="B32" t="str">
            <v>POM</v>
          </cell>
          <cell r="C32" t="str">
            <v>PEPCO HOLDINGS</v>
          </cell>
          <cell r="D32">
            <v>20031218</v>
          </cell>
          <cell r="E32" t="str">
            <v>EPS</v>
          </cell>
          <cell r="F32" t="str">
            <v>LTG</v>
          </cell>
          <cell r="G32">
            <v>0</v>
          </cell>
          <cell r="H32">
            <v>6</v>
          </cell>
          <cell r="I32">
            <v>3</v>
          </cell>
          <cell r="J32">
            <v>3.17</v>
          </cell>
          <cell r="K32">
            <v>0.75</v>
          </cell>
          <cell r="L32">
            <v>1</v>
          </cell>
        </row>
        <row r="33">
          <cell r="A33" t="str">
            <v>PPL</v>
          </cell>
          <cell r="B33" t="str">
            <v>PPL</v>
          </cell>
          <cell r="C33" t="str">
            <v>PP&amp;L CORP</v>
          </cell>
          <cell r="D33">
            <v>20031218</v>
          </cell>
          <cell r="E33" t="str">
            <v>EPS</v>
          </cell>
          <cell r="F33" t="str">
            <v>LTG</v>
          </cell>
          <cell r="G33">
            <v>0</v>
          </cell>
          <cell r="H33">
            <v>7</v>
          </cell>
          <cell r="I33">
            <v>5</v>
          </cell>
          <cell r="J33">
            <v>4.57</v>
          </cell>
          <cell r="K33">
            <v>0.98</v>
          </cell>
          <cell r="L33">
            <v>1</v>
          </cell>
        </row>
        <row r="34">
          <cell r="A34" t="str">
            <v>PSD</v>
          </cell>
          <cell r="B34" t="str">
            <v>PSD</v>
          </cell>
          <cell r="C34" t="str">
            <v>PUGET ENERGY INC</v>
          </cell>
          <cell r="D34">
            <v>20031218</v>
          </cell>
          <cell r="E34" t="str">
            <v>EPS</v>
          </cell>
          <cell r="F34" t="str">
            <v>LTG</v>
          </cell>
          <cell r="G34">
            <v>0</v>
          </cell>
          <cell r="H34">
            <v>4</v>
          </cell>
          <cell r="I34">
            <v>4.5</v>
          </cell>
          <cell r="J34">
            <v>5.25</v>
          </cell>
          <cell r="K34">
            <v>1.89</v>
          </cell>
          <cell r="L34">
            <v>1</v>
          </cell>
        </row>
        <row r="35">
          <cell r="A35" t="str">
            <v>EIX</v>
          </cell>
          <cell r="B35" t="str">
            <v>SCE</v>
          </cell>
          <cell r="C35" t="str">
            <v>EDISON INTL</v>
          </cell>
          <cell r="D35">
            <v>20031218</v>
          </cell>
          <cell r="E35" t="str">
            <v>EPS</v>
          </cell>
          <cell r="F35" t="str">
            <v>LTG</v>
          </cell>
          <cell r="G35">
            <v>0</v>
          </cell>
          <cell r="H35">
            <v>4</v>
          </cell>
          <cell r="I35">
            <v>4</v>
          </cell>
          <cell r="J35">
            <v>3.5</v>
          </cell>
          <cell r="K35">
            <v>2.65</v>
          </cell>
          <cell r="L35">
            <v>1</v>
          </cell>
        </row>
        <row r="36">
          <cell r="A36" t="str">
            <v>SCG</v>
          </cell>
          <cell r="B36" t="str">
            <v>SCG</v>
          </cell>
          <cell r="C36" t="str">
            <v>SCANA CP</v>
          </cell>
          <cell r="D36">
            <v>20031218</v>
          </cell>
          <cell r="E36" t="str">
            <v>EPS</v>
          </cell>
          <cell r="F36" t="str">
            <v>LTG</v>
          </cell>
          <cell r="G36">
            <v>0</v>
          </cell>
          <cell r="H36">
            <v>7</v>
          </cell>
          <cell r="I36">
            <v>4</v>
          </cell>
          <cell r="J36">
            <v>4.1399999999999997</v>
          </cell>
          <cell r="K36">
            <v>1.07</v>
          </cell>
          <cell r="L36">
            <v>1</v>
          </cell>
        </row>
        <row r="37">
          <cell r="A37" t="str">
            <v>SRE</v>
          </cell>
          <cell r="B37" t="str">
            <v>SDO</v>
          </cell>
          <cell r="C37" t="str">
            <v>SEMPRA ENERGY</v>
          </cell>
          <cell r="D37">
            <v>20031218</v>
          </cell>
          <cell r="E37" t="str">
            <v>EPS</v>
          </cell>
          <cell r="F37" t="str">
            <v>LTG</v>
          </cell>
          <cell r="G37">
            <v>0</v>
          </cell>
          <cell r="H37">
            <v>9</v>
          </cell>
          <cell r="I37">
            <v>6.5</v>
          </cell>
          <cell r="J37">
            <v>5.5</v>
          </cell>
          <cell r="K37">
            <v>3.18</v>
          </cell>
          <cell r="L37">
            <v>1</v>
          </cell>
        </row>
        <row r="38">
          <cell r="A38" t="str">
            <v>VVC</v>
          </cell>
          <cell r="B38" t="str">
            <v>SIG</v>
          </cell>
          <cell r="C38" t="str">
            <v>VECTREN CORP</v>
          </cell>
          <cell r="D38">
            <v>20031218</v>
          </cell>
          <cell r="E38" t="str">
            <v>EPS</v>
          </cell>
          <cell r="F38" t="str">
            <v>LTG</v>
          </cell>
          <cell r="G38">
            <v>0</v>
          </cell>
          <cell r="H38">
            <v>4</v>
          </cell>
          <cell r="I38">
            <v>7.5</v>
          </cell>
          <cell r="J38">
            <v>6.83</v>
          </cell>
          <cell r="K38">
            <v>1.96</v>
          </cell>
          <cell r="L38">
            <v>1</v>
          </cell>
        </row>
        <row r="39">
          <cell r="A39" t="str">
            <v>SO</v>
          </cell>
          <cell r="B39" t="str">
            <v>SO</v>
          </cell>
          <cell r="C39" t="str">
            <v>SOUTHN CO</v>
          </cell>
          <cell r="D39">
            <v>20031218</v>
          </cell>
          <cell r="E39" t="str">
            <v>EPS</v>
          </cell>
          <cell r="F39" t="str">
            <v>LTG</v>
          </cell>
          <cell r="G39">
            <v>0</v>
          </cell>
          <cell r="H39">
            <v>16</v>
          </cell>
          <cell r="I39">
            <v>5</v>
          </cell>
          <cell r="J39">
            <v>4.4400000000000004</v>
          </cell>
          <cell r="K39">
            <v>1.8</v>
          </cell>
          <cell r="L39">
            <v>1</v>
          </cell>
        </row>
        <row r="40">
          <cell r="A40" t="str">
            <v>TE</v>
          </cell>
          <cell r="B40" t="str">
            <v>TE</v>
          </cell>
          <cell r="C40" t="str">
            <v>TECO ENERGY INC</v>
          </cell>
          <cell r="D40">
            <v>20031218</v>
          </cell>
          <cell r="E40" t="str">
            <v>EPS</v>
          </cell>
          <cell r="F40" t="str">
            <v>LTG</v>
          </cell>
          <cell r="G40">
            <v>0</v>
          </cell>
          <cell r="H40">
            <v>4</v>
          </cell>
          <cell r="I40">
            <v>4</v>
          </cell>
          <cell r="J40">
            <v>3.5</v>
          </cell>
          <cell r="K40">
            <v>2.65</v>
          </cell>
          <cell r="L40">
            <v>1</v>
          </cell>
        </row>
        <row r="41">
          <cell r="A41" t="str">
            <v>AEE</v>
          </cell>
          <cell r="B41" t="str">
            <v>UEP</v>
          </cell>
          <cell r="C41" t="str">
            <v>AMEREN CP</v>
          </cell>
          <cell r="D41">
            <v>20031218</v>
          </cell>
          <cell r="E41" t="str">
            <v>EPS</v>
          </cell>
          <cell r="F41" t="str">
            <v>LTG</v>
          </cell>
          <cell r="G41">
            <v>0</v>
          </cell>
          <cell r="H41">
            <v>8</v>
          </cell>
          <cell r="I41">
            <v>3</v>
          </cell>
          <cell r="J41">
            <v>2.88</v>
          </cell>
          <cell r="K41">
            <v>1.73</v>
          </cell>
          <cell r="L41">
            <v>1</v>
          </cell>
        </row>
        <row r="42">
          <cell r="A42" t="str">
            <v>UIL</v>
          </cell>
          <cell r="B42" t="str">
            <v>UIL</v>
          </cell>
          <cell r="C42" t="str">
            <v>UIL HOLDING CORP</v>
          </cell>
          <cell r="D42">
            <v>20031218</v>
          </cell>
          <cell r="E42" t="str">
            <v>EPS</v>
          </cell>
          <cell r="F42" t="str">
            <v>LTG</v>
          </cell>
          <cell r="G42">
            <v>0</v>
          </cell>
          <cell r="H42">
            <v>1</v>
          </cell>
          <cell r="I42">
            <v>1</v>
          </cell>
          <cell r="J42">
            <v>1</v>
          </cell>
          <cell r="L42">
            <v>1</v>
          </cell>
        </row>
        <row r="43">
          <cell r="A43" t="str">
            <v>WEC</v>
          </cell>
          <cell r="B43" t="str">
            <v>WPC</v>
          </cell>
          <cell r="C43" t="str">
            <v>WISCONSIN ENERGY</v>
          </cell>
          <cell r="D43">
            <v>20031218</v>
          </cell>
          <cell r="E43" t="str">
            <v>EPS</v>
          </cell>
          <cell r="F43" t="str">
            <v>LTG</v>
          </cell>
          <cell r="G43">
            <v>0</v>
          </cell>
          <cell r="H43">
            <v>8</v>
          </cell>
          <cell r="I43">
            <v>7</v>
          </cell>
          <cell r="J43">
            <v>6.5</v>
          </cell>
          <cell r="K43">
            <v>1.31</v>
          </cell>
          <cell r="L43">
            <v>1</v>
          </cell>
        </row>
        <row r="44">
          <cell r="A44" t="str">
            <v>LNT</v>
          </cell>
          <cell r="B44" t="str">
            <v>WPL</v>
          </cell>
          <cell r="C44" t="str">
            <v>ALLIANT ENER</v>
          </cell>
          <cell r="D44">
            <v>20031218</v>
          </cell>
          <cell r="E44" t="str">
            <v>EPS</v>
          </cell>
          <cell r="F44" t="str">
            <v>LTG</v>
          </cell>
          <cell r="G44">
            <v>0</v>
          </cell>
          <cell r="H44">
            <v>3</v>
          </cell>
          <cell r="I44">
            <v>3</v>
          </cell>
          <cell r="J44">
            <v>3.67</v>
          </cell>
          <cell r="K44">
            <v>1.1499999999999999</v>
          </cell>
          <cell r="L44">
            <v>1</v>
          </cell>
        </row>
        <row r="45">
          <cell r="A45" t="str">
            <v>WPS</v>
          </cell>
          <cell r="B45" t="str">
            <v>WPS</v>
          </cell>
          <cell r="C45" t="str">
            <v>WPS RESOURCES CP</v>
          </cell>
          <cell r="D45">
            <v>20031218</v>
          </cell>
          <cell r="E45" t="str">
            <v>EPS</v>
          </cell>
          <cell r="F45" t="str">
            <v>LTG</v>
          </cell>
          <cell r="G45">
            <v>0</v>
          </cell>
          <cell r="H45">
            <v>3</v>
          </cell>
          <cell r="I45">
            <v>4</v>
          </cell>
          <cell r="J45">
            <v>4</v>
          </cell>
          <cell r="K45">
            <v>0</v>
          </cell>
          <cell r="L45">
            <v>1</v>
          </cell>
        </row>
        <row r="46">
          <cell r="A46" t="str">
            <v>AVA</v>
          </cell>
          <cell r="B46" t="str">
            <v>WWP</v>
          </cell>
          <cell r="C46" t="str">
            <v>AVISTA CORP</v>
          </cell>
          <cell r="D46">
            <v>20031218</v>
          </cell>
          <cell r="E46" t="str">
            <v>EPS</v>
          </cell>
          <cell r="F46" t="str">
            <v>LTG</v>
          </cell>
          <cell r="G46">
            <v>0</v>
          </cell>
          <cell r="H46">
            <v>3</v>
          </cell>
          <cell r="I46">
            <v>4</v>
          </cell>
          <cell r="J46">
            <v>4.33</v>
          </cell>
          <cell r="K46">
            <v>0.57999999999999996</v>
          </cell>
          <cell r="L46">
            <v>1</v>
          </cell>
        </row>
        <row r="47">
          <cell r="A47" t="str">
            <v>CNP</v>
          </cell>
          <cell r="B47" t="str">
            <v>@CN0</v>
          </cell>
          <cell r="C47" t="str">
            <v>CNP ASSURANCES</v>
          </cell>
          <cell r="D47">
            <v>20031218</v>
          </cell>
          <cell r="E47" t="str">
            <v>EPS</v>
          </cell>
          <cell r="F47" t="str">
            <v>LTG</v>
          </cell>
          <cell r="G47">
            <v>0</v>
          </cell>
          <cell r="H47">
            <v>5</v>
          </cell>
          <cell r="I47">
            <v>6</v>
          </cell>
          <cell r="J47">
            <v>7.13</v>
          </cell>
          <cell r="K47">
            <v>4.1399999999999997</v>
          </cell>
          <cell r="L47">
            <v>0</v>
          </cell>
        </row>
        <row r="48">
          <cell r="A48" t="str">
            <v>DTE</v>
          </cell>
          <cell r="B48" t="str">
            <v>@DT</v>
          </cell>
          <cell r="C48" t="str">
            <v>DEUTSCHE TELEKOM</v>
          </cell>
          <cell r="D48">
            <v>20031218</v>
          </cell>
          <cell r="E48" t="str">
            <v>EPS</v>
          </cell>
          <cell r="F48" t="str">
            <v>LTG</v>
          </cell>
          <cell r="G48">
            <v>0</v>
          </cell>
          <cell r="H48">
            <v>7</v>
          </cell>
          <cell r="I48">
            <v>21</v>
          </cell>
          <cell r="J48">
            <v>15.59</v>
          </cell>
          <cell r="K48">
            <v>10.93</v>
          </cell>
          <cell r="L48">
            <v>0</v>
          </cell>
        </row>
        <row r="49">
          <cell r="A49" t="str">
            <v>NST</v>
          </cell>
          <cell r="B49" t="str">
            <v>@NST</v>
          </cell>
          <cell r="C49" t="str">
            <v>NEW STRAITS TIME</v>
          </cell>
          <cell r="D49">
            <v>20031218</v>
          </cell>
          <cell r="E49" t="str">
            <v>EPS</v>
          </cell>
          <cell r="F49" t="str">
            <v>LTG</v>
          </cell>
          <cell r="G49">
            <v>0</v>
          </cell>
          <cell r="H49">
            <v>1</v>
          </cell>
          <cell r="I49">
            <v>5</v>
          </cell>
          <cell r="J49">
            <v>5</v>
          </cell>
          <cell r="L49">
            <v>0</v>
          </cell>
        </row>
        <row r="50">
          <cell r="A50" t="str">
            <v>POM</v>
          </cell>
          <cell r="B50" t="str">
            <v>@PO8</v>
          </cell>
          <cell r="C50" t="str">
            <v>PLASTIC OMNIUM</v>
          </cell>
          <cell r="D50">
            <v>20031218</v>
          </cell>
          <cell r="E50" t="str">
            <v>EPS</v>
          </cell>
          <cell r="F50" t="str">
            <v>LTG</v>
          </cell>
          <cell r="G50">
            <v>0</v>
          </cell>
          <cell r="H50">
            <v>3</v>
          </cell>
          <cell r="I50">
            <v>3</v>
          </cell>
          <cell r="J50">
            <v>3.02</v>
          </cell>
          <cell r="K50">
            <v>2.78</v>
          </cell>
          <cell r="L50">
            <v>0</v>
          </cell>
        </row>
      </sheetData>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eprf1wuovha0ksv"/>
    </sheetNames>
    <sheetDataSet>
      <sheetData sheetId="0">
        <row r="1">
          <cell r="B1" t="str">
            <v>Official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Forecast Period End Date (SAS Format)</v>
          </cell>
          <cell r="M1" t="str">
            <v>Actual Value, from the Detail Actuals File</v>
          </cell>
          <cell r="N1" t="str">
            <v>Announce date of the Actual, from the Detail Actuals File</v>
          </cell>
        </row>
        <row r="2">
          <cell r="B2" t="str">
            <v>ATG</v>
          </cell>
          <cell r="C2" t="str">
            <v>AGL RESOURCES</v>
          </cell>
          <cell r="D2">
            <v>37973</v>
          </cell>
          <cell r="E2" t="str">
            <v>EPS</v>
          </cell>
          <cell r="F2" t="str">
            <v>ANN</v>
          </cell>
          <cell r="G2" t="str">
            <v>1</v>
          </cell>
          <cell r="H2">
            <v>8</v>
          </cell>
          <cell r="I2">
            <v>1.95</v>
          </cell>
          <cell r="J2">
            <v>1.94</v>
          </cell>
          <cell r="K2">
            <v>0.04</v>
          </cell>
          <cell r="L2">
            <v>37986</v>
          </cell>
          <cell r="M2">
            <v>2.08</v>
          </cell>
          <cell r="N2">
            <v>38014</v>
          </cell>
        </row>
        <row r="3">
          <cell r="B3" t="str">
            <v>CGC</v>
          </cell>
          <cell r="C3" t="str">
            <v>CASCADE NAT GAS</v>
          </cell>
          <cell r="D3">
            <v>37973</v>
          </cell>
          <cell r="E3" t="str">
            <v>EPS</v>
          </cell>
          <cell r="F3" t="str">
            <v>ANN</v>
          </cell>
          <cell r="G3" t="str">
            <v>1</v>
          </cell>
          <cell r="H3">
            <v>2</v>
          </cell>
          <cell r="I3">
            <v>1.35</v>
          </cell>
          <cell r="J3">
            <v>1.35</v>
          </cell>
          <cell r="K3">
            <v>0</v>
          </cell>
          <cell r="L3">
            <v>38260</v>
          </cell>
          <cell r="M3">
            <v>1.19</v>
          </cell>
          <cell r="N3">
            <v>38301</v>
          </cell>
        </row>
        <row r="4">
          <cell r="B4" t="str">
            <v>CPK</v>
          </cell>
          <cell r="C4" t="str">
            <v>CHESAPEAKE UTIL</v>
          </cell>
          <cell r="D4">
            <v>37973</v>
          </cell>
          <cell r="E4" t="str">
            <v>EPS</v>
          </cell>
          <cell r="F4" t="str">
            <v>ANN</v>
          </cell>
          <cell r="G4" t="str">
            <v>1</v>
          </cell>
          <cell r="H4">
            <v>1</v>
          </cell>
          <cell r="I4">
            <v>0.97</v>
          </cell>
          <cell r="J4">
            <v>0.97</v>
          </cell>
          <cell r="L4">
            <v>37986</v>
          </cell>
          <cell r="M4">
            <v>1.2067000000000001</v>
          </cell>
          <cell r="N4">
            <v>38054</v>
          </cell>
        </row>
        <row r="5">
          <cell r="B5" t="str">
            <v>ATO</v>
          </cell>
          <cell r="C5" t="str">
            <v>ATMOS ENERGY CP</v>
          </cell>
          <cell r="D5">
            <v>37973</v>
          </cell>
          <cell r="E5" t="str">
            <v>EPS</v>
          </cell>
          <cell r="F5" t="str">
            <v>ANN</v>
          </cell>
          <cell r="G5" t="str">
            <v>1</v>
          </cell>
          <cell r="H5">
            <v>8</v>
          </cell>
          <cell r="I5">
            <v>1.55</v>
          </cell>
          <cell r="J5">
            <v>1.57</v>
          </cell>
          <cell r="K5">
            <v>0.03</v>
          </cell>
          <cell r="L5">
            <v>38260</v>
          </cell>
          <cell r="M5">
            <v>1.67</v>
          </cell>
          <cell r="N5">
            <v>38300</v>
          </cell>
        </row>
        <row r="6">
          <cell r="B6" t="str">
            <v>GAS</v>
          </cell>
          <cell r="C6" t="str">
            <v>NICOR INC</v>
          </cell>
          <cell r="D6">
            <v>37973</v>
          </cell>
          <cell r="E6" t="str">
            <v>EPS</v>
          </cell>
          <cell r="F6" t="str">
            <v>ANN</v>
          </cell>
          <cell r="G6" t="str">
            <v>1</v>
          </cell>
          <cell r="H6">
            <v>8</v>
          </cell>
          <cell r="I6">
            <v>2.1</v>
          </cell>
          <cell r="J6">
            <v>2.14</v>
          </cell>
          <cell r="K6">
            <v>0.15</v>
          </cell>
          <cell r="L6">
            <v>37986</v>
          </cell>
          <cell r="M6">
            <v>1.99</v>
          </cell>
          <cell r="N6">
            <v>38026</v>
          </cell>
        </row>
        <row r="7">
          <cell r="B7" t="str">
            <v>LG</v>
          </cell>
          <cell r="C7" t="str">
            <v>LACLEDE GROUP</v>
          </cell>
          <cell r="D7">
            <v>37973</v>
          </cell>
          <cell r="E7" t="str">
            <v>EPS</v>
          </cell>
          <cell r="F7" t="str">
            <v>ANN</v>
          </cell>
          <cell r="G7" t="str">
            <v>1</v>
          </cell>
          <cell r="H7">
            <v>2</v>
          </cell>
          <cell r="I7">
            <v>1.72</v>
          </cell>
          <cell r="J7">
            <v>1.72</v>
          </cell>
          <cell r="K7">
            <v>0.02</v>
          </cell>
          <cell r="L7">
            <v>38260</v>
          </cell>
          <cell r="M7">
            <v>1.9</v>
          </cell>
          <cell r="N7">
            <v>38288</v>
          </cell>
        </row>
        <row r="8">
          <cell r="B8" t="str">
            <v>KSE</v>
          </cell>
          <cell r="C8" t="str">
            <v>KEYSPAN CP</v>
          </cell>
          <cell r="D8">
            <v>37973</v>
          </cell>
          <cell r="E8" t="str">
            <v>EPS</v>
          </cell>
          <cell r="F8" t="str">
            <v>ANN</v>
          </cell>
          <cell r="G8" t="str">
            <v>1</v>
          </cell>
          <cell r="H8">
            <v>12</v>
          </cell>
          <cell r="I8">
            <v>2.5499999999999998</v>
          </cell>
          <cell r="J8">
            <v>2.54</v>
          </cell>
          <cell r="K8">
            <v>0.04</v>
          </cell>
          <cell r="L8">
            <v>37986</v>
          </cell>
          <cell r="M8">
            <v>2.7</v>
          </cell>
          <cell r="N8">
            <v>38022</v>
          </cell>
        </row>
        <row r="9">
          <cell r="B9" t="str">
            <v>NI</v>
          </cell>
          <cell r="C9" t="str">
            <v>NISOURCE INC</v>
          </cell>
          <cell r="D9">
            <v>37973</v>
          </cell>
          <cell r="E9" t="str">
            <v>EPS</v>
          </cell>
          <cell r="F9" t="str">
            <v>ANN</v>
          </cell>
          <cell r="G9" t="str">
            <v>1</v>
          </cell>
          <cell r="H9">
            <v>12</v>
          </cell>
          <cell r="I9">
            <v>1.65</v>
          </cell>
          <cell r="J9">
            <v>1.64</v>
          </cell>
          <cell r="K9">
            <v>0.03</v>
          </cell>
          <cell r="L9">
            <v>37986</v>
          </cell>
          <cell r="M9">
            <v>1.61</v>
          </cell>
          <cell r="N9">
            <v>38016</v>
          </cell>
        </row>
        <row r="10">
          <cell r="B10" t="str">
            <v>NJR</v>
          </cell>
          <cell r="C10" t="str">
            <v>NEW JERSEY RES</v>
          </cell>
          <cell r="D10">
            <v>37973</v>
          </cell>
          <cell r="E10" t="str">
            <v>EPS</v>
          </cell>
          <cell r="F10" t="str">
            <v>ANN</v>
          </cell>
          <cell r="G10" t="str">
            <v>1</v>
          </cell>
          <cell r="H10">
            <v>5</v>
          </cell>
          <cell r="I10">
            <v>0.81</v>
          </cell>
          <cell r="J10">
            <v>0.81</v>
          </cell>
          <cell r="K10">
            <v>0.02</v>
          </cell>
          <cell r="L10">
            <v>38260</v>
          </cell>
          <cell r="M10">
            <v>0.85</v>
          </cell>
          <cell r="N10">
            <v>38287</v>
          </cell>
        </row>
        <row r="11">
          <cell r="B11" t="str">
            <v>NWN</v>
          </cell>
          <cell r="C11" t="str">
            <v>NW NATURAL GAS</v>
          </cell>
          <cell r="D11">
            <v>37973</v>
          </cell>
          <cell r="E11" t="str">
            <v>EPS</v>
          </cell>
          <cell r="F11" t="str">
            <v>ANN</v>
          </cell>
          <cell r="G11" t="str">
            <v>1</v>
          </cell>
          <cell r="H11">
            <v>4</v>
          </cell>
          <cell r="I11">
            <v>1.75</v>
          </cell>
          <cell r="J11">
            <v>1.76</v>
          </cell>
          <cell r="K11">
            <v>0.03</v>
          </cell>
          <cell r="L11">
            <v>37986</v>
          </cell>
          <cell r="M11">
            <v>1.76</v>
          </cell>
          <cell r="N11">
            <v>38015</v>
          </cell>
        </row>
        <row r="12">
          <cell r="B12" t="str">
            <v>PNY</v>
          </cell>
          <cell r="C12" t="str">
            <v>PIEDMONT NAT GAS</v>
          </cell>
          <cell r="D12">
            <v>37973</v>
          </cell>
          <cell r="E12" t="str">
            <v>EPS</v>
          </cell>
          <cell r="F12" t="str">
            <v>ANN</v>
          </cell>
          <cell r="G12" t="str">
            <v>1</v>
          </cell>
          <cell r="H12">
            <v>5</v>
          </cell>
          <cell r="I12">
            <v>1.1599999999999999</v>
          </cell>
          <cell r="J12">
            <v>1.1599999999999999</v>
          </cell>
          <cell r="K12">
            <v>0.05</v>
          </cell>
          <cell r="L12">
            <v>38291</v>
          </cell>
          <cell r="M12">
            <v>1.3</v>
          </cell>
          <cell r="N12">
            <v>38331</v>
          </cell>
        </row>
        <row r="13">
          <cell r="B13" t="str">
            <v>SJI</v>
          </cell>
          <cell r="C13" t="str">
            <v>SO JERSEY INDS</v>
          </cell>
          <cell r="D13">
            <v>37973</v>
          </cell>
          <cell r="E13" t="str">
            <v>EPS</v>
          </cell>
          <cell r="F13" t="str">
            <v>ANN</v>
          </cell>
          <cell r="G13" t="str">
            <v>1</v>
          </cell>
          <cell r="H13">
            <v>1</v>
          </cell>
          <cell r="I13">
            <v>0.66</v>
          </cell>
          <cell r="J13">
            <v>0.66</v>
          </cell>
          <cell r="L13">
            <v>37986</v>
          </cell>
          <cell r="M13">
            <v>0.6825</v>
          </cell>
          <cell r="N13">
            <v>38015</v>
          </cell>
        </row>
        <row r="14">
          <cell r="B14" t="str">
            <v>SWX</v>
          </cell>
          <cell r="C14" t="str">
            <v>SOUTHWEST GAS</v>
          </cell>
          <cell r="D14">
            <v>37973</v>
          </cell>
          <cell r="E14" t="str">
            <v>EPS</v>
          </cell>
          <cell r="F14" t="str">
            <v>ANN</v>
          </cell>
          <cell r="G14" t="str">
            <v>1</v>
          </cell>
          <cell r="H14">
            <v>4</v>
          </cell>
          <cell r="I14">
            <v>1.1499999999999999</v>
          </cell>
          <cell r="J14">
            <v>1.1599999999999999</v>
          </cell>
          <cell r="K14">
            <v>7.0000000000000007E-2</v>
          </cell>
          <cell r="L14">
            <v>37986</v>
          </cell>
          <cell r="M14">
            <v>1.1299999999999999</v>
          </cell>
          <cell r="N14">
            <v>38034</v>
          </cell>
        </row>
        <row r="15">
          <cell r="B15" t="str">
            <v>WGL</v>
          </cell>
          <cell r="C15" t="str">
            <v>WGL HOLDING INC</v>
          </cell>
          <cell r="D15">
            <v>37973</v>
          </cell>
          <cell r="E15" t="str">
            <v>EPS</v>
          </cell>
          <cell r="F15" t="str">
            <v>ANN</v>
          </cell>
          <cell r="G15" t="str">
            <v>1</v>
          </cell>
          <cell r="H15">
            <v>8</v>
          </cell>
          <cell r="I15">
            <v>1.71</v>
          </cell>
          <cell r="J15">
            <v>1.71</v>
          </cell>
          <cell r="K15">
            <v>0.05</v>
          </cell>
          <cell r="L15">
            <v>38260</v>
          </cell>
          <cell r="M15">
            <v>1.84</v>
          </cell>
          <cell r="N15">
            <v>38295</v>
          </cell>
        </row>
      </sheetData>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vrtdfhzifwncoli"/>
    </sheetNames>
    <sheetDataSet>
      <sheetData sheetId="0">
        <row r="1">
          <cell r="B1" t="str">
            <v>Official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Forecast Period End Date (SAS Format)</v>
          </cell>
          <cell r="M1" t="str">
            <v>Actual Value, from the Detail Actuals File</v>
          </cell>
          <cell r="N1" t="str">
            <v>Announce date of the Actual, from the Detail Actuals File</v>
          </cell>
        </row>
        <row r="2">
          <cell r="B2" t="str">
            <v>ATG</v>
          </cell>
          <cell r="C2" t="str">
            <v>AGL RESOURCES</v>
          </cell>
          <cell r="D2">
            <v>37973</v>
          </cell>
          <cell r="E2" t="str">
            <v>EPS</v>
          </cell>
          <cell r="F2" t="str">
            <v>LTG</v>
          </cell>
          <cell r="G2" t="str">
            <v>0</v>
          </cell>
          <cell r="H2">
            <v>7</v>
          </cell>
          <cell r="I2">
            <v>5</v>
          </cell>
          <cell r="J2">
            <v>4.71</v>
          </cell>
          <cell r="K2">
            <v>1.38</v>
          </cell>
        </row>
        <row r="3">
          <cell r="B3" t="str">
            <v>CGC</v>
          </cell>
          <cell r="C3" t="str">
            <v>CASCADE NAT GAS</v>
          </cell>
          <cell r="D3">
            <v>37973</v>
          </cell>
          <cell r="E3" t="str">
            <v>EPS</v>
          </cell>
          <cell r="F3" t="str">
            <v>LTG</v>
          </cell>
          <cell r="G3" t="str">
            <v>0</v>
          </cell>
          <cell r="H3">
            <v>2</v>
          </cell>
          <cell r="I3">
            <v>4</v>
          </cell>
          <cell r="J3">
            <v>4</v>
          </cell>
          <cell r="K3">
            <v>0</v>
          </cell>
        </row>
        <row r="4">
          <cell r="B4" t="str">
            <v>CPK</v>
          </cell>
          <cell r="C4" t="str">
            <v>CHESAPEAKE UTIL</v>
          </cell>
          <cell r="D4">
            <v>37973</v>
          </cell>
          <cell r="E4" t="str">
            <v>EPS</v>
          </cell>
          <cell r="F4" t="str">
            <v>LTG</v>
          </cell>
          <cell r="G4" t="str">
            <v>0</v>
          </cell>
          <cell r="H4">
            <v>1</v>
          </cell>
          <cell r="I4">
            <v>3</v>
          </cell>
          <cell r="J4">
            <v>3</v>
          </cell>
        </row>
        <row r="5">
          <cell r="B5" t="str">
            <v>ATO</v>
          </cell>
          <cell r="C5" t="str">
            <v>ATMOS ENERGY CP</v>
          </cell>
          <cell r="D5">
            <v>37973</v>
          </cell>
          <cell r="E5" t="str">
            <v>EPS</v>
          </cell>
          <cell r="F5" t="str">
            <v>LTG</v>
          </cell>
          <cell r="G5" t="str">
            <v>0</v>
          </cell>
          <cell r="H5">
            <v>6</v>
          </cell>
          <cell r="I5">
            <v>5</v>
          </cell>
          <cell r="J5">
            <v>5.67</v>
          </cell>
          <cell r="K5">
            <v>2.34</v>
          </cell>
        </row>
        <row r="6">
          <cell r="B6" t="str">
            <v>GAS</v>
          </cell>
          <cell r="C6" t="str">
            <v>NICOR INC</v>
          </cell>
          <cell r="D6">
            <v>37973</v>
          </cell>
          <cell r="E6" t="str">
            <v>EPS</v>
          </cell>
          <cell r="F6" t="str">
            <v>LTG</v>
          </cell>
          <cell r="G6" t="str">
            <v>0</v>
          </cell>
          <cell r="H6">
            <v>7</v>
          </cell>
          <cell r="I6">
            <v>4</v>
          </cell>
          <cell r="J6">
            <v>3.86</v>
          </cell>
          <cell r="K6">
            <v>1.35</v>
          </cell>
        </row>
        <row r="7">
          <cell r="B7" t="str">
            <v>LG</v>
          </cell>
          <cell r="C7" t="str">
            <v>LACLEDE GROUP</v>
          </cell>
          <cell r="D7">
            <v>37973</v>
          </cell>
          <cell r="E7" t="str">
            <v>EPS</v>
          </cell>
          <cell r="F7" t="str">
            <v>LTG</v>
          </cell>
          <cell r="G7" t="str">
            <v>0</v>
          </cell>
          <cell r="H7">
            <v>2</v>
          </cell>
          <cell r="I7">
            <v>4</v>
          </cell>
          <cell r="J7">
            <v>4</v>
          </cell>
          <cell r="K7">
            <v>1.41</v>
          </cell>
        </row>
        <row r="8">
          <cell r="B8" t="str">
            <v>KSE</v>
          </cell>
          <cell r="C8" t="str">
            <v>KEYSPAN CP</v>
          </cell>
          <cell r="D8">
            <v>37973</v>
          </cell>
          <cell r="E8" t="str">
            <v>EPS</v>
          </cell>
          <cell r="F8" t="str">
            <v>LTG</v>
          </cell>
          <cell r="G8" t="str">
            <v>0</v>
          </cell>
          <cell r="H8">
            <v>8</v>
          </cell>
          <cell r="I8">
            <v>6</v>
          </cell>
          <cell r="J8">
            <v>5.88</v>
          </cell>
          <cell r="K8">
            <v>1.25</v>
          </cell>
        </row>
        <row r="9">
          <cell r="B9" t="str">
            <v>NI</v>
          </cell>
          <cell r="C9" t="str">
            <v>NISOURCE INC</v>
          </cell>
          <cell r="D9">
            <v>37973</v>
          </cell>
          <cell r="E9" t="str">
            <v>EPS</v>
          </cell>
          <cell r="F9" t="str">
            <v>LTG</v>
          </cell>
          <cell r="G9" t="str">
            <v>0</v>
          </cell>
          <cell r="H9">
            <v>9</v>
          </cell>
          <cell r="I9">
            <v>4</v>
          </cell>
          <cell r="J9">
            <v>3.89</v>
          </cell>
          <cell r="K9">
            <v>1.27</v>
          </cell>
        </row>
        <row r="10">
          <cell r="B10" t="str">
            <v>NJR</v>
          </cell>
          <cell r="C10" t="str">
            <v>NEW JERSEY RES</v>
          </cell>
          <cell r="D10">
            <v>37973</v>
          </cell>
          <cell r="E10" t="str">
            <v>EPS</v>
          </cell>
          <cell r="F10" t="str">
            <v>LTG</v>
          </cell>
          <cell r="G10" t="str">
            <v>0</v>
          </cell>
          <cell r="H10">
            <v>4</v>
          </cell>
          <cell r="I10">
            <v>6.5</v>
          </cell>
          <cell r="J10">
            <v>6</v>
          </cell>
          <cell r="K10">
            <v>2.4500000000000002</v>
          </cell>
        </row>
        <row r="11">
          <cell r="B11" t="str">
            <v>NWN</v>
          </cell>
          <cell r="C11" t="str">
            <v>NW NATURAL GAS</v>
          </cell>
          <cell r="D11">
            <v>37973</v>
          </cell>
          <cell r="E11" t="str">
            <v>EPS</v>
          </cell>
          <cell r="F11" t="str">
            <v>LTG</v>
          </cell>
          <cell r="G11" t="str">
            <v>0</v>
          </cell>
          <cell r="H11">
            <v>3</v>
          </cell>
          <cell r="I11">
            <v>4</v>
          </cell>
          <cell r="J11">
            <v>4.17</v>
          </cell>
          <cell r="K11">
            <v>0.76</v>
          </cell>
        </row>
        <row r="12">
          <cell r="B12" t="str">
            <v>PNY</v>
          </cell>
          <cell r="C12" t="str">
            <v>PIEDMONT NAT GAS</v>
          </cell>
          <cell r="D12">
            <v>37973</v>
          </cell>
          <cell r="E12" t="str">
            <v>EPS</v>
          </cell>
          <cell r="F12" t="str">
            <v>LTG</v>
          </cell>
          <cell r="G12" t="str">
            <v>0</v>
          </cell>
          <cell r="H12">
            <v>5</v>
          </cell>
          <cell r="I12">
            <v>5</v>
          </cell>
          <cell r="J12">
            <v>5.2</v>
          </cell>
          <cell r="K12">
            <v>0.84</v>
          </cell>
        </row>
        <row r="13">
          <cell r="B13" t="str">
            <v>SJI</v>
          </cell>
          <cell r="C13" t="str">
            <v>SO JERSEY INDS</v>
          </cell>
          <cell r="D13">
            <v>37973</v>
          </cell>
          <cell r="E13" t="str">
            <v>EPS</v>
          </cell>
          <cell r="F13" t="str">
            <v>LTG</v>
          </cell>
          <cell r="G13" t="str">
            <v>0</v>
          </cell>
          <cell r="H13">
            <v>1</v>
          </cell>
          <cell r="I13">
            <v>5</v>
          </cell>
          <cell r="J13">
            <v>5</v>
          </cell>
        </row>
        <row r="14">
          <cell r="B14" t="str">
            <v>SWX</v>
          </cell>
          <cell r="C14" t="str">
            <v>SOUTHWEST GAS</v>
          </cell>
          <cell r="D14">
            <v>37973</v>
          </cell>
          <cell r="E14" t="str">
            <v>EPS</v>
          </cell>
          <cell r="F14" t="str">
            <v>LTG</v>
          </cell>
          <cell r="G14" t="str">
            <v>0</v>
          </cell>
          <cell r="H14">
            <v>4</v>
          </cell>
          <cell r="I14">
            <v>5.5</v>
          </cell>
          <cell r="J14">
            <v>5.5</v>
          </cell>
          <cell r="K14">
            <v>0.57999999999999996</v>
          </cell>
        </row>
        <row r="15">
          <cell r="B15" t="str">
            <v>WGL</v>
          </cell>
          <cell r="C15" t="str">
            <v>WGL HOLDING INC</v>
          </cell>
          <cell r="D15">
            <v>37973</v>
          </cell>
          <cell r="E15" t="str">
            <v>EPS</v>
          </cell>
          <cell r="F15" t="str">
            <v>LTG</v>
          </cell>
          <cell r="G15" t="str">
            <v>0</v>
          </cell>
          <cell r="H15">
            <v>7</v>
          </cell>
          <cell r="I15">
            <v>4</v>
          </cell>
          <cell r="J15">
            <v>4.1399999999999997</v>
          </cell>
          <cell r="K15">
            <v>0.69</v>
          </cell>
        </row>
      </sheetData>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RDS"/>
    </sheetNames>
    <sheetDataSet>
      <sheetData sheetId="0">
        <row r="1">
          <cell r="A1" t="str">
            <v>OFTIC</v>
          </cell>
          <cell r="B1" t="str">
            <v>IBES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USFIRM=0 if from .INT file and USFIRM=1 if from .US file</v>
          </cell>
          <cell r="L1" t="str">
            <v>Forecast Period End Date (SAS Format)</v>
          </cell>
          <cell r="M1" t="str">
            <v>Actual Value, from the Detail Actuals File</v>
          </cell>
          <cell r="N1" t="str">
            <v>Announce date of the Actual, from the Detail Actuals File</v>
          </cell>
        </row>
        <row r="2">
          <cell r="A2" t="str">
            <v>PNW</v>
          </cell>
          <cell r="B2" t="str">
            <v>AZP</v>
          </cell>
          <cell r="C2" t="str">
            <v>PINNACLE WST CAP</v>
          </cell>
          <cell r="D2">
            <v>20021219</v>
          </cell>
          <cell r="E2" t="str">
            <v>EPS</v>
          </cell>
          <cell r="F2" t="str">
            <v>ANN</v>
          </cell>
          <cell r="G2">
            <v>1</v>
          </cell>
          <cell r="H2">
            <v>9</v>
          </cell>
          <cell r="I2">
            <v>3.45</v>
          </cell>
          <cell r="J2">
            <v>3.45</v>
          </cell>
          <cell r="K2">
            <v>1</v>
          </cell>
          <cell r="L2">
            <v>20021231</v>
          </cell>
          <cell r="M2">
            <v>3.56</v>
          </cell>
          <cell r="N2">
            <v>20030204</v>
          </cell>
        </row>
        <row r="3">
          <cell r="A3" t="str">
            <v>CEG</v>
          </cell>
          <cell r="B3" t="str">
            <v>BGE</v>
          </cell>
          <cell r="C3" t="str">
            <v>CONSTELLATION EN</v>
          </cell>
          <cell r="D3">
            <v>20021219</v>
          </cell>
          <cell r="E3" t="str">
            <v>EPS</v>
          </cell>
          <cell r="F3" t="str">
            <v>ANN</v>
          </cell>
          <cell r="G3">
            <v>1</v>
          </cell>
          <cell r="H3">
            <v>12</v>
          </cell>
          <cell r="I3">
            <v>2.4500000000000002</v>
          </cell>
          <cell r="J3">
            <v>2.4700000000000002</v>
          </cell>
          <cell r="K3">
            <v>1</v>
          </cell>
          <cell r="L3">
            <v>20021231</v>
          </cell>
          <cell r="M3">
            <v>2.52</v>
          </cell>
          <cell r="N3">
            <v>20030131</v>
          </cell>
        </row>
        <row r="4">
          <cell r="A4" t="str">
            <v>BKH</v>
          </cell>
          <cell r="B4" t="str">
            <v>BHP</v>
          </cell>
          <cell r="C4" t="str">
            <v>BLACK HILLS CP</v>
          </cell>
          <cell r="D4">
            <v>20021219</v>
          </cell>
          <cell r="E4" t="str">
            <v>EPS</v>
          </cell>
          <cell r="F4" t="str">
            <v>ANN</v>
          </cell>
          <cell r="G4">
            <v>1</v>
          </cell>
          <cell r="H4">
            <v>3</v>
          </cell>
          <cell r="I4">
            <v>2.2799999999999998</v>
          </cell>
          <cell r="J4">
            <v>2.2799999999999998</v>
          </cell>
          <cell r="K4">
            <v>1</v>
          </cell>
          <cell r="L4">
            <v>20021231</v>
          </cell>
          <cell r="M4">
            <v>2.29</v>
          </cell>
          <cell r="N4">
            <v>20030206</v>
          </cell>
        </row>
        <row r="5">
          <cell r="A5" t="str">
            <v>NST</v>
          </cell>
          <cell r="B5" t="str">
            <v>BSE</v>
          </cell>
          <cell r="C5" t="str">
            <v>NSTAR</v>
          </cell>
          <cell r="D5">
            <v>20021219</v>
          </cell>
          <cell r="E5" t="str">
            <v>EPS</v>
          </cell>
          <cell r="F5" t="str">
            <v>ANN</v>
          </cell>
          <cell r="G5">
            <v>1</v>
          </cell>
          <cell r="H5">
            <v>5</v>
          </cell>
          <cell r="I5">
            <v>1.68</v>
          </cell>
          <cell r="J5">
            <v>1.69</v>
          </cell>
          <cell r="K5">
            <v>1</v>
          </cell>
          <cell r="L5">
            <v>20021231</v>
          </cell>
          <cell r="M5">
            <v>1.6850000000000001</v>
          </cell>
          <cell r="N5">
            <v>20030123</v>
          </cell>
        </row>
        <row r="6">
          <cell r="A6" t="str">
            <v>CIN</v>
          </cell>
          <cell r="B6" t="str">
            <v>CIN</v>
          </cell>
          <cell r="C6" t="str">
            <v>CINERGY CORP</v>
          </cell>
          <cell r="D6">
            <v>20021219</v>
          </cell>
          <cell r="E6" t="str">
            <v>EPS</v>
          </cell>
          <cell r="F6" t="str">
            <v>ANN</v>
          </cell>
          <cell r="G6">
            <v>1</v>
          </cell>
          <cell r="H6">
            <v>12</v>
          </cell>
          <cell r="I6">
            <v>2.5499999999999998</v>
          </cell>
          <cell r="J6">
            <v>2.5499999999999998</v>
          </cell>
          <cell r="K6">
            <v>1</v>
          </cell>
          <cell r="L6">
            <v>20021231</v>
          </cell>
          <cell r="M6">
            <v>2.68</v>
          </cell>
          <cell r="N6">
            <v>20030123</v>
          </cell>
        </row>
        <row r="7">
          <cell r="A7" t="str">
            <v>CMS</v>
          </cell>
          <cell r="B7" t="str">
            <v>CMS</v>
          </cell>
          <cell r="C7" t="str">
            <v>CMS ENERGY CORP</v>
          </cell>
          <cell r="D7">
            <v>20021219</v>
          </cell>
          <cell r="E7" t="str">
            <v>EPS</v>
          </cell>
          <cell r="F7" t="str">
            <v>ANN</v>
          </cell>
          <cell r="G7">
            <v>1</v>
          </cell>
          <cell r="H7">
            <v>13</v>
          </cell>
          <cell r="I7">
            <v>1.5</v>
          </cell>
          <cell r="J7">
            <v>1.52</v>
          </cell>
          <cell r="K7">
            <v>1</v>
          </cell>
          <cell r="L7">
            <v>20021231</v>
          </cell>
          <cell r="M7">
            <v>1.53</v>
          </cell>
          <cell r="N7">
            <v>20030401</v>
          </cell>
        </row>
        <row r="8">
          <cell r="A8" t="str">
            <v>CNL</v>
          </cell>
          <cell r="B8" t="str">
            <v>CNL</v>
          </cell>
          <cell r="C8" t="str">
            <v>CLECO CORP</v>
          </cell>
          <cell r="D8">
            <v>20021219</v>
          </cell>
          <cell r="E8" t="str">
            <v>EPS</v>
          </cell>
          <cell r="F8" t="str">
            <v>ANN</v>
          </cell>
          <cell r="G8">
            <v>1</v>
          </cell>
          <cell r="H8">
            <v>3</v>
          </cell>
          <cell r="I8">
            <v>1.64</v>
          </cell>
          <cell r="J8">
            <v>1.63</v>
          </cell>
          <cell r="K8">
            <v>1</v>
          </cell>
          <cell r="L8">
            <v>20021231</v>
          </cell>
          <cell r="M8">
            <v>1.65</v>
          </cell>
          <cell r="N8">
            <v>20030128</v>
          </cell>
        </row>
        <row r="9">
          <cell r="A9" t="str">
            <v>PGN</v>
          </cell>
          <cell r="B9" t="str">
            <v>CPL</v>
          </cell>
          <cell r="C9" t="str">
            <v>PROGRESS ENERGY</v>
          </cell>
          <cell r="D9">
            <v>20021219</v>
          </cell>
          <cell r="E9" t="str">
            <v>EPS</v>
          </cell>
          <cell r="F9" t="str">
            <v>ANN</v>
          </cell>
          <cell r="G9">
            <v>1</v>
          </cell>
          <cell r="H9">
            <v>15</v>
          </cell>
          <cell r="I9">
            <v>3.85</v>
          </cell>
          <cell r="J9">
            <v>3.84</v>
          </cell>
          <cell r="K9">
            <v>1</v>
          </cell>
          <cell r="L9">
            <v>20021231</v>
          </cell>
          <cell r="M9">
            <v>3.81</v>
          </cell>
          <cell r="N9">
            <v>20030122</v>
          </cell>
        </row>
        <row r="10">
          <cell r="A10" t="str">
            <v>D</v>
          </cell>
          <cell r="B10" t="str">
            <v>D</v>
          </cell>
          <cell r="C10" t="str">
            <v>DOMINION RES INC</v>
          </cell>
          <cell r="D10">
            <v>20021219</v>
          </cell>
          <cell r="E10" t="str">
            <v>EPS</v>
          </cell>
          <cell r="F10" t="str">
            <v>ANN</v>
          </cell>
          <cell r="G10">
            <v>1</v>
          </cell>
          <cell r="H10">
            <v>22</v>
          </cell>
          <cell r="I10">
            <v>2.4300000000000002</v>
          </cell>
          <cell r="J10">
            <v>2.42</v>
          </cell>
          <cell r="K10">
            <v>1</v>
          </cell>
          <cell r="L10">
            <v>20021231</v>
          </cell>
          <cell r="M10">
            <v>2.415</v>
          </cell>
          <cell r="N10">
            <v>20030123</v>
          </cell>
        </row>
        <row r="11">
          <cell r="A11" t="str">
            <v>DPL</v>
          </cell>
          <cell r="B11" t="str">
            <v>DPL</v>
          </cell>
          <cell r="C11" t="str">
            <v>DPL INC</v>
          </cell>
          <cell r="D11">
            <v>20021219</v>
          </cell>
          <cell r="E11" t="str">
            <v>EPS</v>
          </cell>
          <cell r="F11" t="str">
            <v>ANN</v>
          </cell>
          <cell r="G11">
            <v>1</v>
          </cell>
          <cell r="H11">
            <v>6</v>
          </cell>
          <cell r="I11">
            <v>1.57</v>
          </cell>
          <cell r="J11">
            <v>1.57</v>
          </cell>
          <cell r="K11">
            <v>1</v>
          </cell>
          <cell r="L11">
            <v>20021231</v>
          </cell>
          <cell r="M11">
            <v>1.54</v>
          </cell>
          <cell r="N11">
            <v>20030206</v>
          </cell>
        </row>
        <row r="12">
          <cell r="A12" t="str">
            <v>DTE</v>
          </cell>
          <cell r="B12" t="str">
            <v>DTE</v>
          </cell>
          <cell r="C12" t="str">
            <v>DTE ENERGY</v>
          </cell>
          <cell r="D12">
            <v>20021219</v>
          </cell>
          <cell r="E12" t="str">
            <v>EPS</v>
          </cell>
          <cell r="F12" t="str">
            <v>ANN</v>
          </cell>
          <cell r="G12">
            <v>1</v>
          </cell>
          <cell r="H12">
            <v>10</v>
          </cell>
          <cell r="I12">
            <v>3.85</v>
          </cell>
          <cell r="J12">
            <v>3.85</v>
          </cell>
          <cell r="K12">
            <v>1</v>
          </cell>
          <cell r="L12">
            <v>20021231</v>
          </cell>
          <cell r="M12">
            <v>3.83</v>
          </cell>
          <cell r="N12">
            <v>20030211</v>
          </cell>
        </row>
        <row r="13">
          <cell r="A13" t="str">
            <v>DUK</v>
          </cell>
          <cell r="B13" t="str">
            <v>DUK</v>
          </cell>
          <cell r="C13" t="str">
            <v>DUKE ENERGY CORP</v>
          </cell>
          <cell r="D13">
            <v>20021219</v>
          </cell>
          <cell r="E13" t="str">
            <v>EPS</v>
          </cell>
          <cell r="F13" t="str">
            <v>ANN</v>
          </cell>
          <cell r="G13">
            <v>1</v>
          </cell>
          <cell r="H13">
            <v>22</v>
          </cell>
          <cell r="I13">
            <v>5.81</v>
          </cell>
          <cell r="J13">
            <v>5.76</v>
          </cell>
          <cell r="K13">
            <v>1</v>
          </cell>
          <cell r="L13">
            <v>20021231</v>
          </cell>
          <cell r="M13">
            <v>5.64</v>
          </cell>
          <cell r="N13">
            <v>20030128</v>
          </cell>
        </row>
        <row r="14">
          <cell r="A14" t="str">
            <v>ED</v>
          </cell>
          <cell r="B14" t="str">
            <v>ED</v>
          </cell>
          <cell r="C14" t="str">
            <v>CONS EDISON INC</v>
          </cell>
          <cell r="D14">
            <v>20021219</v>
          </cell>
          <cell r="E14" t="str">
            <v>EPS</v>
          </cell>
          <cell r="F14" t="str">
            <v>ANN</v>
          </cell>
          <cell r="G14">
            <v>1</v>
          </cell>
          <cell r="H14">
            <v>13</v>
          </cell>
          <cell r="I14">
            <v>3.15</v>
          </cell>
          <cell r="J14">
            <v>3.13</v>
          </cell>
          <cell r="K14">
            <v>1</v>
          </cell>
          <cell r="L14">
            <v>20021231</v>
          </cell>
          <cell r="M14">
            <v>3.13</v>
          </cell>
          <cell r="N14">
            <v>20030116</v>
          </cell>
        </row>
        <row r="15">
          <cell r="A15" t="str">
            <v>EDE</v>
          </cell>
          <cell r="B15" t="str">
            <v>EDE</v>
          </cell>
          <cell r="C15" t="str">
            <v>EMPIRE DIST ELEC</v>
          </cell>
          <cell r="D15">
            <v>20021219</v>
          </cell>
          <cell r="E15" t="str">
            <v>EPS</v>
          </cell>
          <cell r="F15" t="str">
            <v>ANN</v>
          </cell>
          <cell r="G15">
            <v>1</v>
          </cell>
          <cell r="H15">
            <v>4</v>
          </cell>
          <cell r="I15">
            <v>1.25</v>
          </cell>
          <cell r="J15">
            <v>1.25</v>
          </cell>
          <cell r="K15">
            <v>1</v>
          </cell>
          <cell r="L15">
            <v>20021231</v>
          </cell>
          <cell r="M15">
            <v>1.19</v>
          </cell>
          <cell r="N15">
            <v>20030206</v>
          </cell>
        </row>
        <row r="16">
          <cell r="A16" t="str">
            <v>FPL</v>
          </cell>
          <cell r="B16" t="str">
            <v>FPL</v>
          </cell>
          <cell r="C16" t="str">
            <v>FPL GROUP</v>
          </cell>
          <cell r="D16">
            <v>20021219</v>
          </cell>
          <cell r="E16" t="str">
            <v>EPS</v>
          </cell>
          <cell r="F16" t="str">
            <v>ANN</v>
          </cell>
          <cell r="G16">
            <v>1</v>
          </cell>
          <cell r="H16">
            <v>17</v>
          </cell>
          <cell r="I16">
            <v>0.59</v>
          </cell>
          <cell r="J16">
            <v>0.59</v>
          </cell>
          <cell r="K16">
            <v>1</v>
          </cell>
          <cell r="L16">
            <v>20021231</v>
          </cell>
          <cell r="M16">
            <v>0.6</v>
          </cell>
          <cell r="N16">
            <v>20030124</v>
          </cell>
        </row>
        <row r="17">
          <cell r="A17" t="str">
            <v>HE</v>
          </cell>
          <cell r="B17" t="str">
            <v>HE</v>
          </cell>
          <cell r="C17" t="str">
            <v>HAWAIIAN ELEC</v>
          </cell>
          <cell r="D17">
            <v>20021219</v>
          </cell>
          <cell r="E17" t="str">
            <v>EPS</v>
          </cell>
          <cell r="F17" t="str">
            <v>ANN</v>
          </cell>
          <cell r="G17">
            <v>1</v>
          </cell>
          <cell r="H17">
            <v>5</v>
          </cell>
          <cell r="I17">
            <v>1.65</v>
          </cell>
          <cell r="J17">
            <v>1.64</v>
          </cell>
          <cell r="K17">
            <v>1</v>
          </cell>
          <cell r="L17">
            <v>20021231</v>
          </cell>
          <cell r="M17">
            <v>1.605</v>
          </cell>
          <cell r="N17">
            <v>20030120</v>
          </cell>
        </row>
        <row r="18">
          <cell r="A18" t="str">
            <v>CNP</v>
          </cell>
          <cell r="B18" t="str">
            <v>HOU</v>
          </cell>
          <cell r="C18" t="str">
            <v>CENTERPOINT ENER</v>
          </cell>
          <cell r="D18">
            <v>20021219</v>
          </cell>
          <cell r="E18" t="str">
            <v>EPS</v>
          </cell>
          <cell r="F18" t="str">
            <v>ANN</v>
          </cell>
          <cell r="G18">
            <v>1</v>
          </cell>
          <cell r="H18">
            <v>7</v>
          </cell>
          <cell r="I18">
            <v>1.3</v>
          </cell>
          <cell r="J18">
            <v>1.31</v>
          </cell>
          <cell r="K18">
            <v>1</v>
          </cell>
          <cell r="L18">
            <v>20021231</v>
          </cell>
          <cell r="M18">
            <v>1.29</v>
          </cell>
          <cell r="N18">
            <v>20030213</v>
          </cell>
        </row>
        <row r="19">
          <cell r="A19" t="str">
            <v>IDA</v>
          </cell>
          <cell r="B19" t="str">
            <v>IDA</v>
          </cell>
          <cell r="C19" t="str">
            <v>IDACORP INC.</v>
          </cell>
          <cell r="D19">
            <v>20021219</v>
          </cell>
          <cell r="E19" t="str">
            <v>EPS</v>
          </cell>
          <cell r="F19" t="str">
            <v>ANN</v>
          </cell>
          <cell r="G19">
            <v>1</v>
          </cell>
          <cell r="H19">
            <v>3</v>
          </cell>
          <cell r="I19">
            <v>1.02</v>
          </cell>
          <cell r="J19">
            <v>1.02</v>
          </cell>
          <cell r="K19">
            <v>1</v>
          </cell>
          <cell r="L19">
            <v>20021231</v>
          </cell>
          <cell r="M19">
            <v>0.94</v>
          </cell>
          <cell r="N19">
            <v>20030207</v>
          </cell>
        </row>
        <row r="20">
          <cell r="A20" t="str">
            <v>GXP</v>
          </cell>
          <cell r="B20" t="str">
            <v>KLT</v>
          </cell>
          <cell r="C20" t="str">
            <v>GREAT PLAINS</v>
          </cell>
          <cell r="D20">
            <v>20021219</v>
          </cell>
          <cell r="E20" t="str">
            <v>EPS</v>
          </cell>
          <cell r="F20" t="str">
            <v>ANN</v>
          </cell>
          <cell r="G20">
            <v>1</v>
          </cell>
          <cell r="H20">
            <v>3</v>
          </cell>
          <cell r="I20">
            <v>1.95</v>
          </cell>
          <cell r="J20">
            <v>1.93</v>
          </cell>
          <cell r="K20">
            <v>1</v>
          </cell>
          <cell r="L20">
            <v>20021231</v>
          </cell>
          <cell r="M20">
            <v>1.99</v>
          </cell>
          <cell r="N20">
            <v>20030205</v>
          </cell>
        </row>
        <row r="21">
          <cell r="A21" t="str">
            <v>ALE</v>
          </cell>
          <cell r="B21" t="str">
            <v>MPL</v>
          </cell>
          <cell r="C21" t="str">
            <v>ALLETE INC</v>
          </cell>
          <cell r="D21">
            <v>20021219</v>
          </cell>
          <cell r="E21" t="str">
            <v>EPS</v>
          </cell>
          <cell r="F21" t="str">
            <v>ANN</v>
          </cell>
          <cell r="G21">
            <v>1</v>
          </cell>
          <cell r="H21">
            <v>4</v>
          </cell>
          <cell r="I21">
            <v>5.48</v>
          </cell>
          <cell r="J21">
            <v>5.48</v>
          </cell>
          <cell r="K21">
            <v>1</v>
          </cell>
          <cell r="L21">
            <v>20021231</v>
          </cell>
          <cell r="M21">
            <v>5.4</v>
          </cell>
          <cell r="N21">
            <v>20030124</v>
          </cell>
        </row>
        <row r="22">
          <cell r="A22" t="str">
            <v>ETR</v>
          </cell>
          <cell r="B22" t="str">
            <v>MSU</v>
          </cell>
          <cell r="C22" t="str">
            <v>ENTERGY CP</v>
          </cell>
          <cell r="D22">
            <v>20021219</v>
          </cell>
          <cell r="E22" t="str">
            <v>EPS</v>
          </cell>
          <cell r="F22" t="str">
            <v>ANN</v>
          </cell>
          <cell r="G22">
            <v>1</v>
          </cell>
          <cell r="H22">
            <v>12</v>
          </cell>
          <cell r="I22">
            <v>3.65</v>
          </cell>
          <cell r="J22">
            <v>3.65</v>
          </cell>
          <cell r="K22">
            <v>1</v>
          </cell>
          <cell r="L22">
            <v>20021231</v>
          </cell>
          <cell r="M22">
            <v>3.81</v>
          </cell>
          <cell r="N22">
            <v>20030204</v>
          </cell>
        </row>
        <row r="23">
          <cell r="A23" t="str">
            <v>EAS</v>
          </cell>
          <cell r="B23" t="str">
            <v>NGE</v>
          </cell>
          <cell r="C23" t="str">
            <v>ENERGY EAST CORP</v>
          </cell>
          <cell r="D23">
            <v>20021219</v>
          </cell>
          <cell r="E23" t="str">
            <v>EPS</v>
          </cell>
          <cell r="F23" t="str">
            <v>ANN</v>
          </cell>
          <cell r="G23">
            <v>1</v>
          </cell>
          <cell r="H23">
            <v>9</v>
          </cell>
          <cell r="I23">
            <v>1.6</v>
          </cell>
          <cell r="J23">
            <v>1.62</v>
          </cell>
          <cell r="K23">
            <v>1</v>
          </cell>
          <cell r="L23">
            <v>20021231</v>
          </cell>
          <cell r="M23">
            <v>1.69</v>
          </cell>
          <cell r="N23">
            <v>20030131</v>
          </cell>
        </row>
        <row r="24">
          <cell r="A24" t="str">
            <v>XEL</v>
          </cell>
          <cell r="B24" t="str">
            <v>NSP</v>
          </cell>
          <cell r="C24" t="str">
            <v>XCEL ENERGY INC</v>
          </cell>
          <cell r="D24">
            <v>20021219</v>
          </cell>
          <cell r="E24" t="str">
            <v>EPS</v>
          </cell>
          <cell r="F24" t="str">
            <v>ANN</v>
          </cell>
          <cell r="G24">
            <v>1</v>
          </cell>
          <cell r="H24">
            <v>12</v>
          </cell>
          <cell r="I24">
            <v>1.43</v>
          </cell>
          <cell r="J24">
            <v>1.46</v>
          </cell>
          <cell r="K24">
            <v>1</v>
          </cell>
          <cell r="L24">
            <v>20021231</v>
          </cell>
          <cell r="M24">
            <v>1.43</v>
          </cell>
          <cell r="N24">
            <v>20030130</v>
          </cell>
        </row>
        <row r="25">
          <cell r="A25" t="str">
            <v>NU</v>
          </cell>
          <cell r="B25" t="str">
            <v>NU</v>
          </cell>
          <cell r="C25" t="str">
            <v>NORTHEAST UTILS</v>
          </cell>
          <cell r="D25">
            <v>20021219</v>
          </cell>
          <cell r="E25" t="str">
            <v>EPS</v>
          </cell>
          <cell r="F25" t="str">
            <v>ANN</v>
          </cell>
          <cell r="G25">
            <v>1</v>
          </cell>
          <cell r="H25">
            <v>7</v>
          </cell>
          <cell r="I25">
            <v>0.95</v>
          </cell>
          <cell r="J25">
            <v>0.98</v>
          </cell>
          <cell r="K25">
            <v>1</v>
          </cell>
          <cell r="L25">
            <v>20021231</v>
          </cell>
          <cell r="M25">
            <v>1.08</v>
          </cell>
          <cell r="N25">
            <v>20030128</v>
          </cell>
        </row>
        <row r="26">
          <cell r="A26" t="str">
            <v>FE</v>
          </cell>
          <cell r="B26" t="str">
            <v>OEC</v>
          </cell>
          <cell r="C26" t="str">
            <v>FIRSTENERGY CORP</v>
          </cell>
          <cell r="D26">
            <v>20021219</v>
          </cell>
          <cell r="E26" t="str">
            <v>EPS</v>
          </cell>
          <cell r="F26" t="str">
            <v>ANN</v>
          </cell>
          <cell r="G26">
            <v>1</v>
          </cell>
          <cell r="H26">
            <v>11</v>
          </cell>
          <cell r="I26">
            <v>2.95</v>
          </cell>
          <cell r="J26">
            <v>2.94</v>
          </cell>
          <cell r="K26">
            <v>1</v>
          </cell>
          <cell r="L26">
            <v>20021231</v>
          </cell>
          <cell r="M26">
            <v>2.95</v>
          </cell>
          <cell r="N26">
            <v>20030213</v>
          </cell>
        </row>
        <row r="27">
          <cell r="A27" t="str">
            <v>OGE</v>
          </cell>
          <cell r="B27" t="str">
            <v>OGE</v>
          </cell>
          <cell r="C27" t="str">
            <v>OGE ENERGY CORP</v>
          </cell>
          <cell r="D27">
            <v>20021219</v>
          </cell>
          <cell r="E27" t="str">
            <v>EPS</v>
          </cell>
          <cell r="F27" t="str">
            <v>ANN</v>
          </cell>
          <cell r="G27">
            <v>1</v>
          </cell>
          <cell r="H27">
            <v>4</v>
          </cell>
          <cell r="I27">
            <v>0.71</v>
          </cell>
          <cell r="J27">
            <v>0.71</v>
          </cell>
          <cell r="K27">
            <v>1</v>
          </cell>
          <cell r="L27">
            <v>20021231</v>
          </cell>
          <cell r="M27">
            <v>0.76</v>
          </cell>
          <cell r="N27">
            <v>20030127</v>
          </cell>
        </row>
        <row r="28">
          <cell r="A28" t="str">
            <v>OTTR</v>
          </cell>
          <cell r="B28" t="str">
            <v>OTTR</v>
          </cell>
          <cell r="C28" t="str">
            <v>OTTER TAIL CORP.</v>
          </cell>
          <cell r="D28">
            <v>20021219</v>
          </cell>
          <cell r="E28" t="str">
            <v>EPS</v>
          </cell>
          <cell r="F28" t="str">
            <v>ANN</v>
          </cell>
          <cell r="G28">
            <v>1</v>
          </cell>
          <cell r="H28">
            <v>2</v>
          </cell>
          <cell r="I28">
            <v>1.78</v>
          </cell>
          <cell r="J28">
            <v>1.78</v>
          </cell>
          <cell r="K28">
            <v>1</v>
          </cell>
          <cell r="L28">
            <v>20021231</v>
          </cell>
          <cell r="M28">
            <v>1.76</v>
          </cell>
          <cell r="N28">
            <v>20030203</v>
          </cell>
        </row>
        <row r="29">
          <cell r="A29" t="str">
            <v>PCG</v>
          </cell>
          <cell r="B29" t="str">
            <v>PCG</v>
          </cell>
          <cell r="C29" t="str">
            <v>P G &amp; E CORP</v>
          </cell>
          <cell r="D29">
            <v>20021219</v>
          </cell>
          <cell r="E29" t="str">
            <v>EPS</v>
          </cell>
          <cell r="F29" t="str">
            <v>ANN</v>
          </cell>
          <cell r="G29">
            <v>1</v>
          </cell>
          <cell r="H29">
            <v>10</v>
          </cell>
          <cell r="I29">
            <v>2.25</v>
          </cell>
          <cell r="J29">
            <v>2.25</v>
          </cell>
          <cell r="K29">
            <v>1</v>
          </cell>
          <cell r="L29">
            <v>20021231</v>
          </cell>
          <cell r="M29">
            <v>2.27</v>
          </cell>
          <cell r="N29">
            <v>20030227</v>
          </cell>
        </row>
        <row r="30">
          <cell r="A30" t="str">
            <v>EXC</v>
          </cell>
          <cell r="B30" t="str">
            <v>PE</v>
          </cell>
          <cell r="C30" t="str">
            <v>EXELON CORP</v>
          </cell>
          <cell r="D30">
            <v>20021219</v>
          </cell>
          <cell r="E30" t="str">
            <v>EPS</v>
          </cell>
          <cell r="F30" t="str">
            <v>ANN</v>
          </cell>
          <cell r="G30">
            <v>1</v>
          </cell>
          <cell r="H30">
            <v>14</v>
          </cell>
          <cell r="I30">
            <v>2.35</v>
          </cell>
          <cell r="J30">
            <v>2.35</v>
          </cell>
          <cell r="K30">
            <v>1</v>
          </cell>
          <cell r="L30">
            <v>20021231</v>
          </cell>
          <cell r="M30">
            <v>2.415</v>
          </cell>
          <cell r="N30">
            <v>20030129</v>
          </cell>
        </row>
        <row r="31">
          <cell r="A31" t="str">
            <v>PEG</v>
          </cell>
          <cell r="B31" t="str">
            <v>PEG</v>
          </cell>
          <cell r="C31" t="str">
            <v>PUB SVC ENTERS</v>
          </cell>
          <cell r="D31">
            <v>20021219</v>
          </cell>
          <cell r="E31" t="str">
            <v>EPS</v>
          </cell>
          <cell r="F31" t="str">
            <v>ANN</v>
          </cell>
          <cell r="G31">
            <v>1</v>
          </cell>
          <cell r="H31">
            <v>14</v>
          </cell>
          <cell r="I31">
            <v>1.88</v>
          </cell>
          <cell r="J31">
            <v>1.87</v>
          </cell>
          <cell r="K31">
            <v>1</v>
          </cell>
          <cell r="L31">
            <v>20021231</v>
          </cell>
          <cell r="M31">
            <v>1.88</v>
          </cell>
          <cell r="N31">
            <v>20030128</v>
          </cell>
        </row>
        <row r="32">
          <cell r="A32" t="str">
            <v>PNM</v>
          </cell>
          <cell r="B32" t="str">
            <v>PNM</v>
          </cell>
          <cell r="C32" t="str">
            <v>PNM RESOURCES</v>
          </cell>
          <cell r="D32">
            <v>20021219</v>
          </cell>
          <cell r="E32" t="str">
            <v>EPS</v>
          </cell>
          <cell r="F32" t="str">
            <v>ANN</v>
          </cell>
          <cell r="G32">
            <v>1</v>
          </cell>
          <cell r="H32">
            <v>4</v>
          </cell>
          <cell r="I32">
            <v>1.27</v>
          </cell>
          <cell r="J32">
            <v>1.27</v>
          </cell>
          <cell r="K32">
            <v>1</v>
          </cell>
          <cell r="L32">
            <v>20021231</v>
          </cell>
          <cell r="M32">
            <v>1.2067000000000001</v>
          </cell>
          <cell r="N32">
            <v>20030211</v>
          </cell>
        </row>
        <row r="33">
          <cell r="A33" t="str">
            <v>POM</v>
          </cell>
          <cell r="B33" t="str">
            <v>POM</v>
          </cell>
          <cell r="C33" t="str">
            <v>PEPCO HOLDINGS</v>
          </cell>
          <cell r="D33">
            <v>20021219</v>
          </cell>
          <cell r="E33" t="str">
            <v>EPS</v>
          </cell>
          <cell r="F33" t="str">
            <v>ANN</v>
          </cell>
          <cell r="G33">
            <v>1</v>
          </cell>
          <cell r="H33">
            <v>5</v>
          </cell>
          <cell r="I33">
            <v>1.8</v>
          </cell>
          <cell r="J33">
            <v>1.81</v>
          </cell>
          <cell r="K33">
            <v>1</v>
          </cell>
          <cell r="L33">
            <v>20021231</v>
          </cell>
          <cell r="M33">
            <v>1.69</v>
          </cell>
          <cell r="N33">
            <v>20030211</v>
          </cell>
        </row>
        <row r="34">
          <cell r="A34" t="str">
            <v>PPL</v>
          </cell>
          <cell r="B34" t="str">
            <v>PPL</v>
          </cell>
          <cell r="C34" t="str">
            <v>PP&amp;L CORP</v>
          </cell>
          <cell r="D34">
            <v>20021219</v>
          </cell>
          <cell r="E34" t="str">
            <v>EPS</v>
          </cell>
          <cell r="F34" t="str">
            <v>ANN</v>
          </cell>
          <cell r="G34">
            <v>1</v>
          </cell>
          <cell r="H34">
            <v>10</v>
          </cell>
          <cell r="I34">
            <v>1.7</v>
          </cell>
          <cell r="J34">
            <v>1.71</v>
          </cell>
          <cell r="K34">
            <v>1</v>
          </cell>
          <cell r="L34">
            <v>20021231</v>
          </cell>
          <cell r="M34">
            <v>1.77</v>
          </cell>
          <cell r="N34">
            <v>20030122</v>
          </cell>
        </row>
        <row r="35">
          <cell r="A35" t="str">
            <v>PSD</v>
          </cell>
          <cell r="B35" t="str">
            <v>PSD</v>
          </cell>
          <cell r="C35" t="str">
            <v>PUGET ENERGY INC</v>
          </cell>
          <cell r="D35">
            <v>20021219</v>
          </cell>
          <cell r="E35" t="str">
            <v>EPS</v>
          </cell>
          <cell r="F35" t="str">
            <v>ANN</v>
          </cell>
          <cell r="G35">
            <v>1</v>
          </cell>
          <cell r="H35">
            <v>7</v>
          </cell>
          <cell r="I35">
            <v>1.2</v>
          </cell>
          <cell r="J35">
            <v>1.19</v>
          </cell>
          <cell r="K35">
            <v>1</v>
          </cell>
          <cell r="L35">
            <v>20021231</v>
          </cell>
          <cell r="M35">
            <v>1.24</v>
          </cell>
          <cell r="N35">
            <v>20030212</v>
          </cell>
        </row>
        <row r="36">
          <cell r="A36" t="str">
            <v>EIX</v>
          </cell>
          <cell r="B36" t="str">
            <v>SCE</v>
          </cell>
          <cell r="C36" t="str">
            <v>EDISON INTL</v>
          </cell>
          <cell r="D36">
            <v>20021219</v>
          </cell>
          <cell r="E36" t="str">
            <v>EPS</v>
          </cell>
          <cell r="F36" t="str">
            <v>ANN</v>
          </cell>
          <cell r="G36">
            <v>1</v>
          </cell>
          <cell r="H36">
            <v>10</v>
          </cell>
          <cell r="I36">
            <v>1.77</v>
          </cell>
          <cell r="J36">
            <v>1.78</v>
          </cell>
          <cell r="K36">
            <v>1</v>
          </cell>
          <cell r="L36">
            <v>20021231</v>
          </cell>
          <cell r="M36">
            <v>2.08</v>
          </cell>
          <cell r="N36">
            <v>20030225</v>
          </cell>
        </row>
        <row r="37">
          <cell r="A37" t="str">
            <v>SCG</v>
          </cell>
          <cell r="B37" t="str">
            <v>SCG</v>
          </cell>
          <cell r="C37" t="str">
            <v>SCANA CP</v>
          </cell>
          <cell r="D37">
            <v>20021219</v>
          </cell>
          <cell r="E37" t="str">
            <v>EPS</v>
          </cell>
          <cell r="F37" t="str">
            <v>ANN</v>
          </cell>
          <cell r="G37">
            <v>1</v>
          </cell>
          <cell r="H37">
            <v>5</v>
          </cell>
          <cell r="I37">
            <v>2.41</v>
          </cell>
          <cell r="J37">
            <v>2.42</v>
          </cell>
          <cell r="K37">
            <v>1</v>
          </cell>
          <cell r="L37">
            <v>20021231</v>
          </cell>
          <cell r="M37">
            <v>2.38</v>
          </cell>
          <cell r="N37">
            <v>20030212</v>
          </cell>
        </row>
        <row r="38">
          <cell r="A38" t="str">
            <v>SRE</v>
          </cell>
          <cell r="B38" t="str">
            <v>SDO</v>
          </cell>
          <cell r="C38" t="str">
            <v>SEMPRA ENERGY</v>
          </cell>
          <cell r="D38">
            <v>20021219</v>
          </cell>
          <cell r="E38" t="str">
            <v>EPS</v>
          </cell>
          <cell r="F38" t="str">
            <v>ANN</v>
          </cell>
          <cell r="G38">
            <v>1</v>
          </cell>
          <cell r="H38">
            <v>13</v>
          </cell>
          <cell r="I38">
            <v>2.5499999999999998</v>
          </cell>
          <cell r="J38">
            <v>2.54</v>
          </cell>
          <cell r="K38">
            <v>1</v>
          </cell>
          <cell r="L38">
            <v>20021231</v>
          </cell>
          <cell r="M38">
            <v>2.68</v>
          </cell>
          <cell r="N38">
            <v>20030220</v>
          </cell>
        </row>
        <row r="39">
          <cell r="A39" t="str">
            <v>VVC</v>
          </cell>
          <cell r="B39" t="str">
            <v>SIG</v>
          </cell>
          <cell r="C39" t="str">
            <v>VECTREN CORP</v>
          </cell>
          <cell r="D39">
            <v>20021219</v>
          </cell>
          <cell r="E39" t="str">
            <v>EPS</v>
          </cell>
          <cell r="F39" t="str">
            <v>ANN</v>
          </cell>
          <cell r="G39">
            <v>1</v>
          </cell>
          <cell r="H39">
            <v>6</v>
          </cell>
          <cell r="I39">
            <v>1.75</v>
          </cell>
          <cell r="J39">
            <v>1.73</v>
          </cell>
          <cell r="K39">
            <v>1</v>
          </cell>
          <cell r="L39">
            <v>20021231</v>
          </cell>
          <cell r="M39">
            <v>1.69</v>
          </cell>
          <cell r="N39">
            <v>20030314</v>
          </cell>
        </row>
        <row r="40">
          <cell r="A40" t="str">
            <v>SO</v>
          </cell>
          <cell r="B40" t="str">
            <v>SO</v>
          </cell>
          <cell r="C40" t="str">
            <v>SOUTHN CO</v>
          </cell>
          <cell r="D40">
            <v>20021219</v>
          </cell>
          <cell r="E40" t="str">
            <v>EPS</v>
          </cell>
          <cell r="F40" t="str">
            <v>ANN</v>
          </cell>
          <cell r="G40">
            <v>1</v>
          </cell>
          <cell r="H40">
            <v>18</v>
          </cell>
          <cell r="I40">
            <v>1.78</v>
          </cell>
          <cell r="J40">
            <v>1.77</v>
          </cell>
          <cell r="K40">
            <v>1</v>
          </cell>
          <cell r="L40">
            <v>20021231</v>
          </cell>
          <cell r="M40">
            <v>1.86</v>
          </cell>
          <cell r="N40">
            <v>20030127</v>
          </cell>
        </row>
        <row r="41">
          <cell r="A41" t="str">
            <v>TE</v>
          </cell>
          <cell r="B41" t="str">
            <v>TE</v>
          </cell>
          <cell r="C41" t="str">
            <v>TECO ENERGY INC</v>
          </cell>
          <cell r="D41">
            <v>20021219</v>
          </cell>
          <cell r="E41" t="str">
            <v>EPS</v>
          </cell>
          <cell r="F41" t="str">
            <v>ANN</v>
          </cell>
          <cell r="G41">
            <v>1</v>
          </cell>
          <cell r="H41">
            <v>13</v>
          </cell>
          <cell r="I41">
            <v>2.25</v>
          </cell>
          <cell r="J41">
            <v>2.25</v>
          </cell>
          <cell r="K41">
            <v>1</v>
          </cell>
          <cell r="L41">
            <v>20021231</v>
          </cell>
          <cell r="M41">
            <v>2.2799999999999998</v>
          </cell>
          <cell r="N41">
            <v>20030122</v>
          </cell>
        </row>
        <row r="42">
          <cell r="A42" t="str">
            <v>AEE</v>
          </cell>
          <cell r="B42" t="str">
            <v>UEP</v>
          </cell>
          <cell r="C42" t="str">
            <v>AMEREN CP</v>
          </cell>
          <cell r="D42">
            <v>20021219</v>
          </cell>
          <cell r="E42" t="str">
            <v>EPS</v>
          </cell>
          <cell r="F42" t="str">
            <v>ANN</v>
          </cell>
          <cell r="G42">
            <v>1</v>
          </cell>
          <cell r="H42">
            <v>9</v>
          </cell>
          <cell r="I42">
            <v>3.05</v>
          </cell>
          <cell r="J42">
            <v>3.07</v>
          </cell>
          <cell r="K42">
            <v>1</v>
          </cell>
          <cell r="L42">
            <v>20021231</v>
          </cell>
          <cell r="M42">
            <v>3.03</v>
          </cell>
          <cell r="N42">
            <v>20030211</v>
          </cell>
        </row>
        <row r="43">
          <cell r="A43" t="str">
            <v>UIL</v>
          </cell>
          <cell r="B43" t="str">
            <v>UIL</v>
          </cell>
          <cell r="C43" t="str">
            <v>UIL HOLDING CORP</v>
          </cell>
          <cell r="D43">
            <v>20021219</v>
          </cell>
          <cell r="E43" t="str">
            <v>EPS</v>
          </cell>
          <cell r="F43" t="str">
            <v>ANN</v>
          </cell>
          <cell r="G43">
            <v>1</v>
          </cell>
          <cell r="H43">
            <v>2</v>
          </cell>
          <cell r="I43">
            <v>1.89</v>
          </cell>
          <cell r="J43">
            <v>1.89</v>
          </cell>
          <cell r="K43">
            <v>1</v>
          </cell>
          <cell r="L43">
            <v>20021231</v>
          </cell>
          <cell r="M43">
            <v>1.8480000000000001</v>
          </cell>
          <cell r="N43">
            <v>20030127</v>
          </cell>
        </row>
        <row r="44">
          <cell r="A44" t="str">
            <v>WEC</v>
          </cell>
          <cell r="B44" t="str">
            <v>WPC</v>
          </cell>
          <cell r="C44" t="str">
            <v>WISCONSIN ENERGY</v>
          </cell>
          <cell r="D44">
            <v>20021219</v>
          </cell>
          <cell r="E44" t="str">
            <v>EPS</v>
          </cell>
          <cell r="F44" t="str">
            <v>ANN</v>
          </cell>
          <cell r="G44">
            <v>1</v>
          </cell>
          <cell r="H44">
            <v>8</v>
          </cell>
          <cell r="I44">
            <v>1.1100000000000001</v>
          </cell>
          <cell r="J44">
            <v>1.1200000000000001</v>
          </cell>
          <cell r="K44">
            <v>1</v>
          </cell>
          <cell r="L44">
            <v>20021231</v>
          </cell>
          <cell r="M44">
            <v>1.0900000000000001</v>
          </cell>
          <cell r="N44">
            <v>20030210</v>
          </cell>
        </row>
        <row r="45">
          <cell r="A45" t="str">
            <v>LNT</v>
          </cell>
          <cell r="B45" t="str">
            <v>WPL</v>
          </cell>
          <cell r="C45" t="str">
            <v>ALLIANT ENER</v>
          </cell>
          <cell r="D45">
            <v>20021219</v>
          </cell>
          <cell r="E45" t="str">
            <v>EPS</v>
          </cell>
          <cell r="F45" t="str">
            <v>ANN</v>
          </cell>
          <cell r="G45">
            <v>1</v>
          </cell>
          <cell r="H45">
            <v>4</v>
          </cell>
          <cell r="I45">
            <v>0.65</v>
          </cell>
          <cell r="J45">
            <v>0.64</v>
          </cell>
          <cell r="K45">
            <v>1</v>
          </cell>
          <cell r="L45">
            <v>20021231</v>
          </cell>
          <cell r="M45">
            <v>0.71</v>
          </cell>
          <cell r="N45">
            <v>20030204</v>
          </cell>
        </row>
        <row r="46">
          <cell r="A46" t="str">
            <v>WPS</v>
          </cell>
          <cell r="B46" t="str">
            <v>WPS</v>
          </cell>
          <cell r="C46" t="str">
            <v>WPS RESOURCES CP</v>
          </cell>
          <cell r="D46">
            <v>20021219</v>
          </cell>
          <cell r="E46" t="str">
            <v>EPS</v>
          </cell>
          <cell r="F46" t="str">
            <v>ANN</v>
          </cell>
          <cell r="G46">
            <v>1</v>
          </cell>
          <cell r="H46">
            <v>3</v>
          </cell>
          <cell r="I46">
            <v>2.5</v>
          </cell>
          <cell r="J46">
            <v>2.5299999999999998</v>
          </cell>
          <cell r="K46">
            <v>1</v>
          </cell>
          <cell r="L46">
            <v>20021231</v>
          </cell>
          <cell r="M46">
            <v>2.73</v>
          </cell>
          <cell r="N46">
            <v>20030130</v>
          </cell>
        </row>
        <row r="47">
          <cell r="A47" t="str">
            <v>AVA</v>
          </cell>
          <cell r="B47" t="str">
            <v>WWP</v>
          </cell>
          <cell r="C47" t="str">
            <v>AVISTA CORP</v>
          </cell>
          <cell r="D47">
            <v>20021219</v>
          </cell>
          <cell r="E47" t="str">
            <v>EPS</v>
          </cell>
          <cell r="F47" t="str">
            <v>ANN</v>
          </cell>
          <cell r="G47">
            <v>1</v>
          </cell>
          <cell r="H47">
            <v>6</v>
          </cell>
          <cell r="I47">
            <v>0.66</v>
          </cell>
          <cell r="J47">
            <v>0.67</v>
          </cell>
          <cell r="K47">
            <v>1</v>
          </cell>
          <cell r="L47">
            <v>20021231</v>
          </cell>
          <cell r="M47">
            <v>0.67</v>
          </cell>
          <cell r="N47">
            <v>20030130</v>
          </cell>
        </row>
        <row r="48">
          <cell r="A48" t="str">
            <v>OGE</v>
          </cell>
          <cell r="B48" t="str">
            <v>@2OR</v>
          </cell>
          <cell r="C48" t="str">
            <v>ORANGE SA</v>
          </cell>
          <cell r="D48">
            <v>20021219</v>
          </cell>
          <cell r="E48" t="str">
            <v>EPS</v>
          </cell>
          <cell r="F48" t="str">
            <v>ANN</v>
          </cell>
          <cell r="G48">
            <v>1</v>
          </cell>
          <cell r="H48">
            <v>35</v>
          </cell>
          <cell r="I48">
            <v>0.05</v>
          </cell>
          <cell r="J48">
            <v>0</v>
          </cell>
          <cell r="K48">
            <v>0</v>
          </cell>
          <cell r="L48">
            <v>20021231</v>
          </cell>
          <cell r="M48">
            <v>0.13</v>
          </cell>
          <cell r="N48">
            <v>20030305</v>
          </cell>
        </row>
        <row r="49">
          <cell r="A49" t="str">
            <v>AVA</v>
          </cell>
          <cell r="B49" t="str">
            <v>@AHV</v>
          </cell>
          <cell r="C49" t="str">
            <v>AVA</v>
          </cell>
          <cell r="D49">
            <v>20021219</v>
          </cell>
          <cell r="E49" t="str">
            <v>EPS</v>
          </cell>
          <cell r="F49" t="str">
            <v>ANN</v>
          </cell>
          <cell r="G49">
            <v>1</v>
          </cell>
          <cell r="H49">
            <v>6</v>
          </cell>
          <cell r="I49">
            <v>1.48</v>
          </cell>
          <cell r="J49">
            <v>1.55</v>
          </cell>
          <cell r="K49">
            <v>0</v>
          </cell>
          <cell r="L49">
            <v>20021231</v>
          </cell>
          <cell r="M49">
            <v>0.65</v>
          </cell>
          <cell r="N49">
            <v>20030624</v>
          </cell>
        </row>
        <row r="50">
          <cell r="A50" t="str">
            <v>CNP</v>
          </cell>
          <cell r="B50" t="str">
            <v>@CN0</v>
          </cell>
          <cell r="C50" t="str">
            <v>CNP ASSURANCES</v>
          </cell>
          <cell r="D50">
            <v>20021219</v>
          </cell>
          <cell r="E50" t="str">
            <v>EPS</v>
          </cell>
          <cell r="F50" t="str">
            <v>ANN</v>
          </cell>
          <cell r="G50">
            <v>1</v>
          </cell>
          <cell r="H50">
            <v>17</v>
          </cell>
          <cell r="I50">
            <v>1.06</v>
          </cell>
          <cell r="J50">
            <v>1.06</v>
          </cell>
          <cell r="K50">
            <v>0</v>
          </cell>
          <cell r="L50">
            <v>20021231</v>
          </cell>
          <cell r="M50">
            <v>1.0217000000000001</v>
          </cell>
          <cell r="N50">
            <v>20030312</v>
          </cell>
        </row>
        <row r="51">
          <cell r="A51" t="str">
            <v>CIN</v>
          </cell>
          <cell r="B51" t="str">
            <v>@CUW</v>
          </cell>
          <cell r="C51" t="str">
            <v>CITY OF LONDON</v>
          </cell>
          <cell r="D51">
            <v>20021219</v>
          </cell>
          <cell r="E51" t="str">
            <v>EPS</v>
          </cell>
          <cell r="F51" t="str">
            <v>ANN</v>
          </cell>
          <cell r="G51">
            <v>1</v>
          </cell>
          <cell r="H51">
            <v>1</v>
          </cell>
          <cell r="I51">
            <v>50.69</v>
          </cell>
          <cell r="J51">
            <v>50.69</v>
          </cell>
          <cell r="K51">
            <v>0</v>
          </cell>
          <cell r="L51">
            <v>20030331</v>
          </cell>
          <cell r="M51">
            <v>78.758700000000005</v>
          </cell>
          <cell r="N51">
            <v>20030609</v>
          </cell>
        </row>
        <row r="52">
          <cell r="A52" t="str">
            <v>D</v>
          </cell>
          <cell r="B52" t="str">
            <v>@DLM</v>
          </cell>
          <cell r="C52" t="str">
            <v>DALMINE</v>
          </cell>
          <cell r="D52">
            <v>20021219</v>
          </cell>
          <cell r="E52" t="str">
            <v>EPS</v>
          </cell>
          <cell r="F52" t="str">
            <v>ANN</v>
          </cell>
          <cell r="G52">
            <v>1</v>
          </cell>
          <cell r="H52">
            <v>2</v>
          </cell>
          <cell r="I52">
            <v>0.02</v>
          </cell>
          <cell r="J52">
            <v>0.02</v>
          </cell>
          <cell r="K52">
            <v>0</v>
          </cell>
          <cell r="L52">
            <v>20011231</v>
          </cell>
          <cell r="N52">
            <v>20031014</v>
          </cell>
        </row>
        <row r="53">
          <cell r="A53" t="str">
            <v>DTE</v>
          </cell>
          <cell r="B53" t="str">
            <v>@DT</v>
          </cell>
          <cell r="C53" t="str">
            <v>DEUTSCHE TELEKOM</v>
          </cell>
          <cell r="D53">
            <v>20021219</v>
          </cell>
          <cell r="E53" t="str">
            <v>EPS</v>
          </cell>
          <cell r="F53" t="str">
            <v>ANN</v>
          </cell>
          <cell r="G53">
            <v>1</v>
          </cell>
          <cell r="H53">
            <v>33</v>
          </cell>
          <cell r="I53">
            <v>-1.36</v>
          </cell>
          <cell r="J53">
            <v>-1.3</v>
          </cell>
          <cell r="K53">
            <v>0</v>
          </cell>
          <cell r="L53">
            <v>20021231</v>
          </cell>
          <cell r="M53">
            <v>-1.1399999999999999</v>
          </cell>
          <cell r="N53">
            <v>20030128</v>
          </cell>
        </row>
        <row r="54">
          <cell r="A54" t="str">
            <v>EDE</v>
          </cell>
          <cell r="B54" t="str">
            <v>@E2L</v>
          </cell>
          <cell r="C54" t="str">
            <v>EDEGEL (B)</v>
          </cell>
          <cell r="D54">
            <v>20021219</v>
          </cell>
          <cell r="E54" t="str">
            <v>EPS</v>
          </cell>
          <cell r="F54" t="str">
            <v>ANN</v>
          </cell>
          <cell r="G54">
            <v>1</v>
          </cell>
          <cell r="H54">
            <v>3</v>
          </cell>
          <cell r="I54">
            <v>0.02</v>
          </cell>
          <cell r="J54">
            <v>0.02</v>
          </cell>
          <cell r="K54">
            <v>0</v>
          </cell>
          <cell r="L54">
            <v>20021231</v>
          </cell>
          <cell r="M54">
            <v>1.35E-2</v>
          </cell>
          <cell r="N54">
            <v>20030514</v>
          </cell>
        </row>
        <row r="55">
          <cell r="A55" t="str">
            <v>ETR</v>
          </cell>
          <cell r="B55" t="str">
            <v>@NPD</v>
          </cell>
          <cell r="C55" t="str">
            <v>E*TRADE AUSTRALI</v>
          </cell>
          <cell r="D55">
            <v>20021219</v>
          </cell>
          <cell r="E55" t="str">
            <v>EPS</v>
          </cell>
          <cell r="F55" t="str">
            <v>ANN</v>
          </cell>
          <cell r="G55">
            <v>1</v>
          </cell>
          <cell r="H55">
            <v>1</v>
          </cell>
          <cell r="I55">
            <v>2.3E-2</v>
          </cell>
          <cell r="J55">
            <v>2.3E-2</v>
          </cell>
          <cell r="K55">
            <v>0</v>
          </cell>
          <cell r="L55">
            <v>20030630</v>
          </cell>
          <cell r="M55">
            <v>1.24E-2</v>
          </cell>
          <cell r="N55">
            <v>20030821</v>
          </cell>
        </row>
        <row r="56">
          <cell r="A56" t="str">
            <v>NST</v>
          </cell>
          <cell r="B56" t="str">
            <v>@NST</v>
          </cell>
          <cell r="C56" t="str">
            <v>NEW STRAITS TIME</v>
          </cell>
          <cell r="D56">
            <v>20021219</v>
          </cell>
          <cell r="E56" t="str">
            <v>EPS</v>
          </cell>
          <cell r="F56" t="str">
            <v>ANN</v>
          </cell>
          <cell r="G56">
            <v>1</v>
          </cell>
          <cell r="H56">
            <v>16</v>
          </cell>
          <cell r="I56">
            <v>0.113</v>
          </cell>
          <cell r="J56">
            <v>0.114</v>
          </cell>
          <cell r="K56">
            <v>0</v>
          </cell>
          <cell r="L56">
            <v>20030831</v>
          </cell>
        </row>
        <row r="57">
          <cell r="A57" t="str">
            <v>PNM</v>
          </cell>
          <cell r="B57" t="str">
            <v>@P27</v>
          </cell>
          <cell r="C57" t="str">
            <v>PHENOMEDIA</v>
          </cell>
          <cell r="D57">
            <v>20021219</v>
          </cell>
          <cell r="E57" t="str">
            <v>EPS</v>
          </cell>
          <cell r="F57" t="str">
            <v>ANN</v>
          </cell>
          <cell r="G57">
            <v>1</v>
          </cell>
          <cell r="H57">
            <v>2</v>
          </cell>
          <cell r="I57">
            <v>0.86</v>
          </cell>
          <cell r="J57">
            <v>0.86</v>
          </cell>
          <cell r="K57">
            <v>0</v>
          </cell>
          <cell r="L57">
            <v>20021231</v>
          </cell>
        </row>
        <row r="58">
          <cell r="A58" t="str">
            <v>PGN</v>
          </cell>
          <cell r="B58" t="str">
            <v>@PGW</v>
          </cell>
          <cell r="C58" t="str">
            <v>PHARMAGENE PLC</v>
          </cell>
          <cell r="D58">
            <v>20021219</v>
          </cell>
          <cell r="E58" t="str">
            <v>EPS</v>
          </cell>
          <cell r="F58" t="str">
            <v>ANN</v>
          </cell>
          <cell r="G58">
            <v>1</v>
          </cell>
          <cell r="H58">
            <v>2</v>
          </cell>
          <cell r="I58">
            <v>-17.79</v>
          </cell>
          <cell r="J58">
            <v>-17.79</v>
          </cell>
          <cell r="K58">
            <v>0</v>
          </cell>
          <cell r="L58">
            <v>20021231</v>
          </cell>
          <cell r="M58">
            <v>-16.21</v>
          </cell>
          <cell r="N58">
            <v>20030325</v>
          </cell>
        </row>
        <row r="59">
          <cell r="A59" t="str">
            <v>POM</v>
          </cell>
          <cell r="B59" t="str">
            <v>@PO8</v>
          </cell>
          <cell r="C59" t="str">
            <v>PLASTIC OMNIUM</v>
          </cell>
          <cell r="D59">
            <v>20021219</v>
          </cell>
          <cell r="E59" t="str">
            <v>EPS</v>
          </cell>
          <cell r="F59" t="str">
            <v>ANN</v>
          </cell>
          <cell r="G59">
            <v>1</v>
          </cell>
          <cell r="H59">
            <v>12</v>
          </cell>
          <cell r="I59">
            <v>0.11</v>
          </cell>
          <cell r="J59">
            <v>0.12</v>
          </cell>
          <cell r="K59">
            <v>0</v>
          </cell>
          <cell r="L59">
            <v>20021231</v>
          </cell>
          <cell r="M59">
            <v>0.1193</v>
          </cell>
          <cell r="N59">
            <v>20030306</v>
          </cell>
        </row>
        <row r="60">
          <cell r="A60" t="str">
            <v>PGN</v>
          </cell>
          <cell r="B60" t="str">
            <v>@QPA</v>
          </cell>
          <cell r="C60" t="str">
            <v>PARAGON</v>
          </cell>
          <cell r="D60">
            <v>20021219</v>
          </cell>
          <cell r="E60" t="str">
            <v>EPS</v>
          </cell>
          <cell r="F60" t="str">
            <v>ANN</v>
          </cell>
          <cell r="G60">
            <v>1</v>
          </cell>
          <cell r="H60">
            <v>1</v>
          </cell>
          <cell r="I60">
            <v>0.13</v>
          </cell>
          <cell r="J60">
            <v>0.13</v>
          </cell>
          <cell r="K60">
            <v>0</v>
          </cell>
          <cell r="L60">
            <v>20021231</v>
          </cell>
          <cell r="M60">
            <v>0.37</v>
          </cell>
          <cell r="N60">
            <v>20030401</v>
          </cell>
        </row>
        <row r="61">
          <cell r="A61" t="str">
            <v>WEC</v>
          </cell>
          <cell r="B61" t="str">
            <v>@WE0</v>
          </cell>
          <cell r="C61" t="str">
            <v>WONG ENGINEER</v>
          </cell>
          <cell r="D61">
            <v>20021219</v>
          </cell>
          <cell r="E61" t="str">
            <v>EPS</v>
          </cell>
          <cell r="F61" t="str">
            <v>ANN</v>
          </cell>
          <cell r="G61">
            <v>1</v>
          </cell>
          <cell r="H61">
            <v>2</v>
          </cell>
          <cell r="I61">
            <v>2.9000000000000001E-2</v>
          </cell>
          <cell r="J61">
            <v>2.9000000000000001E-2</v>
          </cell>
          <cell r="K61">
            <v>0</v>
          </cell>
          <cell r="L61">
            <v>20021031</v>
          </cell>
          <cell r="M61">
            <v>9.1999999999999998E-3</v>
          </cell>
          <cell r="N61">
            <v>20030103</v>
          </cell>
        </row>
        <row r="62">
          <cell r="A62" t="str">
            <v>CIN</v>
          </cell>
          <cell r="B62" t="str">
            <v>@YYN</v>
          </cell>
          <cell r="C62" t="str">
            <v>CIN</v>
          </cell>
          <cell r="D62">
            <v>20021219</v>
          </cell>
          <cell r="E62" t="str">
            <v>EPS</v>
          </cell>
          <cell r="F62" t="str">
            <v>ANN</v>
          </cell>
          <cell r="G62">
            <v>1</v>
          </cell>
          <cell r="H62">
            <v>2</v>
          </cell>
          <cell r="I62">
            <v>0.56000000000000005</v>
          </cell>
          <cell r="J62">
            <v>0.56000000000000005</v>
          </cell>
          <cell r="K62">
            <v>0</v>
          </cell>
          <cell r="L62">
            <v>20021231</v>
          </cell>
          <cell r="M62">
            <v>0.67</v>
          </cell>
          <cell r="N62">
            <v>20030623</v>
          </cell>
        </row>
        <row r="63">
          <cell r="A63" t="str">
            <v>ALE</v>
          </cell>
          <cell r="B63" t="str">
            <v>ALE1</v>
          </cell>
          <cell r="C63" t="str">
            <v>SLEEMAN BREWS</v>
          </cell>
          <cell r="D63">
            <v>20021219</v>
          </cell>
          <cell r="E63" t="str">
            <v>EPS</v>
          </cell>
          <cell r="F63" t="str">
            <v>ANN</v>
          </cell>
          <cell r="G63">
            <v>1</v>
          </cell>
          <cell r="H63">
            <v>6</v>
          </cell>
          <cell r="I63">
            <v>0.71</v>
          </cell>
          <cell r="J63">
            <v>0.73</v>
          </cell>
          <cell r="K63">
            <v>0</v>
          </cell>
          <cell r="L63">
            <v>20021231</v>
          </cell>
          <cell r="M63">
            <v>0.68</v>
          </cell>
          <cell r="N63">
            <v>20030306</v>
          </cell>
        </row>
        <row r="64">
          <cell r="A64" t="str">
            <v>D</v>
          </cell>
          <cell r="B64" t="str">
            <v>D2</v>
          </cell>
          <cell r="C64" t="str">
            <v>DUNDEE REALTY CP</v>
          </cell>
          <cell r="D64">
            <v>20021219</v>
          </cell>
          <cell r="E64" t="str">
            <v>EPS</v>
          </cell>
          <cell r="F64" t="str">
            <v>ANN</v>
          </cell>
          <cell r="G64">
            <v>1</v>
          </cell>
          <cell r="H64">
            <v>1</v>
          </cell>
          <cell r="I64">
            <v>2.97</v>
          </cell>
          <cell r="J64">
            <v>2.97</v>
          </cell>
          <cell r="K64">
            <v>0</v>
          </cell>
          <cell r="L64">
            <v>20021231</v>
          </cell>
          <cell r="M64">
            <v>0.69</v>
          </cell>
          <cell r="N64">
            <v>20030311</v>
          </cell>
        </row>
        <row r="65">
          <cell r="A65" t="str">
            <v>EXC</v>
          </cell>
          <cell r="B65" t="str">
            <v>EXC1</v>
          </cell>
          <cell r="C65" t="str">
            <v>EXTREME CCTV</v>
          </cell>
          <cell r="D65">
            <v>20021219</v>
          </cell>
          <cell r="E65" t="str">
            <v>EPS</v>
          </cell>
          <cell r="F65" t="str">
            <v>ANN</v>
          </cell>
          <cell r="G65">
            <v>1</v>
          </cell>
          <cell r="H65">
            <v>1</v>
          </cell>
          <cell r="I65">
            <v>0.16</v>
          </cell>
          <cell r="J65">
            <v>0.16</v>
          </cell>
          <cell r="K65">
            <v>0</v>
          </cell>
          <cell r="L65">
            <v>20021231</v>
          </cell>
        </row>
        <row r="66">
          <cell r="A66" t="str">
            <v>FPL</v>
          </cell>
          <cell r="B66" t="str">
            <v>FPI1</v>
          </cell>
          <cell r="C66" t="str">
            <v>FPI LTD</v>
          </cell>
          <cell r="D66">
            <v>20021219</v>
          </cell>
          <cell r="E66" t="str">
            <v>EPS</v>
          </cell>
          <cell r="F66" t="str">
            <v>ANN</v>
          </cell>
          <cell r="G66">
            <v>1</v>
          </cell>
          <cell r="H66">
            <v>1</v>
          </cell>
          <cell r="I66">
            <v>0.83</v>
          </cell>
          <cell r="J66">
            <v>0.83</v>
          </cell>
          <cell r="K66">
            <v>0</v>
          </cell>
          <cell r="L66">
            <v>20021231</v>
          </cell>
          <cell r="M66">
            <v>0.89</v>
          </cell>
          <cell r="N66">
            <v>20030225</v>
          </cell>
        </row>
        <row r="67">
          <cell r="A67" t="str">
            <v>NU</v>
          </cell>
          <cell r="B67" t="str">
            <v>NU1</v>
          </cell>
          <cell r="C67" t="str">
            <v>NU-GRO CORP</v>
          </cell>
          <cell r="D67">
            <v>20021219</v>
          </cell>
          <cell r="E67" t="str">
            <v>EPS</v>
          </cell>
          <cell r="F67" t="str">
            <v>ANN</v>
          </cell>
          <cell r="G67">
            <v>1</v>
          </cell>
          <cell r="H67">
            <v>1</v>
          </cell>
          <cell r="I67">
            <v>0.72</v>
          </cell>
          <cell r="J67">
            <v>0.72</v>
          </cell>
          <cell r="K67">
            <v>0</v>
          </cell>
          <cell r="L67">
            <v>20030930</v>
          </cell>
          <cell r="M67">
            <v>0.75</v>
          </cell>
          <cell r="N67">
            <v>20031112</v>
          </cell>
        </row>
        <row r="68">
          <cell r="A68" t="str">
            <v>PSD</v>
          </cell>
          <cell r="B68" t="str">
            <v>PSD3</v>
          </cell>
          <cell r="C68" t="str">
            <v>PULSE DATA INC</v>
          </cell>
          <cell r="D68">
            <v>20021219</v>
          </cell>
          <cell r="E68" t="str">
            <v>EPS</v>
          </cell>
          <cell r="F68" t="str">
            <v>ANN</v>
          </cell>
          <cell r="G68">
            <v>1</v>
          </cell>
          <cell r="H68">
            <v>1</v>
          </cell>
          <cell r="I68">
            <v>0.2</v>
          </cell>
          <cell r="J68">
            <v>0.2</v>
          </cell>
          <cell r="K68">
            <v>0</v>
          </cell>
          <cell r="L68">
            <v>20021231</v>
          </cell>
          <cell r="M68">
            <v>0.16</v>
          </cell>
          <cell r="N68">
            <v>20030314</v>
          </cell>
        </row>
      </sheetData>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RDS"/>
    </sheetNames>
    <sheetDataSet>
      <sheetData sheetId="0">
        <row r="1">
          <cell r="A1" t="str">
            <v>OFTIC</v>
          </cell>
          <cell r="B1" t="str">
            <v>IBES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USFIRM=0 if from .INT file and USFIRM=1 if from .US file</v>
          </cell>
          <cell r="M1" t="str">
            <v>Forecast Period End Date (SAS Format)</v>
          </cell>
          <cell r="N1" t="str">
            <v>Actual Value, from the Detail Actuals File</v>
          </cell>
          <cell r="O1" t="str">
            <v>Announce date of the Actual, from the Detail Actuals File</v>
          </cell>
        </row>
        <row r="2">
          <cell r="A2" t="str">
            <v>PNW</v>
          </cell>
          <cell r="B2" t="str">
            <v>AZP</v>
          </cell>
          <cell r="C2" t="str">
            <v>PINNACLE WST CAP</v>
          </cell>
          <cell r="D2">
            <v>20021219</v>
          </cell>
          <cell r="E2" t="str">
            <v>EPS</v>
          </cell>
          <cell r="F2" t="str">
            <v>LTG</v>
          </cell>
          <cell r="G2">
            <v>0</v>
          </cell>
          <cell r="H2">
            <v>9</v>
          </cell>
          <cell r="I2">
            <v>6</v>
          </cell>
          <cell r="J2">
            <v>5.89</v>
          </cell>
          <cell r="K2">
            <v>1.96</v>
          </cell>
          <cell r="L2">
            <v>1</v>
          </cell>
        </row>
        <row r="3">
          <cell r="A3" t="str">
            <v>CEG</v>
          </cell>
          <cell r="B3" t="str">
            <v>BGE</v>
          </cell>
          <cell r="C3" t="str">
            <v>CONSTELLATION EN</v>
          </cell>
          <cell r="D3">
            <v>20021219</v>
          </cell>
          <cell r="E3" t="str">
            <v>EPS</v>
          </cell>
          <cell r="F3" t="str">
            <v>LTG</v>
          </cell>
          <cell r="G3">
            <v>0</v>
          </cell>
          <cell r="H3">
            <v>11</v>
          </cell>
          <cell r="I3">
            <v>7</v>
          </cell>
          <cell r="J3">
            <v>8.18</v>
          </cell>
          <cell r="K3">
            <v>4.42</v>
          </cell>
          <cell r="L3">
            <v>1</v>
          </cell>
        </row>
        <row r="4">
          <cell r="A4" t="str">
            <v>BKH</v>
          </cell>
          <cell r="B4" t="str">
            <v>BHP</v>
          </cell>
          <cell r="C4" t="str">
            <v>BLACK HILLS CP</v>
          </cell>
          <cell r="D4">
            <v>20021219</v>
          </cell>
          <cell r="E4" t="str">
            <v>EPS</v>
          </cell>
          <cell r="F4" t="str">
            <v>LTG</v>
          </cell>
          <cell r="G4">
            <v>0</v>
          </cell>
          <cell r="H4">
            <v>3</v>
          </cell>
          <cell r="I4">
            <v>10</v>
          </cell>
          <cell r="J4">
            <v>11.33</v>
          </cell>
          <cell r="K4">
            <v>3.21</v>
          </cell>
          <cell r="L4">
            <v>1</v>
          </cell>
        </row>
        <row r="5">
          <cell r="A5" t="str">
            <v>NST</v>
          </cell>
          <cell r="B5" t="str">
            <v>BSE</v>
          </cell>
          <cell r="C5" t="str">
            <v>NSTAR</v>
          </cell>
          <cell r="D5">
            <v>20021219</v>
          </cell>
          <cell r="E5" t="str">
            <v>EPS</v>
          </cell>
          <cell r="F5" t="str">
            <v>LTG</v>
          </cell>
          <cell r="G5">
            <v>0</v>
          </cell>
          <cell r="H5">
            <v>4</v>
          </cell>
          <cell r="I5">
            <v>6.5</v>
          </cell>
          <cell r="J5">
            <v>6.25</v>
          </cell>
          <cell r="K5">
            <v>0.96</v>
          </cell>
          <cell r="L5">
            <v>1</v>
          </cell>
        </row>
        <row r="6">
          <cell r="A6" t="str">
            <v>CIN</v>
          </cell>
          <cell r="B6" t="str">
            <v>CIN</v>
          </cell>
          <cell r="C6" t="str">
            <v>CINERGY CORP</v>
          </cell>
          <cell r="D6">
            <v>20021219</v>
          </cell>
          <cell r="E6" t="str">
            <v>EPS</v>
          </cell>
          <cell r="F6" t="str">
            <v>LTG</v>
          </cell>
          <cell r="G6">
            <v>0</v>
          </cell>
          <cell r="H6">
            <v>12</v>
          </cell>
          <cell r="I6">
            <v>5</v>
          </cell>
          <cell r="J6">
            <v>4.88</v>
          </cell>
          <cell r="K6">
            <v>1.21</v>
          </cell>
          <cell r="L6">
            <v>1</v>
          </cell>
        </row>
        <row r="7">
          <cell r="A7" t="str">
            <v>CMS</v>
          </cell>
          <cell r="B7" t="str">
            <v>CMS</v>
          </cell>
          <cell r="C7" t="str">
            <v>CMS ENERGY CORP</v>
          </cell>
          <cell r="D7">
            <v>20021219</v>
          </cell>
          <cell r="E7" t="str">
            <v>EPS</v>
          </cell>
          <cell r="F7" t="str">
            <v>LTG</v>
          </cell>
          <cell r="G7">
            <v>0</v>
          </cell>
          <cell r="H7">
            <v>11</v>
          </cell>
          <cell r="I7">
            <v>4</v>
          </cell>
          <cell r="J7">
            <v>5</v>
          </cell>
          <cell r="K7">
            <v>2.37</v>
          </cell>
          <cell r="L7">
            <v>1</v>
          </cell>
        </row>
        <row r="8">
          <cell r="A8" t="str">
            <v>CNL</v>
          </cell>
          <cell r="B8" t="str">
            <v>CNL</v>
          </cell>
          <cell r="C8" t="str">
            <v>CLECO CORP</v>
          </cell>
          <cell r="D8">
            <v>20021219</v>
          </cell>
          <cell r="E8" t="str">
            <v>EPS</v>
          </cell>
          <cell r="F8" t="str">
            <v>LTG</v>
          </cell>
          <cell r="G8">
            <v>0</v>
          </cell>
          <cell r="H8">
            <v>2</v>
          </cell>
          <cell r="I8">
            <v>7.5</v>
          </cell>
          <cell r="J8">
            <v>7.5</v>
          </cell>
          <cell r="K8">
            <v>3.54</v>
          </cell>
          <cell r="L8">
            <v>1</v>
          </cell>
        </row>
        <row r="9">
          <cell r="A9" t="str">
            <v>PGN</v>
          </cell>
          <cell r="B9" t="str">
            <v>CPL</v>
          </cell>
          <cell r="C9" t="str">
            <v>PROGRESS ENERGY</v>
          </cell>
          <cell r="D9">
            <v>20021219</v>
          </cell>
          <cell r="E9" t="str">
            <v>EPS</v>
          </cell>
          <cell r="F9" t="str">
            <v>LTG</v>
          </cell>
          <cell r="G9">
            <v>0</v>
          </cell>
          <cell r="H9">
            <v>13</v>
          </cell>
          <cell r="I9">
            <v>7</v>
          </cell>
          <cell r="J9">
            <v>6.54</v>
          </cell>
          <cell r="K9">
            <v>2.5</v>
          </cell>
          <cell r="L9">
            <v>1</v>
          </cell>
        </row>
        <row r="10">
          <cell r="A10" t="str">
            <v>D</v>
          </cell>
          <cell r="B10" t="str">
            <v>D</v>
          </cell>
          <cell r="C10" t="str">
            <v>DOMINION RES INC</v>
          </cell>
          <cell r="D10">
            <v>20021219</v>
          </cell>
          <cell r="E10" t="str">
            <v>EPS</v>
          </cell>
          <cell r="F10" t="str">
            <v>LTG</v>
          </cell>
          <cell r="G10">
            <v>0</v>
          </cell>
          <cell r="H10">
            <v>17</v>
          </cell>
          <cell r="I10">
            <v>7</v>
          </cell>
          <cell r="J10">
            <v>7.76</v>
          </cell>
          <cell r="K10">
            <v>2.5499999999999998</v>
          </cell>
          <cell r="L10">
            <v>1</v>
          </cell>
        </row>
        <row r="11">
          <cell r="A11" t="str">
            <v>DPL</v>
          </cell>
          <cell r="B11" t="str">
            <v>DPL</v>
          </cell>
          <cell r="C11" t="str">
            <v>DPL INC</v>
          </cell>
          <cell r="D11">
            <v>20021219</v>
          </cell>
          <cell r="E11" t="str">
            <v>EPS</v>
          </cell>
          <cell r="F11" t="str">
            <v>LTG</v>
          </cell>
          <cell r="G11">
            <v>0</v>
          </cell>
          <cell r="H11">
            <v>11</v>
          </cell>
          <cell r="I11">
            <v>6</v>
          </cell>
          <cell r="J11">
            <v>7.27</v>
          </cell>
          <cell r="K11">
            <v>3.77</v>
          </cell>
          <cell r="L11">
            <v>1</v>
          </cell>
        </row>
        <row r="12">
          <cell r="A12" t="str">
            <v>DTE</v>
          </cell>
          <cell r="B12" t="str">
            <v>DTE</v>
          </cell>
          <cell r="C12" t="str">
            <v>DTE ENERGY</v>
          </cell>
          <cell r="D12">
            <v>20021219</v>
          </cell>
          <cell r="E12" t="str">
            <v>EPS</v>
          </cell>
          <cell r="F12" t="str">
            <v>LTG</v>
          </cell>
          <cell r="G12">
            <v>0</v>
          </cell>
          <cell r="H12">
            <v>9</v>
          </cell>
          <cell r="I12">
            <v>7</v>
          </cell>
          <cell r="J12">
            <v>6.78</v>
          </cell>
          <cell r="K12">
            <v>1.0900000000000001</v>
          </cell>
          <cell r="L12">
            <v>1</v>
          </cell>
        </row>
        <row r="13">
          <cell r="A13" t="str">
            <v>DUK</v>
          </cell>
          <cell r="B13" t="str">
            <v>DUK</v>
          </cell>
          <cell r="C13" t="str">
            <v>DUKE ENERGY CORP</v>
          </cell>
          <cell r="D13">
            <v>20021219</v>
          </cell>
          <cell r="E13" t="str">
            <v>EPS</v>
          </cell>
          <cell r="F13" t="str">
            <v>LTG</v>
          </cell>
          <cell r="G13">
            <v>0</v>
          </cell>
          <cell r="H13">
            <v>17</v>
          </cell>
          <cell r="I13">
            <v>8</v>
          </cell>
          <cell r="J13">
            <v>8</v>
          </cell>
          <cell r="K13">
            <v>4.2699999999999996</v>
          </cell>
          <cell r="L13">
            <v>1</v>
          </cell>
        </row>
        <row r="14">
          <cell r="A14" t="str">
            <v>ED</v>
          </cell>
          <cell r="B14" t="str">
            <v>ED</v>
          </cell>
          <cell r="C14" t="str">
            <v>CONS EDISON INC</v>
          </cell>
          <cell r="D14">
            <v>20021219</v>
          </cell>
          <cell r="E14" t="str">
            <v>EPS</v>
          </cell>
          <cell r="F14" t="str">
            <v>LTG</v>
          </cell>
          <cell r="G14">
            <v>0</v>
          </cell>
          <cell r="H14">
            <v>9</v>
          </cell>
          <cell r="I14">
            <v>4</v>
          </cell>
          <cell r="J14">
            <v>3.68</v>
          </cell>
          <cell r="K14">
            <v>1.1599999999999999</v>
          </cell>
          <cell r="L14">
            <v>1</v>
          </cell>
        </row>
        <row r="15">
          <cell r="A15" t="str">
            <v>EDE</v>
          </cell>
          <cell r="B15" t="str">
            <v>EDE</v>
          </cell>
          <cell r="C15" t="str">
            <v>EMPIRE DIST ELEC</v>
          </cell>
          <cell r="D15">
            <v>20021219</v>
          </cell>
          <cell r="E15" t="str">
            <v>EPS</v>
          </cell>
          <cell r="F15" t="str">
            <v>LTG</v>
          </cell>
          <cell r="G15">
            <v>0</v>
          </cell>
          <cell r="H15">
            <v>3</v>
          </cell>
          <cell r="I15">
            <v>4</v>
          </cell>
          <cell r="J15">
            <v>5.67</v>
          </cell>
          <cell r="K15">
            <v>3.79</v>
          </cell>
          <cell r="L15">
            <v>1</v>
          </cell>
        </row>
        <row r="16">
          <cell r="A16" t="str">
            <v>FPL</v>
          </cell>
          <cell r="B16" t="str">
            <v>FPL</v>
          </cell>
          <cell r="C16" t="str">
            <v>FPL GROUP</v>
          </cell>
          <cell r="D16">
            <v>20021219</v>
          </cell>
          <cell r="E16" t="str">
            <v>EPS</v>
          </cell>
          <cell r="F16" t="str">
            <v>LTG</v>
          </cell>
          <cell r="G16">
            <v>0</v>
          </cell>
          <cell r="H16">
            <v>17</v>
          </cell>
          <cell r="I16">
            <v>6</v>
          </cell>
          <cell r="J16">
            <v>5.95</v>
          </cell>
          <cell r="K16">
            <v>0.9</v>
          </cell>
          <cell r="L16">
            <v>1</v>
          </cell>
        </row>
        <row r="17">
          <cell r="A17" t="str">
            <v>HE</v>
          </cell>
          <cell r="B17" t="str">
            <v>HE</v>
          </cell>
          <cell r="C17" t="str">
            <v>HAWAIIAN ELEC</v>
          </cell>
          <cell r="D17">
            <v>20021219</v>
          </cell>
          <cell r="E17" t="str">
            <v>EPS</v>
          </cell>
          <cell r="F17" t="str">
            <v>LTG</v>
          </cell>
          <cell r="G17">
            <v>0</v>
          </cell>
          <cell r="H17">
            <v>4</v>
          </cell>
          <cell r="I17">
            <v>2.25</v>
          </cell>
          <cell r="J17">
            <v>3.13</v>
          </cell>
          <cell r="K17">
            <v>1.93</v>
          </cell>
          <cell r="L17">
            <v>1</v>
          </cell>
        </row>
        <row r="18">
          <cell r="A18" t="str">
            <v>CNP</v>
          </cell>
          <cell r="B18" t="str">
            <v>HOU</v>
          </cell>
          <cell r="C18" t="str">
            <v>CENTERPOINT ENER</v>
          </cell>
          <cell r="D18">
            <v>20021219</v>
          </cell>
          <cell r="E18" t="str">
            <v>EPS</v>
          </cell>
          <cell r="F18" t="str">
            <v>LTG</v>
          </cell>
          <cell r="G18">
            <v>0</v>
          </cell>
          <cell r="H18">
            <v>10</v>
          </cell>
          <cell r="I18">
            <v>6</v>
          </cell>
          <cell r="J18">
            <v>6.5</v>
          </cell>
          <cell r="K18">
            <v>3.6</v>
          </cell>
          <cell r="L18">
            <v>1</v>
          </cell>
        </row>
        <row r="19">
          <cell r="A19" t="str">
            <v>IDA</v>
          </cell>
          <cell r="B19" t="str">
            <v>IDA</v>
          </cell>
          <cell r="C19" t="str">
            <v>IDACORP INC.</v>
          </cell>
          <cell r="D19">
            <v>20021219</v>
          </cell>
          <cell r="E19" t="str">
            <v>EPS</v>
          </cell>
          <cell r="F19" t="str">
            <v>LTG</v>
          </cell>
          <cell r="G19">
            <v>0</v>
          </cell>
          <cell r="H19">
            <v>3</v>
          </cell>
          <cell r="I19">
            <v>8</v>
          </cell>
          <cell r="J19">
            <v>8</v>
          </cell>
          <cell r="K19">
            <v>0</v>
          </cell>
          <cell r="L19">
            <v>1</v>
          </cell>
        </row>
        <row r="20">
          <cell r="A20" t="str">
            <v>GXP</v>
          </cell>
          <cell r="B20" t="str">
            <v>KLT</v>
          </cell>
          <cell r="C20" t="str">
            <v>GREAT PLAINS</v>
          </cell>
          <cell r="D20">
            <v>20021219</v>
          </cell>
          <cell r="E20" t="str">
            <v>EPS</v>
          </cell>
          <cell r="F20" t="str">
            <v>LTG</v>
          </cell>
          <cell r="G20">
            <v>0</v>
          </cell>
          <cell r="H20">
            <v>3</v>
          </cell>
          <cell r="I20">
            <v>5</v>
          </cell>
          <cell r="J20">
            <v>4.67</v>
          </cell>
          <cell r="K20">
            <v>0.57999999999999996</v>
          </cell>
          <cell r="L20">
            <v>1</v>
          </cell>
        </row>
        <row r="21">
          <cell r="A21" t="str">
            <v>ALE</v>
          </cell>
          <cell r="B21" t="str">
            <v>MPL</v>
          </cell>
          <cell r="C21" t="str">
            <v>ALLETE INC</v>
          </cell>
          <cell r="D21">
            <v>20021219</v>
          </cell>
          <cell r="E21" t="str">
            <v>EPS</v>
          </cell>
          <cell r="F21" t="str">
            <v>LTG</v>
          </cell>
          <cell r="G21">
            <v>0</v>
          </cell>
          <cell r="H21">
            <v>5</v>
          </cell>
          <cell r="I21">
            <v>8</v>
          </cell>
          <cell r="J21">
            <v>8</v>
          </cell>
          <cell r="K21">
            <v>3.39</v>
          </cell>
          <cell r="L21">
            <v>1</v>
          </cell>
        </row>
        <row r="22">
          <cell r="A22" t="str">
            <v>ETR</v>
          </cell>
          <cell r="B22" t="str">
            <v>MSU</v>
          </cell>
          <cell r="C22" t="str">
            <v>ENTERGY CP</v>
          </cell>
          <cell r="D22">
            <v>20021219</v>
          </cell>
          <cell r="E22" t="str">
            <v>EPS</v>
          </cell>
          <cell r="F22" t="str">
            <v>LTG</v>
          </cell>
          <cell r="G22">
            <v>0</v>
          </cell>
          <cell r="H22">
            <v>13</v>
          </cell>
          <cell r="I22">
            <v>8</v>
          </cell>
          <cell r="J22">
            <v>8.23</v>
          </cell>
          <cell r="K22">
            <v>3.3</v>
          </cell>
          <cell r="L22">
            <v>1</v>
          </cell>
        </row>
        <row r="23">
          <cell r="A23" t="str">
            <v>EAS</v>
          </cell>
          <cell r="B23" t="str">
            <v>NGE</v>
          </cell>
          <cell r="C23" t="str">
            <v>ENERGY EAST CORP</v>
          </cell>
          <cell r="D23">
            <v>20021219</v>
          </cell>
          <cell r="E23" t="str">
            <v>EPS</v>
          </cell>
          <cell r="F23" t="str">
            <v>LTG</v>
          </cell>
          <cell r="G23">
            <v>0</v>
          </cell>
          <cell r="H23">
            <v>7</v>
          </cell>
          <cell r="I23">
            <v>6</v>
          </cell>
          <cell r="J23">
            <v>6.61</v>
          </cell>
          <cell r="K23">
            <v>2.72</v>
          </cell>
          <cell r="L23">
            <v>1</v>
          </cell>
        </row>
        <row r="24">
          <cell r="A24" t="str">
            <v>XEL</v>
          </cell>
          <cell r="B24" t="str">
            <v>NSP</v>
          </cell>
          <cell r="C24" t="str">
            <v>XCEL ENERGY INC</v>
          </cell>
          <cell r="D24">
            <v>20021219</v>
          </cell>
          <cell r="E24" t="str">
            <v>EPS</v>
          </cell>
          <cell r="F24" t="str">
            <v>LTG</v>
          </cell>
          <cell r="G24">
            <v>0</v>
          </cell>
          <cell r="H24">
            <v>13</v>
          </cell>
          <cell r="I24">
            <v>7</v>
          </cell>
          <cell r="J24">
            <v>6.15</v>
          </cell>
          <cell r="K24">
            <v>2.91</v>
          </cell>
          <cell r="L24">
            <v>1</v>
          </cell>
        </row>
        <row r="25">
          <cell r="A25" t="str">
            <v>NU</v>
          </cell>
          <cell r="B25" t="str">
            <v>NU</v>
          </cell>
          <cell r="C25" t="str">
            <v>NORTHEAST UTILS</v>
          </cell>
          <cell r="D25">
            <v>20021219</v>
          </cell>
          <cell r="E25" t="str">
            <v>EPS</v>
          </cell>
          <cell r="F25" t="str">
            <v>LTG</v>
          </cell>
          <cell r="G25">
            <v>0</v>
          </cell>
          <cell r="H25">
            <v>6</v>
          </cell>
          <cell r="I25">
            <v>4</v>
          </cell>
          <cell r="J25">
            <v>5.67</v>
          </cell>
          <cell r="K25">
            <v>4.8</v>
          </cell>
          <cell r="L25">
            <v>1</v>
          </cell>
        </row>
        <row r="26">
          <cell r="A26" t="str">
            <v>FE</v>
          </cell>
          <cell r="B26" t="str">
            <v>OEC</v>
          </cell>
          <cell r="C26" t="str">
            <v>FIRSTENERGY CORP</v>
          </cell>
          <cell r="D26">
            <v>20021219</v>
          </cell>
          <cell r="E26" t="str">
            <v>EPS</v>
          </cell>
          <cell r="F26" t="str">
            <v>LTG</v>
          </cell>
          <cell r="G26">
            <v>0</v>
          </cell>
          <cell r="H26">
            <v>10</v>
          </cell>
          <cell r="I26">
            <v>7</v>
          </cell>
          <cell r="J26">
            <v>6.59</v>
          </cell>
          <cell r="K26">
            <v>0.95</v>
          </cell>
          <cell r="L26">
            <v>1</v>
          </cell>
        </row>
        <row r="27">
          <cell r="A27" t="str">
            <v>OGE</v>
          </cell>
          <cell r="B27" t="str">
            <v>OGE</v>
          </cell>
          <cell r="C27" t="str">
            <v>OGE ENERGY CORP</v>
          </cell>
          <cell r="D27">
            <v>20021219</v>
          </cell>
          <cell r="E27" t="str">
            <v>EPS</v>
          </cell>
          <cell r="F27" t="str">
            <v>LTG</v>
          </cell>
          <cell r="G27">
            <v>0</v>
          </cell>
          <cell r="H27">
            <v>4</v>
          </cell>
          <cell r="I27">
            <v>4.5</v>
          </cell>
          <cell r="J27">
            <v>4.25</v>
          </cell>
          <cell r="K27">
            <v>0.96</v>
          </cell>
          <cell r="L27">
            <v>1</v>
          </cell>
        </row>
        <row r="28">
          <cell r="A28" t="str">
            <v>OTTR</v>
          </cell>
          <cell r="B28" t="str">
            <v>OTTR</v>
          </cell>
          <cell r="C28" t="str">
            <v>OTTER TAIL CORP.</v>
          </cell>
          <cell r="D28">
            <v>20021219</v>
          </cell>
          <cell r="E28" t="str">
            <v>EPS</v>
          </cell>
          <cell r="F28" t="str">
            <v>LTG</v>
          </cell>
          <cell r="G28">
            <v>0</v>
          </cell>
          <cell r="H28">
            <v>1</v>
          </cell>
          <cell r="I28">
            <v>6</v>
          </cell>
          <cell r="J28">
            <v>6</v>
          </cell>
          <cell r="L28">
            <v>1</v>
          </cell>
        </row>
        <row r="29">
          <cell r="A29" t="str">
            <v>PCG</v>
          </cell>
          <cell r="B29" t="str">
            <v>PCG</v>
          </cell>
          <cell r="C29" t="str">
            <v>P G &amp; E CORP</v>
          </cell>
          <cell r="D29">
            <v>20021219</v>
          </cell>
          <cell r="E29" t="str">
            <v>EPS</v>
          </cell>
          <cell r="F29" t="str">
            <v>LTG</v>
          </cell>
          <cell r="G29">
            <v>0</v>
          </cell>
          <cell r="H29">
            <v>9</v>
          </cell>
          <cell r="I29">
            <v>8</v>
          </cell>
          <cell r="J29">
            <v>6.67</v>
          </cell>
          <cell r="K29">
            <v>2.4500000000000002</v>
          </cell>
          <cell r="L29">
            <v>1</v>
          </cell>
        </row>
        <row r="30">
          <cell r="A30" t="str">
            <v>EXC</v>
          </cell>
          <cell r="B30" t="str">
            <v>PE</v>
          </cell>
          <cell r="C30" t="str">
            <v>EXELON CORP</v>
          </cell>
          <cell r="D30">
            <v>20021219</v>
          </cell>
          <cell r="E30" t="str">
            <v>EPS</v>
          </cell>
          <cell r="F30" t="str">
            <v>LTG</v>
          </cell>
          <cell r="G30">
            <v>0</v>
          </cell>
          <cell r="H30">
            <v>13</v>
          </cell>
          <cell r="I30">
            <v>5</v>
          </cell>
          <cell r="J30">
            <v>5.96</v>
          </cell>
          <cell r="K30">
            <v>1.45</v>
          </cell>
          <cell r="L30">
            <v>1</v>
          </cell>
        </row>
        <row r="31">
          <cell r="A31" t="str">
            <v>PEG</v>
          </cell>
          <cell r="B31" t="str">
            <v>PEG</v>
          </cell>
          <cell r="C31" t="str">
            <v>PUB SVC ENTERS</v>
          </cell>
          <cell r="D31">
            <v>20021219</v>
          </cell>
          <cell r="E31" t="str">
            <v>EPS</v>
          </cell>
          <cell r="F31" t="str">
            <v>LTG</v>
          </cell>
          <cell r="G31">
            <v>0</v>
          </cell>
          <cell r="H31">
            <v>16</v>
          </cell>
          <cell r="I31">
            <v>6</v>
          </cell>
          <cell r="J31">
            <v>5.69</v>
          </cell>
          <cell r="K31">
            <v>1.44</v>
          </cell>
          <cell r="L31">
            <v>1</v>
          </cell>
        </row>
        <row r="32">
          <cell r="A32" t="str">
            <v>PNM</v>
          </cell>
          <cell r="B32" t="str">
            <v>PNM</v>
          </cell>
          <cell r="C32" t="str">
            <v>PNM RESOURCES</v>
          </cell>
          <cell r="D32">
            <v>20021219</v>
          </cell>
          <cell r="E32" t="str">
            <v>EPS</v>
          </cell>
          <cell r="F32" t="str">
            <v>LTG</v>
          </cell>
          <cell r="G32">
            <v>0</v>
          </cell>
          <cell r="H32">
            <v>4</v>
          </cell>
          <cell r="I32">
            <v>5</v>
          </cell>
          <cell r="J32">
            <v>5.67</v>
          </cell>
          <cell r="K32">
            <v>3.08</v>
          </cell>
          <cell r="L32">
            <v>1</v>
          </cell>
        </row>
        <row r="33">
          <cell r="A33" t="str">
            <v>POM</v>
          </cell>
          <cell r="B33" t="str">
            <v>POM</v>
          </cell>
          <cell r="C33" t="str">
            <v>PEPCO HOLDINGS</v>
          </cell>
          <cell r="D33">
            <v>20021219</v>
          </cell>
          <cell r="E33" t="str">
            <v>EPS</v>
          </cell>
          <cell r="F33" t="str">
            <v>LTG</v>
          </cell>
          <cell r="G33">
            <v>0</v>
          </cell>
          <cell r="H33">
            <v>8</v>
          </cell>
          <cell r="I33">
            <v>5.25</v>
          </cell>
          <cell r="J33">
            <v>4.6900000000000004</v>
          </cell>
          <cell r="K33">
            <v>2.33</v>
          </cell>
          <cell r="L33">
            <v>1</v>
          </cell>
        </row>
        <row r="34">
          <cell r="A34" t="str">
            <v>PPL</v>
          </cell>
          <cell r="B34" t="str">
            <v>PPL</v>
          </cell>
          <cell r="C34" t="str">
            <v>PP&amp;L CORP</v>
          </cell>
          <cell r="D34">
            <v>20021219</v>
          </cell>
          <cell r="E34" t="str">
            <v>EPS</v>
          </cell>
          <cell r="F34" t="str">
            <v>LTG</v>
          </cell>
          <cell r="G34">
            <v>0</v>
          </cell>
          <cell r="H34">
            <v>10</v>
          </cell>
          <cell r="I34">
            <v>6</v>
          </cell>
          <cell r="J34">
            <v>6.55</v>
          </cell>
          <cell r="K34">
            <v>2.09</v>
          </cell>
          <cell r="L34">
            <v>1</v>
          </cell>
        </row>
        <row r="35">
          <cell r="A35" t="str">
            <v>PSD</v>
          </cell>
          <cell r="B35" t="str">
            <v>PSD</v>
          </cell>
          <cell r="C35" t="str">
            <v>PUGET ENERGY INC</v>
          </cell>
          <cell r="D35">
            <v>20021219</v>
          </cell>
          <cell r="E35" t="str">
            <v>EPS</v>
          </cell>
          <cell r="F35" t="str">
            <v>LTG</v>
          </cell>
          <cell r="G35">
            <v>0</v>
          </cell>
          <cell r="H35">
            <v>5</v>
          </cell>
          <cell r="I35">
            <v>6</v>
          </cell>
          <cell r="J35">
            <v>5.8</v>
          </cell>
          <cell r="K35">
            <v>1.48</v>
          </cell>
          <cell r="L35">
            <v>1</v>
          </cell>
        </row>
        <row r="36">
          <cell r="A36" t="str">
            <v>EIX</v>
          </cell>
          <cell r="B36" t="str">
            <v>SCE</v>
          </cell>
          <cell r="C36" t="str">
            <v>EDISON INTL</v>
          </cell>
          <cell r="D36">
            <v>20021219</v>
          </cell>
          <cell r="E36" t="str">
            <v>EPS</v>
          </cell>
          <cell r="F36" t="str">
            <v>LTG</v>
          </cell>
          <cell r="G36">
            <v>0</v>
          </cell>
          <cell r="H36">
            <v>9</v>
          </cell>
          <cell r="I36">
            <v>8</v>
          </cell>
          <cell r="J36">
            <v>7.67</v>
          </cell>
          <cell r="K36">
            <v>2.65</v>
          </cell>
          <cell r="L36">
            <v>1</v>
          </cell>
        </row>
        <row r="37">
          <cell r="A37" t="str">
            <v>SCG</v>
          </cell>
          <cell r="B37" t="str">
            <v>SCG</v>
          </cell>
          <cell r="C37" t="str">
            <v>SCANA CP</v>
          </cell>
          <cell r="D37">
            <v>20021219</v>
          </cell>
          <cell r="E37" t="str">
            <v>EPS</v>
          </cell>
          <cell r="F37" t="str">
            <v>LTG</v>
          </cell>
          <cell r="G37">
            <v>0</v>
          </cell>
          <cell r="H37">
            <v>3</v>
          </cell>
          <cell r="I37">
            <v>5</v>
          </cell>
          <cell r="J37">
            <v>5</v>
          </cell>
          <cell r="K37">
            <v>1</v>
          </cell>
          <cell r="L37">
            <v>1</v>
          </cell>
        </row>
        <row r="38">
          <cell r="A38" t="str">
            <v>SRE</v>
          </cell>
          <cell r="B38" t="str">
            <v>SDO</v>
          </cell>
          <cell r="C38" t="str">
            <v>SEMPRA ENERGY</v>
          </cell>
          <cell r="D38">
            <v>20021219</v>
          </cell>
          <cell r="E38" t="str">
            <v>EPS</v>
          </cell>
          <cell r="F38" t="str">
            <v>LTG</v>
          </cell>
          <cell r="G38">
            <v>0</v>
          </cell>
          <cell r="H38">
            <v>9</v>
          </cell>
          <cell r="I38">
            <v>8</v>
          </cell>
          <cell r="J38">
            <v>7.44</v>
          </cell>
          <cell r="K38">
            <v>2.19</v>
          </cell>
          <cell r="L38">
            <v>1</v>
          </cell>
        </row>
        <row r="39">
          <cell r="A39" t="str">
            <v>VVC</v>
          </cell>
          <cell r="B39" t="str">
            <v>SIG</v>
          </cell>
          <cell r="C39" t="str">
            <v>VECTREN CORP</v>
          </cell>
          <cell r="D39">
            <v>20021219</v>
          </cell>
          <cell r="E39" t="str">
            <v>EPS</v>
          </cell>
          <cell r="F39" t="str">
            <v>LTG</v>
          </cell>
          <cell r="G39">
            <v>0</v>
          </cell>
          <cell r="H39">
            <v>6</v>
          </cell>
          <cell r="I39">
            <v>7.5</v>
          </cell>
          <cell r="J39">
            <v>7.5</v>
          </cell>
          <cell r="K39">
            <v>2.2599999999999998</v>
          </cell>
          <cell r="L39">
            <v>1</v>
          </cell>
        </row>
        <row r="40">
          <cell r="A40" t="str">
            <v>SO</v>
          </cell>
          <cell r="B40" t="str">
            <v>SO</v>
          </cell>
          <cell r="C40" t="str">
            <v>SOUTHN CO</v>
          </cell>
          <cell r="D40">
            <v>20021219</v>
          </cell>
          <cell r="E40" t="str">
            <v>EPS</v>
          </cell>
          <cell r="F40" t="str">
            <v>LTG</v>
          </cell>
          <cell r="G40">
            <v>0</v>
          </cell>
          <cell r="H40">
            <v>14</v>
          </cell>
          <cell r="I40">
            <v>5</v>
          </cell>
          <cell r="J40">
            <v>5.43</v>
          </cell>
          <cell r="K40">
            <v>1.27</v>
          </cell>
          <cell r="L40">
            <v>1</v>
          </cell>
        </row>
        <row r="41">
          <cell r="A41" t="str">
            <v>TE</v>
          </cell>
          <cell r="B41" t="str">
            <v>TE</v>
          </cell>
          <cell r="C41" t="str">
            <v>TECO ENERGY INC</v>
          </cell>
          <cell r="D41">
            <v>20021219</v>
          </cell>
          <cell r="E41" t="str">
            <v>EPS</v>
          </cell>
          <cell r="F41" t="str">
            <v>LTG</v>
          </cell>
          <cell r="G41">
            <v>0</v>
          </cell>
          <cell r="H41">
            <v>13</v>
          </cell>
          <cell r="I41">
            <v>5</v>
          </cell>
          <cell r="J41">
            <v>5.88</v>
          </cell>
          <cell r="K41">
            <v>2.57</v>
          </cell>
          <cell r="L41">
            <v>1</v>
          </cell>
        </row>
        <row r="42">
          <cell r="A42" t="str">
            <v>AEE</v>
          </cell>
          <cell r="B42" t="str">
            <v>UEP</v>
          </cell>
          <cell r="C42" t="str">
            <v>AMEREN CP</v>
          </cell>
          <cell r="D42">
            <v>20021219</v>
          </cell>
          <cell r="E42" t="str">
            <v>EPS</v>
          </cell>
          <cell r="F42" t="str">
            <v>LTG</v>
          </cell>
          <cell r="G42">
            <v>0</v>
          </cell>
          <cell r="H42">
            <v>8</v>
          </cell>
          <cell r="I42">
            <v>3</v>
          </cell>
          <cell r="J42">
            <v>3.63</v>
          </cell>
          <cell r="K42">
            <v>1.51</v>
          </cell>
          <cell r="L42">
            <v>1</v>
          </cell>
        </row>
        <row r="43">
          <cell r="A43" t="str">
            <v>UIL</v>
          </cell>
          <cell r="B43" t="str">
            <v>UIL</v>
          </cell>
          <cell r="C43" t="str">
            <v>UIL HOLDING CORP</v>
          </cell>
          <cell r="D43">
            <v>20021219</v>
          </cell>
          <cell r="E43" t="str">
            <v>EPS</v>
          </cell>
          <cell r="F43" t="str">
            <v>LTG</v>
          </cell>
          <cell r="G43">
            <v>0</v>
          </cell>
          <cell r="H43">
            <v>2</v>
          </cell>
          <cell r="I43">
            <v>2.75</v>
          </cell>
          <cell r="J43">
            <v>2.75</v>
          </cell>
          <cell r="K43">
            <v>0.35</v>
          </cell>
          <cell r="L43">
            <v>1</v>
          </cell>
        </row>
        <row r="44">
          <cell r="A44" t="str">
            <v>WEC</v>
          </cell>
          <cell r="B44" t="str">
            <v>WPC</v>
          </cell>
          <cell r="C44" t="str">
            <v>WISCONSIN ENERGY</v>
          </cell>
          <cell r="D44">
            <v>20021219</v>
          </cell>
          <cell r="E44" t="str">
            <v>EPS</v>
          </cell>
          <cell r="F44" t="str">
            <v>LTG</v>
          </cell>
          <cell r="G44">
            <v>0</v>
          </cell>
          <cell r="H44">
            <v>7</v>
          </cell>
          <cell r="I44">
            <v>6</v>
          </cell>
          <cell r="J44">
            <v>7</v>
          </cell>
          <cell r="K44">
            <v>4.16</v>
          </cell>
          <cell r="L44">
            <v>1</v>
          </cell>
        </row>
        <row r="45">
          <cell r="A45" t="str">
            <v>LNT</v>
          </cell>
          <cell r="B45" t="str">
            <v>WPL</v>
          </cell>
          <cell r="C45" t="str">
            <v>ALLIANT ENER</v>
          </cell>
          <cell r="D45">
            <v>20021219</v>
          </cell>
          <cell r="E45" t="str">
            <v>EPS</v>
          </cell>
          <cell r="F45" t="str">
            <v>LTG</v>
          </cell>
          <cell r="G45">
            <v>0</v>
          </cell>
          <cell r="H45">
            <v>5</v>
          </cell>
          <cell r="I45">
            <v>4.5</v>
          </cell>
          <cell r="J45">
            <v>4.5</v>
          </cell>
          <cell r="K45">
            <v>1.5</v>
          </cell>
          <cell r="L45">
            <v>1</v>
          </cell>
        </row>
        <row r="46">
          <cell r="A46" t="str">
            <v>WPS</v>
          </cell>
          <cell r="B46" t="str">
            <v>WPS</v>
          </cell>
          <cell r="C46" t="str">
            <v>WPS RESOURCES CP</v>
          </cell>
          <cell r="D46">
            <v>20021219</v>
          </cell>
          <cell r="E46" t="str">
            <v>EPS</v>
          </cell>
          <cell r="F46" t="str">
            <v>LTG</v>
          </cell>
          <cell r="G46">
            <v>0</v>
          </cell>
          <cell r="H46">
            <v>3</v>
          </cell>
          <cell r="I46">
            <v>6</v>
          </cell>
          <cell r="J46">
            <v>6</v>
          </cell>
          <cell r="K46">
            <v>1</v>
          </cell>
          <cell r="L46">
            <v>1</v>
          </cell>
        </row>
        <row r="47">
          <cell r="A47" t="str">
            <v>AVA</v>
          </cell>
          <cell r="B47" t="str">
            <v>WWP</v>
          </cell>
          <cell r="C47" t="str">
            <v>AVISTA CORP</v>
          </cell>
          <cell r="D47">
            <v>20021219</v>
          </cell>
          <cell r="E47" t="str">
            <v>EPS</v>
          </cell>
          <cell r="F47" t="str">
            <v>LTG</v>
          </cell>
          <cell r="G47">
            <v>0</v>
          </cell>
          <cell r="H47">
            <v>5</v>
          </cell>
          <cell r="I47">
            <v>4</v>
          </cell>
          <cell r="J47">
            <v>7.4</v>
          </cell>
          <cell r="K47">
            <v>7.06</v>
          </cell>
          <cell r="L47">
            <v>1</v>
          </cell>
        </row>
        <row r="48">
          <cell r="A48" t="str">
            <v>OGE</v>
          </cell>
          <cell r="B48" t="str">
            <v>@2OR</v>
          </cell>
          <cell r="C48" t="str">
            <v>ORANGE SA</v>
          </cell>
          <cell r="D48">
            <v>20021219</v>
          </cell>
          <cell r="E48" t="str">
            <v>EPS</v>
          </cell>
          <cell r="F48" t="str">
            <v>LTG</v>
          </cell>
          <cell r="G48">
            <v>0</v>
          </cell>
          <cell r="H48">
            <v>3</v>
          </cell>
          <cell r="I48">
            <v>12.11</v>
          </cell>
          <cell r="J48">
            <v>16.14</v>
          </cell>
          <cell r="K48">
            <v>14.58</v>
          </cell>
          <cell r="L48">
            <v>0</v>
          </cell>
        </row>
        <row r="49">
          <cell r="A49" t="str">
            <v>CNP</v>
          </cell>
          <cell r="B49" t="str">
            <v>@CN0</v>
          </cell>
          <cell r="C49" t="str">
            <v>CNP ASSURANCES</v>
          </cell>
          <cell r="D49">
            <v>20021219</v>
          </cell>
          <cell r="E49" t="str">
            <v>EPS</v>
          </cell>
          <cell r="F49" t="str">
            <v>LTG</v>
          </cell>
          <cell r="G49">
            <v>0</v>
          </cell>
          <cell r="H49">
            <v>5</v>
          </cell>
          <cell r="I49">
            <v>9.6999999999999993</v>
          </cell>
          <cell r="J49">
            <v>10.99</v>
          </cell>
          <cell r="K49">
            <v>5.47</v>
          </cell>
          <cell r="L49">
            <v>0</v>
          </cell>
        </row>
        <row r="50">
          <cell r="A50" t="str">
            <v>DTE</v>
          </cell>
          <cell r="B50" t="str">
            <v>@DT</v>
          </cell>
          <cell r="C50" t="str">
            <v>DEUTSCHE TELEKOM</v>
          </cell>
          <cell r="D50">
            <v>20021219</v>
          </cell>
          <cell r="E50" t="str">
            <v>EPS</v>
          </cell>
          <cell r="F50" t="str">
            <v>LTG</v>
          </cell>
          <cell r="G50">
            <v>0</v>
          </cell>
          <cell r="H50">
            <v>6</v>
          </cell>
          <cell r="I50">
            <v>17.5</v>
          </cell>
          <cell r="J50">
            <v>17.329999999999998</v>
          </cell>
          <cell r="K50">
            <v>12.51</v>
          </cell>
          <cell r="L50">
            <v>0</v>
          </cell>
        </row>
        <row r="51">
          <cell r="A51" t="str">
            <v>NST</v>
          </cell>
          <cell r="B51" t="str">
            <v>@NST</v>
          </cell>
          <cell r="C51" t="str">
            <v>NEW STRAITS TIME</v>
          </cell>
          <cell r="D51">
            <v>20021219</v>
          </cell>
          <cell r="E51" t="str">
            <v>EPS</v>
          </cell>
          <cell r="F51" t="str">
            <v>LTG</v>
          </cell>
          <cell r="G51">
            <v>0</v>
          </cell>
          <cell r="H51">
            <v>2</v>
          </cell>
          <cell r="I51">
            <v>-110.4</v>
          </cell>
          <cell r="J51">
            <v>-110.4</v>
          </cell>
          <cell r="K51">
            <v>157.54</v>
          </cell>
          <cell r="L51">
            <v>0</v>
          </cell>
        </row>
        <row r="52">
          <cell r="A52" t="str">
            <v>POM</v>
          </cell>
          <cell r="B52" t="str">
            <v>@PO8</v>
          </cell>
          <cell r="C52" t="str">
            <v>PLASTIC OMNIUM</v>
          </cell>
          <cell r="D52">
            <v>20021219</v>
          </cell>
          <cell r="E52" t="str">
            <v>EPS</v>
          </cell>
          <cell r="F52" t="str">
            <v>LTG</v>
          </cell>
          <cell r="G52">
            <v>0</v>
          </cell>
          <cell r="H52">
            <v>3</v>
          </cell>
          <cell r="I52">
            <v>3.54</v>
          </cell>
          <cell r="J52">
            <v>4.1100000000000003</v>
          </cell>
          <cell r="K52">
            <v>1.49</v>
          </cell>
          <cell r="L52">
            <v>0</v>
          </cell>
        </row>
        <row r="53">
          <cell r="A53" t="str">
            <v>ALE</v>
          </cell>
          <cell r="B53" t="str">
            <v>ALE1</v>
          </cell>
          <cell r="C53" t="str">
            <v>SLEEMAN BREWS</v>
          </cell>
          <cell r="D53">
            <v>20021219</v>
          </cell>
          <cell r="E53" t="str">
            <v>EPS</v>
          </cell>
          <cell r="F53" t="str">
            <v>LTG</v>
          </cell>
          <cell r="G53">
            <v>0</v>
          </cell>
          <cell r="H53">
            <v>1</v>
          </cell>
          <cell r="I53">
            <v>18</v>
          </cell>
          <cell r="J53">
            <v>18</v>
          </cell>
          <cell r="L53">
            <v>0</v>
          </cell>
        </row>
      </sheetData>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fc7db5voetugfz"/>
    </sheetNames>
    <sheetDataSet>
      <sheetData sheetId="0">
        <row r="1">
          <cell r="B1" t="str">
            <v>Official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Forecast Period End Date (SAS Format)</v>
          </cell>
          <cell r="M1" t="str">
            <v>Actual Value, from the Detail Actuals File</v>
          </cell>
          <cell r="N1" t="str">
            <v>Announce date of the Actual, from the Detail Actuals File</v>
          </cell>
        </row>
        <row r="2">
          <cell r="B2" t="str">
            <v>ATG</v>
          </cell>
          <cell r="C2" t="str">
            <v>AGL RESOURCES</v>
          </cell>
          <cell r="D2">
            <v>37609</v>
          </cell>
          <cell r="E2" t="str">
            <v>EPS</v>
          </cell>
          <cell r="F2" t="str">
            <v>ANN</v>
          </cell>
          <cell r="G2" t="str">
            <v>1</v>
          </cell>
          <cell r="H2">
            <v>5</v>
          </cell>
          <cell r="I2">
            <v>1.75</v>
          </cell>
          <cell r="J2">
            <v>1.75</v>
          </cell>
          <cell r="K2">
            <v>0</v>
          </cell>
          <cell r="L2">
            <v>37621</v>
          </cell>
          <cell r="M2">
            <v>1.82</v>
          </cell>
          <cell r="N2">
            <v>37652</v>
          </cell>
        </row>
        <row r="3">
          <cell r="B3" t="str">
            <v>CGC</v>
          </cell>
          <cell r="C3" t="str">
            <v>CASCADE NAT GAS</v>
          </cell>
          <cell r="D3">
            <v>37609</v>
          </cell>
          <cell r="E3" t="str">
            <v>EPS</v>
          </cell>
          <cell r="F3" t="str">
            <v>ANN</v>
          </cell>
          <cell r="G3" t="str">
            <v>1</v>
          </cell>
          <cell r="H3">
            <v>3</v>
          </cell>
          <cell r="I3">
            <v>1.25</v>
          </cell>
          <cell r="J3">
            <v>1.27</v>
          </cell>
          <cell r="K3">
            <v>0.03</v>
          </cell>
          <cell r="L3">
            <v>37894</v>
          </cell>
          <cell r="M3">
            <v>0.82</v>
          </cell>
          <cell r="N3">
            <v>37935</v>
          </cell>
        </row>
        <row r="4">
          <cell r="B4" t="str">
            <v>CPK</v>
          </cell>
          <cell r="C4" t="str">
            <v>CHESAPEAKE UTIL</v>
          </cell>
          <cell r="D4">
            <v>37609</v>
          </cell>
          <cell r="E4" t="str">
            <v>EPS</v>
          </cell>
          <cell r="F4" t="str">
            <v>ANN</v>
          </cell>
          <cell r="G4" t="str">
            <v>1</v>
          </cell>
          <cell r="H4">
            <v>1</v>
          </cell>
          <cell r="I4">
            <v>0.8</v>
          </cell>
          <cell r="J4">
            <v>0.8</v>
          </cell>
          <cell r="L4">
            <v>37621</v>
          </cell>
          <cell r="M4">
            <v>0.80669999999999997</v>
          </cell>
          <cell r="N4">
            <v>37683</v>
          </cell>
        </row>
        <row r="5">
          <cell r="B5" t="str">
            <v>ATO</v>
          </cell>
          <cell r="C5" t="str">
            <v>ATMOS ENERGY CP</v>
          </cell>
          <cell r="D5">
            <v>37609</v>
          </cell>
          <cell r="E5" t="str">
            <v>EPS</v>
          </cell>
          <cell r="F5" t="str">
            <v>ANN</v>
          </cell>
          <cell r="G5" t="str">
            <v>1</v>
          </cell>
          <cell r="H5">
            <v>7</v>
          </cell>
          <cell r="I5">
            <v>1.55</v>
          </cell>
          <cell r="J5">
            <v>1.56</v>
          </cell>
          <cell r="K5">
            <v>0.04</v>
          </cell>
          <cell r="L5">
            <v>37894</v>
          </cell>
          <cell r="M5">
            <v>1.54</v>
          </cell>
          <cell r="N5">
            <v>37936</v>
          </cell>
        </row>
        <row r="6">
          <cell r="B6" t="str">
            <v>GAS</v>
          </cell>
          <cell r="C6" t="str">
            <v>NICOR INC</v>
          </cell>
          <cell r="D6">
            <v>37609</v>
          </cell>
          <cell r="E6" t="str">
            <v>EPS</v>
          </cell>
          <cell r="F6" t="str">
            <v>ANN</v>
          </cell>
          <cell r="G6" t="str">
            <v>1</v>
          </cell>
          <cell r="H6">
            <v>8</v>
          </cell>
          <cell r="I6">
            <v>2.65</v>
          </cell>
          <cell r="J6">
            <v>2.61</v>
          </cell>
          <cell r="K6">
            <v>0.06</v>
          </cell>
          <cell r="L6">
            <v>37621</v>
          </cell>
          <cell r="M6">
            <v>2.88</v>
          </cell>
          <cell r="N6">
            <v>37684</v>
          </cell>
        </row>
        <row r="7">
          <cell r="B7" t="str">
            <v>LG</v>
          </cell>
          <cell r="C7" t="str">
            <v>LACLEDE GROUP</v>
          </cell>
          <cell r="D7">
            <v>37609</v>
          </cell>
          <cell r="E7" t="str">
            <v>EPS</v>
          </cell>
          <cell r="F7" t="str">
            <v>ANN</v>
          </cell>
          <cell r="G7" t="str">
            <v>1</v>
          </cell>
          <cell r="H7">
            <v>1</v>
          </cell>
          <cell r="I7">
            <v>1.8</v>
          </cell>
          <cell r="J7">
            <v>1.8</v>
          </cell>
          <cell r="L7">
            <v>37894</v>
          </cell>
          <cell r="M7">
            <v>1.82</v>
          </cell>
          <cell r="N7">
            <v>37924</v>
          </cell>
        </row>
        <row r="8">
          <cell r="B8" t="str">
            <v>KSE</v>
          </cell>
          <cell r="C8" t="str">
            <v>KEYSPAN CP</v>
          </cell>
          <cell r="D8">
            <v>37609</v>
          </cell>
          <cell r="E8" t="str">
            <v>EPS</v>
          </cell>
          <cell r="F8" t="str">
            <v>ANN</v>
          </cell>
          <cell r="G8" t="str">
            <v>1</v>
          </cell>
          <cell r="H8">
            <v>11</v>
          </cell>
          <cell r="I8">
            <v>2.67</v>
          </cell>
          <cell r="J8">
            <v>2.66</v>
          </cell>
          <cell r="K8">
            <v>0.05</v>
          </cell>
          <cell r="L8">
            <v>37621</v>
          </cell>
          <cell r="M8">
            <v>2.75</v>
          </cell>
          <cell r="N8">
            <v>37649</v>
          </cell>
        </row>
        <row r="9">
          <cell r="B9" t="str">
            <v>NI</v>
          </cell>
          <cell r="C9" t="str">
            <v>NISOURCE INC</v>
          </cell>
          <cell r="D9">
            <v>37609</v>
          </cell>
          <cell r="E9" t="str">
            <v>EPS</v>
          </cell>
          <cell r="F9" t="str">
            <v>ANN</v>
          </cell>
          <cell r="G9" t="str">
            <v>1</v>
          </cell>
          <cell r="H9">
            <v>11</v>
          </cell>
          <cell r="I9">
            <v>1.9</v>
          </cell>
          <cell r="J9">
            <v>1.9</v>
          </cell>
          <cell r="K9">
            <v>0.05</v>
          </cell>
          <cell r="L9">
            <v>37621</v>
          </cell>
          <cell r="M9">
            <v>2</v>
          </cell>
          <cell r="N9">
            <v>37651</v>
          </cell>
        </row>
        <row r="10">
          <cell r="B10" t="str">
            <v>NJR</v>
          </cell>
          <cell r="C10" t="str">
            <v>NEW JERSEY RES</v>
          </cell>
          <cell r="D10">
            <v>37609</v>
          </cell>
          <cell r="E10" t="str">
            <v>EPS</v>
          </cell>
          <cell r="F10" t="str">
            <v>ANN</v>
          </cell>
          <cell r="G10" t="str">
            <v>1</v>
          </cell>
          <cell r="H10">
            <v>5</v>
          </cell>
          <cell r="I10">
            <v>0.76</v>
          </cell>
          <cell r="J10">
            <v>0.76</v>
          </cell>
          <cell r="K10">
            <v>0.01</v>
          </cell>
          <cell r="L10">
            <v>37894</v>
          </cell>
          <cell r="M10">
            <v>0.79330000000000001</v>
          </cell>
          <cell r="N10">
            <v>37922</v>
          </cell>
        </row>
        <row r="11">
          <cell r="B11" t="str">
            <v>NWN</v>
          </cell>
          <cell r="C11" t="str">
            <v>NW NATURAL GAS</v>
          </cell>
          <cell r="D11">
            <v>37609</v>
          </cell>
          <cell r="E11" t="str">
            <v>EPS</v>
          </cell>
          <cell r="F11" t="str">
            <v>ANN</v>
          </cell>
          <cell r="G11" t="str">
            <v>1</v>
          </cell>
          <cell r="H11">
            <v>3</v>
          </cell>
          <cell r="I11">
            <v>1.9</v>
          </cell>
          <cell r="J11">
            <v>1.94</v>
          </cell>
          <cell r="K11">
            <v>0.06</v>
          </cell>
          <cell r="L11">
            <v>37621</v>
          </cell>
          <cell r="M11">
            <v>1.95</v>
          </cell>
          <cell r="N11">
            <v>37656</v>
          </cell>
        </row>
        <row r="12">
          <cell r="B12" t="str">
            <v>PNY</v>
          </cell>
          <cell r="C12" t="str">
            <v>PIEDMONT NAT GAS</v>
          </cell>
          <cell r="D12">
            <v>37609</v>
          </cell>
          <cell r="E12" t="str">
            <v>EPS</v>
          </cell>
          <cell r="F12" t="str">
            <v>ANN</v>
          </cell>
          <cell r="G12" t="str">
            <v>1</v>
          </cell>
          <cell r="H12">
            <v>3</v>
          </cell>
          <cell r="I12">
            <v>1.05</v>
          </cell>
          <cell r="J12">
            <v>1.06</v>
          </cell>
          <cell r="K12">
            <v>0.01</v>
          </cell>
          <cell r="L12">
            <v>37925</v>
          </cell>
          <cell r="M12">
            <v>1.1100000000000001</v>
          </cell>
          <cell r="N12">
            <v>37967</v>
          </cell>
        </row>
        <row r="13">
          <cell r="B13" t="str">
            <v>SJI</v>
          </cell>
          <cell r="C13" t="str">
            <v>SO JERSEY INDS</v>
          </cell>
          <cell r="D13">
            <v>37609</v>
          </cell>
          <cell r="E13" t="str">
            <v>EPS</v>
          </cell>
          <cell r="F13" t="str">
            <v>ANN</v>
          </cell>
          <cell r="G13" t="str">
            <v>1</v>
          </cell>
          <cell r="H13">
            <v>1</v>
          </cell>
          <cell r="I13">
            <v>0.6</v>
          </cell>
          <cell r="J13">
            <v>0.6</v>
          </cell>
          <cell r="L13">
            <v>37621</v>
          </cell>
          <cell r="M13">
            <v>0.60750000000000004</v>
          </cell>
          <cell r="N13">
            <v>37649</v>
          </cell>
        </row>
        <row r="14">
          <cell r="B14" t="str">
            <v>SWX</v>
          </cell>
          <cell r="C14" t="str">
            <v>SOUTHWEST GAS</v>
          </cell>
          <cell r="D14">
            <v>37609</v>
          </cell>
          <cell r="E14" t="str">
            <v>EPS</v>
          </cell>
          <cell r="F14" t="str">
            <v>ANN</v>
          </cell>
          <cell r="G14" t="str">
            <v>1</v>
          </cell>
          <cell r="H14">
            <v>4</v>
          </cell>
          <cell r="I14">
            <v>1.38</v>
          </cell>
          <cell r="J14">
            <v>1.4</v>
          </cell>
          <cell r="K14">
            <v>7.0000000000000007E-2</v>
          </cell>
          <cell r="L14">
            <v>37621</v>
          </cell>
          <cell r="M14">
            <v>1.43</v>
          </cell>
          <cell r="N14">
            <v>37670</v>
          </cell>
        </row>
        <row r="15">
          <cell r="B15" t="str">
            <v>WGL</v>
          </cell>
          <cell r="C15" t="str">
            <v>WGL HOLDING INC</v>
          </cell>
          <cell r="D15">
            <v>37609</v>
          </cell>
          <cell r="E15" t="str">
            <v>EPS</v>
          </cell>
          <cell r="F15" t="str">
            <v>ANN</v>
          </cell>
          <cell r="G15" t="str">
            <v>1</v>
          </cell>
          <cell r="H15">
            <v>8</v>
          </cell>
          <cell r="I15">
            <v>1.73</v>
          </cell>
          <cell r="J15">
            <v>1.69</v>
          </cell>
          <cell r="K15">
            <v>0.09</v>
          </cell>
          <cell r="L15">
            <v>37894</v>
          </cell>
          <cell r="M15">
            <v>2.2999999999999998</v>
          </cell>
          <cell r="N15">
            <v>37928</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RDS"/>
    </sheetNames>
    <sheetDataSet>
      <sheetData sheetId="0">
        <row r="1">
          <cell r="B1" t="str">
            <v>Official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Forecast Period End Date (SAS Format)</v>
          </cell>
          <cell r="M1" t="str">
            <v>Actual Value, from the Detail Actuals File</v>
          </cell>
          <cell r="N1" t="str">
            <v>Announce date of the Actual, from the Detail Actuals File</v>
          </cell>
        </row>
        <row r="2">
          <cell r="B2" t="str">
            <v>CPK</v>
          </cell>
          <cell r="C2" t="str">
            <v>CHESAPEAKE US</v>
          </cell>
          <cell r="D2">
            <v>20161215</v>
          </cell>
          <cell r="E2" t="str">
            <v>EPS</v>
          </cell>
          <cell r="F2" t="str">
            <v>ANN</v>
          </cell>
          <cell r="G2">
            <v>1</v>
          </cell>
          <cell r="H2">
            <v>6</v>
          </cell>
          <cell r="I2">
            <v>2.87</v>
          </cell>
          <cell r="J2">
            <v>2.87</v>
          </cell>
          <cell r="K2">
            <v>0.05</v>
          </cell>
          <cell r="L2">
            <v>20161231</v>
          </cell>
          <cell r="M2">
            <v>2.86</v>
          </cell>
          <cell r="N2">
            <v>20170227</v>
          </cell>
        </row>
        <row r="3">
          <cell r="B3" t="str">
            <v>ATO</v>
          </cell>
          <cell r="C3" t="str">
            <v>ATMOS ENERGY CP</v>
          </cell>
          <cell r="D3">
            <v>20161215</v>
          </cell>
          <cell r="E3" t="str">
            <v>EPS</v>
          </cell>
          <cell r="F3" t="str">
            <v>ANN</v>
          </cell>
          <cell r="G3">
            <v>1</v>
          </cell>
          <cell r="H3">
            <v>10</v>
          </cell>
          <cell r="I3">
            <v>3.55</v>
          </cell>
          <cell r="J3">
            <v>3.54</v>
          </cell>
          <cell r="K3">
            <v>0.04</v>
          </cell>
          <cell r="L3">
            <v>20170930</v>
          </cell>
          <cell r="M3">
            <v>3.6</v>
          </cell>
          <cell r="N3">
            <v>20171108</v>
          </cell>
        </row>
        <row r="4">
          <cell r="B4" t="str">
            <v>SR</v>
          </cell>
          <cell r="C4" t="str">
            <v>SPIRE INC</v>
          </cell>
          <cell r="D4">
            <v>20161215</v>
          </cell>
          <cell r="E4" t="str">
            <v>EPS</v>
          </cell>
          <cell r="F4" t="str">
            <v>ANN</v>
          </cell>
          <cell r="G4">
            <v>1</v>
          </cell>
          <cell r="H4">
            <v>9</v>
          </cell>
          <cell r="I4">
            <v>3.55</v>
          </cell>
          <cell r="J4">
            <v>3.54</v>
          </cell>
          <cell r="K4">
            <v>0.02</v>
          </cell>
          <cell r="L4">
            <v>20170930</v>
          </cell>
          <cell r="M4">
            <v>3.56</v>
          </cell>
          <cell r="N4">
            <v>20171115</v>
          </cell>
        </row>
        <row r="5">
          <cell r="B5" t="str">
            <v>NI</v>
          </cell>
          <cell r="C5" t="str">
            <v>NISOURCE</v>
          </cell>
          <cell r="D5">
            <v>20161215</v>
          </cell>
          <cell r="E5" t="str">
            <v>EPS</v>
          </cell>
          <cell r="F5" t="str">
            <v>ANN</v>
          </cell>
          <cell r="G5">
            <v>1</v>
          </cell>
          <cell r="H5">
            <v>15</v>
          </cell>
          <cell r="I5">
            <v>1.07</v>
          </cell>
          <cell r="J5">
            <v>1.07</v>
          </cell>
          <cell r="K5">
            <v>0.02</v>
          </cell>
          <cell r="L5">
            <v>20161231</v>
          </cell>
          <cell r="M5">
            <v>1.0900000000000001</v>
          </cell>
          <cell r="N5">
            <v>20170222</v>
          </cell>
        </row>
        <row r="6">
          <cell r="B6" t="str">
            <v>NJR</v>
          </cell>
          <cell r="C6" t="str">
            <v>NEW JERSEY RES</v>
          </cell>
          <cell r="D6">
            <v>20161215</v>
          </cell>
          <cell r="E6" t="str">
            <v>EPS</v>
          </cell>
          <cell r="F6" t="str">
            <v>ANN</v>
          </cell>
          <cell r="G6">
            <v>1</v>
          </cell>
          <cell r="H6">
            <v>7</v>
          </cell>
          <cell r="I6">
            <v>1.7</v>
          </cell>
          <cell r="J6">
            <v>1.71</v>
          </cell>
          <cell r="K6">
            <v>0.01</v>
          </cell>
          <cell r="L6">
            <v>20170930</v>
          </cell>
          <cell r="M6">
            <v>1.73</v>
          </cell>
          <cell r="N6">
            <v>20171121</v>
          </cell>
        </row>
        <row r="7">
          <cell r="B7" t="str">
            <v>NWN</v>
          </cell>
          <cell r="C7" t="str">
            <v>NW NATURAL GAS</v>
          </cell>
          <cell r="D7">
            <v>20161215</v>
          </cell>
          <cell r="E7" t="str">
            <v>EPS</v>
          </cell>
          <cell r="F7" t="str">
            <v>ANN</v>
          </cell>
          <cell r="G7">
            <v>1</v>
          </cell>
          <cell r="H7">
            <v>6</v>
          </cell>
          <cell r="I7">
            <v>2.21</v>
          </cell>
          <cell r="J7">
            <v>2.21</v>
          </cell>
          <cell r="K7">
            <v>0.04</v>
          </cell>
          <cell r="L7">
            <v>20161231</v>
          </cell>
          <cell r="M7">
            <v>2.19</v>
          </cell>
          <cell r="N7">
            <v>20170227</v>
          </cell>
        </row>
        <row r="8">
          <cell r="B8" t="str">
            <v>OGS</v>
          </cell>
          <cell r="C8" t="str">
            <v>ONE GAS INC</v>
          </cell>
          <cell r="D8">
            <v>20161215</v>
          </cell>
          <cell r="E8" t="str">
            <v>EPS</v>
          </cell>
          <cell r="F8" t="str">
            <v>ANN</v>
          </cell>
          <cell r="G8">
            <v>1</v>
          </cell>
          <cell r="H8">
            <v>8</v>
          </cell>
          <cell r="I8">
            <v>2.63</v>
          </cell>
          <cell r="J8">
            <v>2.63</v>
          </cell>
          <cell r="K8">
            <v>0.04</v>
          </cell>
          <cell r="L8">
            <v>20161231</v>
          </cell>
          <cell r="M8">
            <v>2.65</v>
          </cell>
          <cell r="N8">
            <v>20170222</v>
          </cell>
        </row>
        <row r="9">
          <cell r="B9" t="str">
            <v>SJI</v>
          </cell>
          <cell r="C9" t="str">
            <v>SO JERSEY INDS</v>
          </cell>
          <cell r="D9">
            <v>20161215</v>
          </cell>
          <cell r="E9" t="str">
            <v>EPS</v>
          </cell>
          <cell r="F9" t="str">
            <v>ANN</v>
          </cell>
          <cell r="G9">
            <v>1</v>
          </cell>
          <cell r="H9">
            <v>7</v>
          </cell>
          <cell r="I9">
            <v>1.33</v>
          </cell>
          <cell r="J9">
            <v>1.34</v>
          </cell>
          <cell r="K9">
            <v>0.03</v>
          </cell>
          <cell r="L9">
            <v>20161231</v>
          </cell>
          <cell r="M9">
            <v>1.34</v>
          </cell>
          <cell r="N9">
            <v>20170223</v>
          </cell>
        </row>
        <row r="10">
          <cell r="B10" t="str">
            <v>SWX</v>
          </cell>
          <cell r="C10" t="str">
            <v>SOUTHWEST GAS</v>
          </cell>
          <cell r="D10">
            <v>20161215</v>
          </cell>
          <cell r="E10" t="str">
            <v>EPS</v>
          </cell>
          <cell r="F10" t="str">
            <v>ANN</v>
          </cell>
          <cell r="G10">
            <v>1</v>
          </cell>
          <cell r="H10">
            <v>5</v>
          </cell>
          <cell r="I10">
            <v>3.15</v>
          </cell>
          <cell r="J10">
            <v>3.16</v>
          </cell>
          <cell r="K10">
            <v>0.02</v>
          </cell>
          <cell r="L10">
            <v>20161231</v>
          </cell>
          <cell r="M10">
            <v>3.18</v>
          </cell>
          <cell r="N10">
            <v>20170227</v>
          </cell>
        </row>
        <row r="11">
          <cell r="B11" t="str">
            <v>WGL</v>
          </cell>
          <cell r="C11" t="str">
            <v>WGL HOLDING INC</v>
          </cell>
          <cell r="D11">
            <v>20161215</v>
          </cell>
          <cell r="E11" t="str">
            <v>EPS</v>
          </cell>
          <cell r="F11" t="str">
            <v>ANN</v>
          </cell>
          <cell r="G11">
            <v>1</v>
          </cell>
          <cell r="H11">
            <v>7</v>
          </cell>
          <cell r="I11">
            <v>3.4</v>
          </cell>
          <cell r="J11">
            <v>3.37</v>
          </cell>
          <cell r="K11">
            <v>7.0000000000000007E-2</v>
          </cell>
          <cell r="L11">
            <v>20170930</v>
          </cell>
          <cell r="M11">
            <v>3.11</v>
          </cell>
          <cell r="N11">
            <v>20171117</v>
          </cell>
        </row>
        <row r="12">
          <cell r="B12" t="str">
            <v>LG</v>
          </cell>
          <cell r="C12" t="str">
            <v>LACLEDE GROUP</v>
          </cell>
          <cell r="D12">
            <v>42474</v>
          </cell>
          <cell r="E12" t="str">
            <v>EPS</v>
          </cell>
          <cell r="F12" t="str">
            <v>ANN</v>
          </cell>
          <cell r="G12" t="str">
            <v>1</v>
          </cell>
          <cell r="H12">
            <v>9</v>
          </cell>
          <cell r="I12">
            <v>3.36</v>
          </cell>
          <cell r="J12">
            <v>3.37</v>
          </cell>
          <cell r="K12">
            <v>0.02</v>
          </cell>
          <cell r="L12">
            <v>42643</v>
          </cell>
          <cell r="M12">
            <v>3.42</v>
          </cell>
          <cell r="N12">
            <v>42689</v>
          </cell>
        </row>
      </sheetData>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otev1kft05ou0sd"/>
    </sheetNames>
    <sheetDataSet>
      <sheetData sheetId="0">
        <row r="1">
          <cell r="B1" t="str">
            <v>Official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Forecast Period End Date (SAS Format)</v>
          </cell>
          <cell r="M1" t="str">
            <v>Actual Value, from the Detail Actuals File</v>
          </cell>
          <cell r="N1" t="str">
            <v>Announce date of the Actual, from the Detail Actuals File</v>
          </cell>
        </row>
        <row r="2">
          <cell r="B2" t="str">
            <v>ATG</v>
          </cell>
          <cell r="C2" t="str">
            <v>AGL RESOURCES</v>
          </cell>
          <cell r="D2">
            <v>37609</v>
          </cell>
          <cell r="E2" t="str">
            <v>EPS</v>
          </cell>
          <cell r="F2" t="str">
            <v>LTG</v>
          </cell>
          <cell r="G2" t="str">
            <v>0</v>
          </cell>
          <cell r="H2">
            <v>8</v>
          </cell>
          <cell r="I2">
            <v>7.5</v>
          </cell>
          <cell r="J2">
            <v>7</v>
          </cell>
          <cell r="K2">
            <v>2.14</v>
          </cell>
        </row>
        <row r="3">
          <cell r="B3" t="str">
            <v>CGC</v>
          </cell>
          <cell r="C3" t="str">
            <v>CASCADE NAT GAS</v>
          </cell>
          <cell r="D3">
            <v>37609</v>
          </cell>
          <cell r="E3" t="str">
            <v>EPS</v>
          </cell>
          <cell r="F3" t="str">
            <v>LTG</v>
          </cell>
          <cell r="G3" t="str">
            <v>0</v>
          </cell>
          <cell r="H3">
            <v>1</v>
          </cell>
          <cell r="I3">
            <v>4</v>
          </cell>
          <cell r="J3">
            <v>4</v>
          </cell>
        </row>
        <row r="4">
          <cell r="B4" t="str">
            <v>CPK</v>
          </cell>
          <cell r="C4" t="str">
            <v>CHESAPEAKE UTIL</v>
          </cell>
          <cell r="D4">
            <v>37609</v>
          </cell>
          <cell r="E4" t="str">
            <v>EPS</v>
          </cell>
          <cell r="F4" t="str">
            <v>LTG</v>
          </cell>
          <cell r="G4" t="str">
            <v>0</v>
          </cell>
          <cell r="H4">
            <v>1</v>
          </cell>
          <cell r="I4">
            <v>6</v>
          </cell>
          <cell r="J4">
            <v>6</v>
          </cell>
        </row>
        <row r="5">
          <cell r="B5" t="str">
            <v>ATO</v>
          </cell>
          <cell r="C5" t="str">
            <v>ATMOS ENERGY CP</v>
          </cell>
          <cell r="D5">
            <v>37609</v>
          </cell>
          <cell r="E5" t="str">
            <v>EPS</v>
          </cell>
          <cell r="F5" t="str">
            <v>LTG</v>
          </cell>
          <cell r="G5" t="str">
            <v>0</v>
          </cell>
          <cell r="H5">
            <v>7</v>
          </cell>
          <cell r="I5">
            <v>6</v>
          </cell>
          <cell r="J5">
            <v>6.71</v>
          </cell>
          <cell r="K5">
            <v>1.7</v>
          </cell>
        </row>
        <row r="6">
          <cell r="B6" t="str">
            <v>GAS</v>
          </cell>
          <cell r="C6" t="str">
            <v>NICOR INC</v>
          </cell>
          <cell r="D6">
            <v>37609</v>
          </cell>
          <cell r="E6" t="str">
            <v>EPS</v>
          </cell>
          <cell r="F6" t="str">
            <v>LTG</v>
          </cell>
          <cell r="G6" t="str">
            <v>0</v>
          </cell>
          <cell r="H6">
            <v>6</v>
          </cell>
          <cell r="I6">
            <v>5.5</v>
          </cell>
          <cell r="J6">
            <v>5.17</v>
          </cell>
          <cell r="K6">
            <v>1.47</v>
          </cell>
        </row>
        <row r="7">
          <cell r="B7" t="str">
            <v>LG</v>
          </cell>
          <cell r="C7" t="str">
            <v>LACLEDE GROUP</v>
          </cell>
          <cell r="D7">
            <v>37609</v>
          </cell>
          <cell r="E7" t="str">
            <v>EPS</v>
          </cell>
          <cell r="F7" t="str">
            <v>LTG</v>
          </cell>
          <cell r="G7" t="str">
            <v>0</v>
          </cell>
          <cell r="H7">
            <v>1</v>
          </cell>
          <cell r="I7">
            <v>3</v>
          </cell>
          <cell r="J7">
            <v>3</v>
          </cell>
        </row>
        <row r="8">
          <cell r="B8" t="str">
            <v>KSE</v>
          </cell>
          <cell r="C8" t="str">
            <v>KEYSPAN CP</v>
          </cell>
          <cell r="D8">
            <v>37609</v>
          </cell>
          <cell r="E8" t="str">
            <v>EPS</v>
          </cell>
          <cell r="F8" t="str">
            <v>LTG</v>
          </cell>
          <cell r="G8" t="str">
            <v>0</v>
          </cell>
          <cell r="H8">
            <v>8</v>
          </cell>
          <cell r="I8">
            <v>7.5</v>
          </cell>
          <cell r="J8">
            <v>7.88</v>
          </cell>
          <cell r="K8">
            <v>1.46</v>
          </cell>
        </row>
        <row r="9">
          <cell r="B9" t="str">
            <v>NI</v>
          </cell>
          <cell r="C9" t="str">
            <v>NISOURCE INC</v>
          </cell>
          <cell r="D9">
            <v>37609</v>
          </cell>
          <cell r="E9" t="str">
            <v>EPS</v>
          </cell>
          <cell r="F9" t="str">
            <v>LTG</v>
          </cell>
          <cell r="G9" t="str">
            <v>0</v>
          </cell>
          <cell r="H9">
            <v>10</v>
          </cell>
          <cell r="I9">
            <v>5</v>
          </cell>
          <cell r="J9">
            <v>6</v>
          </cell>
          <cell r="K9">
            <v>2.21</v>
          </cell>
        </row>
        <row r="10">
          <cell r="B10" t="str">
            <v>NJR</v>
          </cell>
          <cell r="C10" t="str">
            <v>NEW JERSEY RES</v>
          </cell>
          <cell r="D10">
            <v>37609</v>
          </cell>
          <cell r="E10" t="str">
            <v>EPS</v>
          </cell>
          <cell r="F10" t="str">
            <v>LTG</v>
          </cell>
          <cell r="G10" t="str">
            <v>0</v>
          </cell>
          <cell r="H10">
            <v>3</v>
          </cell>
          <cell r="I10">
            <v>7</v>
          </cell>
          <cell r="J10">
            <v>6.67</v>
          </cell>
          <cell r="K10">
            <v>1.53</v>
          </cell>
        </row>
        <row r="11">
          <cell r="B11" t="str">
            <v>NWN</v>
          </cell>
          <cell r="C11" t="str">
            <v>NW NATURAL GAS</v>
          </cell>
          <cell r="D11">
            <v>37609</v>
          </cell>
          <cell r="E11" t="str">
            <v>EPS</v>
          </cell>
          <cell r="F11" t="str">
            <v>LTG</v>
          </cell>
          <cell r="G11" t="str">
            <v>0</v>
          </cell>
          <cell r="H11">
            <v>3</v>
          </cell>
          <cell r="I11">
            <v>5</v>
          </cell>
          <cell r="J11">
            <v>5.67</v>
          </cell>
          <cell r="K11">
            <v>2.08</v>
          </cell>
        </row>
        <row r="12">
          <cell r="B12" t="str">
            <v>PNY</v>
          </cell>
          <cell r="C12" t="str">
            <v>PIEDMONT NAT GAS</v>
          </cell>
          <cell r="D12">
            <v>37609</v>
          </cell>
          <cell r="E12" t="str">
            <v>EPS</v>
          </cell>
          <cell r="F12" t="str">
            <v>LTG</v>
          </cell>
          <cell r="G12" t="str">
            <v>0</v>
          </cell>
          <cell r="H12">
            <v>4</v>
          </cell>
          <cell r="I12">
            <v>4.5</v>
          </cell>
          <cell r="J12">
            <v>4.5</v>
          </cell>
          <cell r="K12">
            <v>0.57999999999999996</v>
          </cell>
        </row>
        <row r="13">
          <cell r="B13" t="str">
            <v>SJI</v>
          </cell>
          <cell r="C13" t="str">
            <v>SO JERSEY INDS</v>
          </cell>
          <cell r="D13">
            <v>37609</v>
          </cell>
          <cell r="E13" t="str">
            <v>EPS</v>
          </cell>
          <cell r="F13" t="str">
            <v>LTG</v>
          </cell>
          <cell r="G13" t="str">
            <v>0</v>
          </cell>
          <cell r="H13">
            <v>1</v>
          </cell>
          <cell r="I13">
            <v>5</v>
          </cell>
          <cell r="J13">
            <v>5</v>
          </cell>
        </row>
        <row r="14">
          <cell r="B14" t="str">
            <v>SWX</v>
          </cell>
          <cell r="C14" t="str">
            <v>SOUTHWEST GAS</v>
          </cell>
          <cell r="D14">
            <v>37609</v>
          </cell>
          <cell r="E14" t="str">
            <v>EPS</v>
          </cell>
          <cell r="F14" t="str">
            <v>LTG</v>
          </cell>
          <cell r="G14" t="str">
            <v>0</v>
          </cell>
          <cell r="H14">
            <v>4</v>
          </cell>
          <cell r="I14">
            <v>5</v>
          </cell>
          <cell r="J14">
            <v>5</v>
          </cell>
          <cell r="K14">
            <v>0.82</v>
          </cell>
        </row>
        <row r="15">
          <cell r="B15" t="str">
            <v>WGL</v>
          </cell>
          <cell r="C15" t="str">
            <v>WGL HOLDING INC</v>
          </cell>
          <cell r="D15">
            <v>37609</v>
          </cell>
          <cell r="E15" t="str">
            <v>EPS</v>
          </cell>
          <cell r="F15" t="str">
            <v>LTG</v>
          </cell>
          <cell r="G15" t="str">
            <v>0</v>
          </cell>
          <cell r="H15">
            <v>5</v>
          </cell>
          <cell r="I15">
            <v>4</v>
          </cell>
          <cell r="J15">
            <v>4.4000000000000004</v>
          </cell>
          <cell r="K15">
            <v>0.55000000000000004</v>
          </cell>
        </row>
      </sheetData>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RDS"/>
    </sheetNames>
    <sheetDataSet>
      <sheetData sheetId="0">
        <row r="1">
          <cell r="A1" t="str">
            <v>OFTIC</v>
          </cell>
          <cell r="B1" t="str">
            <v>IBES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USFIRM=0 if from .INT file and USFIRM=1 if from .US file</v>
          </cell>
          <cell r="L1" t="str">
            <v>Forecast Period End Date (SAS Format)</v>
          </cell>
          <cell r="M1" t="str">
            <v>Actual Value, from the Detail Actuals File</v>
          </cell>
          <cell r="N1" t="str">
            <v>Announce date of the Actual, from the Detail Actuals File</v>
          </cell>
        </row>
        <row r="2">
          <cell r="A2" t="str">
            <v>PNW</v>
          </cell>
          <cell r="B2" t="str">
            <v>AZP</v>
          </cell>
          <cell r="C2" t="str">
            <v>PINNACLE WST CAP</v>
          </cell>
          <cell r="D2">
            <v>20011220</v>
          </cell>
          <cell r="E2" t="str">
            <v>EPS</v>
          </cell>
          <cell r="F2" t="str">
            <v>ANN</v>
          </cell>
          <cell r="G2">
            <v>1</v>
          </cell>
          <cell r="H2">
            <v>10</v>
          </cell>
          <cell r="I2">
            <v>4</v>
          </cell>
          <cell r="J2">
            <v>4</v>
          </cell>
          <cell r="K2">
            <v>1</v>
          </cell>
          <cell r="L2">
            <v>20011231</v>
          </cell>
          <cell r="M2">
            <v>4</v>
          </cell>
          <cell r="N2">
            <v>20020128</v>
          </cell>
        </row>
        <row r="3">
          <cell r="A3" t="str">
            <v>CEG</v>
          </cell>
          <cell r="B3" t="str">
            <v>BGE</v>
          </cell>
          <cell r="C3" t="str">
            <v>CONSTELLATION EN</v>
          </cell>
          <cell r="D3">
            <v>20011220</v>
          </cell>
          <cell r="E3" t="str">
            <v>EPS</v>
          </cell>
          <cell r="F3" t="str">
            <v>ANN</v>
          </cell>
          <cell r="G3">
            <v>1</v>
          </cell>
          <cell r="H3">
            <v>15</v>
          </cell>
          <cell r="I3">
            <v>2.6</v>
          </cell>
          <cell r="J3">
            <v>2.61</v>
          </cell>
          <cell r="K3">
            <v>1</v>
          </cell>
          <cell r="L3">
            <v>20011231</v>
          </cell>
          <cell r="M3">
            <v>2.6</v>
          </cell>
          <cell r="N3">
            <v>20020130</v>
          </cell>
        </row>
        <row r="4">
          <cell r="A4" t="str">
            <v>BKH</v>
          </cell>
          <cell r="B4" t="str">
            <v>BHP</v>
          </cell>
          <cell r="C4" t="str">
            <v>BLACK HILLS CP</v>
          </cell>
          <cell r="D4">
            <v>20011220</v>
          </cell>
          <cell r="E4" t="str">
            <v>EPS</v>
          </cell>
          <cell r="F4" t="str">
            <v>ANN</v>
          </cell>
          <cell r="G4">
            <v>1</v>
          </cell>
          <cell r="H4">
            <v>4</v>
          </cell>
          <cell r="I4">
            <v>3.82</v>
          </cell>
          <cell r="J4">
            <v>3.83</v>
          </cell>
          <cell r="K4">
            <v>1</v>
          </cell>
          <cell r="L4">
            <v>20011231</v>
          </cell>
          <cell r="M4">
            <v>3.78</v>
          </cell>
          <cell r="N4">
            <v>20020131</v>
          </cell>
        </row>
        <row r="5">
          <cell r="A5" t="str">
            <v>NST</v>
          </cell>
          <cell r="B5" t="str">
            <v>BSE</v>
          </cell>
          <cell r="C5" t="str">
            <v>NSTAR</v>
          </cell>
          <cell r="D5">
            <v>20011220</v>
          </cell>
          <cell r="E5" t="str">
            <v>EPS</v>
          </cell>
          <cell r="F5" t="str">
            <v>ANN</v>
          </cell>
          <cell r="G5">
            <v>1</v>
          </cell>
          <cell r="H5">
            <v>9</v>
          </cell>
          <cell r="I5">
            <v>1.75</v>
          </cell>
          <cell r="J5">
            <v>1.75</v>
          </cell>
          <cell r="K5">
            <v>1</v>
          </cell>
          <cell r="L5">
            <v>20011231</v>
          </cell>
          <cell r="M5">
            <v>1.615</v>
          </cell>
          <cell r="N5">
            <v>20020124</v>
          </cell>
        </row>
        <row r="6">
          <cell r="A6" t="str">
            <v>CIN</v>
          </cell>
          <cell r="B6" t="str">
            <v>CIN</v>
          </cell>
          <cell r="C6" t="str">
            <v>CINERGY CORP</v>
          </cell>
          <cell r="D6">
            <v>20011220</v>
          </cell>
          <cell r="E6" t="str">
            <v>EPS</v>
          </cell>
          <cell r="F6" t="str">
            <v>ANN</v>
          </cell>
          <cell r="G6">
            <v>1</v>
          </cell>
          <cell r="H6">
            <v>16</v>
          </cell>
          <cell r="I6">
            <v>2.75</v>
          </cell>
          <cell r="J6">
            <v>2.75</v>
          </cell>
          <cell r="K6">
            <v>1</v>
          </cell>
          <cell r="L6">
            <v>20011231</v>
          </cell>
          <cell r="M6">
            <v>2.75</v>
          </cell>
          <cell r="N6">
            <v>20020124</v>
          </cell>
        </row>
        <row r="7">
          <cell r="A7" t="str">
            <v>CMS</v>
          </cell>
          <cell r="B7" t="str">
            <v>CMS</v>
          </cell>
          <cell r="C7" t="str">
            <v>CMS ENERGY CORP</v>
          </cell>
          <cell r="D7">
            <v>20011220</v>
          </cell>
          <cell r="E7" t="str">
            <v>EPS</v>
          </cell>
          <cell r="F7" t="str">
            <v>ANN</v>
          </cell>
          <cell r="G7">
            <v>1</v>
          </cell>
          <cell r="H7">
            <v>16</v>
          </cell>
          <cell r="I7">
            <v>1.74</v>
          </cell>
          <cell r="J7">
            <v>1.78</v>
          </cell>
          <cell r="K7">
            <v>1</v>
          </cell>
          <cell r="L7">
            <v>20011231</v>
          </cell>
          <cell r="M7">
            <v>1.47</v>
          </cell>
          <cell r="N7">
            <v>20020204</v>
          </cell>
        </row>
        <row r="8">
          <cell r="A8" t="str">
            <v>CNL</v>
          </cell>
          <cell r="B8" t="str">
            <v>CNL</v>
          </cell>
          <cell r="C8" t="str">
            <v>CLECO CORP</v>
          </cell>
          <cell r="D8">
            <v>20011220</v>
          </cell>
          <cell r="E8" t="str">
            <v>EPS</v>
          </cell>
          <cell r="F8" t="str">
            <v>ANN</v>
          </cell>
          <cell r="G8">
            <v>1</v>
          </cell>
          <cell r="H8">
            <v>5</v>
          </cell>
          <cell r="I8">
            <v>1.45</v>
          </cell>
          <cell r="J8">
            <v>1.46</v>
          </cell>
          <cell r="K8">
            <v>1</v>
          </cell>
          <cell r="L8">
            <v>20011231</v>
          </cell>
          <cell r="M8">
            <v>1.51</v>
          </cell>
          <cell r="N8">
            <v>20020129</v>
          </cell>
        </row>
        <row r="9">
          <cell r="A9" t="str">
            <v>PGN</v>
          </cell>
          <cell r="B9" t="str">
            <v>CPL</v>
          </cell>
          <cell r="C9" t="str">
            <v>PROGRESS ENERGY</v>
          </cell>
          <cell r="D9">
            <v>20011220</v>
          </cell>
          <cell r="E9" t="str">
            <v>EPS</v>
          </cell>
          <cell r="F9" t="str">
            <v>ANN</v>
          </cell>
          <cell r="G9">
            <v>1</v>
          </cell>
          <cell r="H9">
            <v>14</v>
          </cell>
          <cell r="I9">
            <v>3.4</v>
          </cell>
          <cell r="J9">
            <v>3.39</v>
          </cell>
          <cell r="K9">
            <v>1</v>
          </cell>
          <cell r="L9">
            <v>20011231</v>
          </cell>
          <cell r="M9">
            <v>3.45</v>
          </cell>
          <cell r="N9">
            <v>20020123</v>
          </cell>
        </row>
        <row r="10">
          <cell r="A10" t="str">
            <v>D</v>
          </cell>
          <cell r="B10" t="str">
            <v>D</v>
          </cell>
          <cell r="C10" t="str">
            <v>DOMINION RES INC</v>
          </cell>
          <cell r="D10">
            <v>20011220</v>
          </cell>
          <cell r="E10" t="str">
            <v>EPS</v>
          </cell>
          <cell r="F10" t="str">
            <v>ANN</v>
          </cell>
          <cell r="G10">
            <v>1</v>
          </cell>
          <cell r="H10">
            <v>21</v>
          </cell>
          <cell r="I10">
            <v>2.08</v>
          </cell>
          <cell r="J10">
            <v>2.08</v>
          </cell>
          <cell r="K10">
            <v>1</v>
          </cell>
          <cell r="L10">
            <v>20011231</v>
          </cell>
          <cell r="M10">
            <v>2.085</v>
          </cell>
          <cell r="N10">
            <v>20020124</v>
          </cell>
        </row>
        <row r="11">
          <cell r="A11" t="str">
            <v>DPL</v>
          </cell>
          <cell r="B11" t="str">
            <v>DPL</v>
          </cell>
          <cell r="C11" t="str">
            <v>DPL INC</v>
          </cell>
          <cell r="D11">
            <v>20011220</v>
          </cell>
          <cell r="E11" t="str">
            <v>EPS</v>
          </cell>
          <cell r="F11" t="str">
            <v>ANN</v>
          </cell>
          <cell r="G11">
            <v>1</v>
          </cell>
          <cell r="H11">
            <v>13</v>
          </cell>
          <cell r="I11">
            <v>1.9</v>
          </cell>
          <cell r="J11">
            <v>1.87</v>
          </cell>
          <cell r="K11">
            <v>1</v>
          </cell>
          <cell r="L11">
            <v>20011231</v>
          </cell>
          <cell r="M11">
            <v>1.37</v>
          </cell>
          <cell r="N11">
            <v>20020121</v>
          </cell>
        </row>
        <row r="12">
          <cell r="A12" t="str">
            <v>DTE</v>
          </cell>
          <cell r="B12" t="str">
            <v>DTE</v>
          </cell>
          <cell r="C12" t="str">
            <v>DTE ENERGY</v>
          </cell>
          <cell r="D12">
            <v>20011220</v>
          </cell>
          <cell r="E12" t="str">
            <v>EPS</v>
          </cell>
          <cell r="F12" t="str">
            <v>ANN</v>
          </cell>
          <cell r="G12">
            <v>1</v>
          </cell>
          <cell r="H12">
            <v>12</v>
          </cell>
          <cell r="I12">
            <v>3.5</v>
          </cell>
          <cell r="J12">
            <v>3.5</v>
          </cell>
          <cell r="K12">
            <v>1</v>
          </cell>
          <cell r="L12">
            <v>20011231</v>
          </cell>
          <cell r="M12">
            <v>3.39</v>
          </cell>
          <cell r="N12">
            <v>20020211</v>
          </cell>
        </row>
        <row r="13">
          <cell r="A13" t="str">
            <v>DUK</v>
          </cell>
          <cell r="B13" t="str">
            <v>DUK</v>
          </cell>
          <cell r="C13" t="str">
            <v>DUKE ENERGY CORP</v>
          </cell>
          <cell r="D13">
            <v>20011220</v>
          </cell>
          <cell r="E13" t="str">
            <v>EPS</v>
          </cell>
          <cell r="F13" t="str">
            <v>ANN</v>
          </cell>
          <cell r="G13">
            <v>1</v>
          </cell>
          <cell r="H13">
            <v>20</v>
          </cell>
          <cell r="I13">
            <v>8.25</v>
          </cell>
          <cell r="J13">
            <v>8.2899999999999991</v>
          </cell>
          <cell r="K13">
            <v>1</v>
          </cell>
          <cell r="L13">
            <v>20011231</v>
          </cell>
          <cell r="M13">
            <v>7.92</v>
          </cell>
          <cell r="N13">
            <v>20020117</v>
          </cell>
        </row>
        <row r="14">
          <cell r="A14" t="str">
            <v>ED</v>
          </cell>
          <cell r="B14" t="str">
            <v>ED</v>
          </cell>
          <cell r="C14" t="str">
            <v>CONS EDISON INC</v>
          </cell>
          <cell r="D14">
            <v>20011220</v>
          </cell>
          <cell r="E14" t="str">
            <v>EPS</v>
          </cell>
          <cell r="F14" t="str">
            <v>ANN</v>
          </cell>
          <cell r="G14">
            <v>1</v>
          </cell>
          <cell r="H14">
            <v>13</v>
          </cell>
          <cell r="I14">
            <v>3.24</v>
          </cell>
          <cell r="J14">
            <v>3.23</v>
          </cell>
          <cell r="K14">
            <v>1</v>
          </cell>
          <cell r="L14">
            <v>20011231</v>
          </cell>
          <cell r="M14">
            <v>3.21</v>
          </cell>
          <cell r="N14">
            <v>20020117</v>
          </cell>
        </row>
        <row r="15">
          <cell r="A15" t="str">
            <v>EDE</v>
          </cell>
          <cell r="B15" t="str">
            <v>EDE</v>
          </cell>
          <cell r="C15" t="str">
            <v>EMPIRE DIST ELEC</v>
          </cell>
          <cell r="D15">
            <v>20011220</v>
          </cell>
          <cell r="E15" t="str">
            <v>EPS</v>
          </cell>
          <cell r="F15" t="str">
            <v>ANN</v>
          </cell>
          <cell r="G15">
            <v>1</v>
          </cell>
          <cell r="H15">
            <v>2</v>
          </cell>
          <cell r="I15">
            <v>0.82</v>
          </cell>
          <cell r="J15">
            <v>0.82</v>
          </cell>
          <cell r="K15">
            <v>1</v>
          </cell>
          <cell r="L15">
            <v>20011231</v>
          </cell>
          <cell r="M15">
            <v>0.68</v>
          </cell>
          <cell r="N15">
            <v>20020131</v>
          </cell>
        </row>
        <row r="16">
          <cell r="A16" t="str">
            <v>FPL</v>
          </cell>
          <cell r="B16" t="str">
            <v>FPL</v>
          </cell>
          <cell r="C16" t="str">
            <v>FPL GROUP</v>
          </cell>
          <cell r="D16">
            <v>20011220</v>
          </cell>
          <cell r="E16" t="str">
            <v>EPS</v>
          </cell>
          <cell r="F16" t="str">
            <v>ANN</v>
          </cell>
          <cell r="G16">
            <v>1</v>
          </cell>
          <cell r="H16">
            <v>22</v>
          </cell>
          <cell r="I16">
            <v>0.59</v>
          </cell>
          <cell r="J16">
            <v>0.59</v>
          </cell>
          <cell r="K16">
            <v>1</v>
          </cell>
          <cell r="L16">
            <v>20011231</v>
          </cell>
          <cell r="M16">
            <v>0.58630000000000004</v>
          </cell>
          <cell r="N16">
            <v>20020118</v>
          </cell>
        </row>
        <row r="17">
          <cell r="A17" t="str">
            <v>HE</v>
          </cell>
          <cell r="B17" t="str">
            <v>HE</v>
          </cell>
          <cell r="C17" t="str">
            <v>HAWAIIAN ELEC</v>
          </cell>
          <cell r="D17">
            <v>20011220</v>
          </cell>
          <cell r="E17" t="str">
            <v>EPS</v>
          </cell>
          <cell r="F17" t="str">
            <v>ANN</v>
          </cell>
          <cell r="G17">
            <v>1</v>
          </cell>
          <cell r="H17">
            <v>7</v>
          </cell>
          <cell r="I17">
            <v>1.58</v>
          </cell>
          <cell r="J17">
            <v>1.58</v>
          </cell>
          <cell r="K17">
            <v>1</v>
          </cell>
          <cell r="L17">
            <v>20011231</v>
          </cell>
          <cell r="M17">
            <v>1.595</v>
          </cell>
          <cell r="N17">
            <v>20020123</v>
          </cell>
        </row>
        <row r="18">
          <cell r="A18" t="str">
            <v>IDA</v>
          </cell>
          <cell r="B18" t="str">
            <v>IDA</v>
          </cell>
          <cell r="C18" t="str">
            <v>IDACORP INC.</v>
          </cell>
          <cell r="D18">
            <v>20011220</v>
          </cell>
          <cell r="E18" t="str">
            <v>EPS</v>
          </cell>
          <cell r="F18" t="str">
            <v>ANN</v>
          </cell>
          <cell r="G18">
            <v>1</v>
          </cell>
          <cell r="H18">
            <v>5</v>
          </cell>
          <cell r="I18">
            <v>3.25</v>
          </cell>
          <cell r="J18">
            <v>3.16</v>
          </cell>
          <cell r="K18">
            <v>1</v>
          </cell>
          <cell r="L18">
            <v>20011231</v>
          </cell>
          <cell r="M18">
            <v>3.35</v>
          </cell>
          <cell r="N18">
            <v>20020201</v>
          </cell>
        </row>
        <row r="19">
          <cell r="A19" t="str">
            <v>WR</v>
          </cell>
          <cell r="B19" t="str">
            <v>KAN</v>
          </cell>
          <cell r="C19" t="str">
            <v>WESTN RESOURCES</v>
          </cell>
          <cell r="D19">
            <v>20011220</v>
          </cell>
          <cell r="E19" t="str">
            <v>EPS</v>
          </cell>
          <cell r="F19" t="str">
            <v>ANN</v>
          </cell>
          <cell r="G19">
            <v>1</v>
          </cell>
          <cell r="H19">
            <v>5</v>
          </cell>
          <cell r="I19">
            <v>1.85</v>
          </cell>
          <cell r="J19">
            <v>1.8</v>
          </cell>
          <cell r="K19">
            <v>1</v>
          </cell>
          <cell r="L19">
            <v>20011231</v>
          </cell>
          <cell r="M19">
            <v>-0.31</v>
          </cell>
          <cell r="N19">
            <v>20020218</v>
          </cell>
        </row>
        <row r="20">
          <cell r="A20" t="str">
            <v>GXP</v>
          </cell>
          <cell r="B20" t="str">
            <v>KLT</v>
          </cell>
          <cell r="C20" t="str">
            <v>GREAT PLAINS</v>
          </cell>
          <cell r="D20">
            <v>20011220</v>
          </cell>
          <cell r="E20" t="str">
            <v>EPS</v>
          </cell>
          <cell r="F20" t="str">
            <v>ANN</v>
          </cell>
          <cell r="G20">
            <v>1</v>
          </cell>
          <cell r="H20">
            <v>1</v>
          </cell>
          <cell r="I20">
            <v>1.75</v>
          </cell>
          <cell r="J20">
            <v>1.75</v>
          </cell>
          <cell r="K20">
            <v>1</v>
          </cell>
          <cell r="L20">
            <v>20011231</v>
          </cell>
          <cell r="M20">
            <v>1.59</v>
          </cell>
          <cell r="N20">
            <v>20020207</v>
          </cell>
        </row>
        <row r="21">
          <cell r="A21" t="str">
            <v>ALE</v>
          </cell>
          <cell r="B21" t="str">
            <v>MPL</v>
          </cell>
          <cell r="C21" t="str">
            <v>ALLETE INC</v>
          </cell>
          <cell r="D21">
            <v>20011220</v>
          </cell>
          <cell r="E21" t="str">
            <v>EPS</v>
          </cell>
          <cell r="F21" t="str">
            <v>ANN</v>
          </cell>
          <cell r="G21">
            <v>1</v>
          </cell>
          <cell r="H21">
            <v>7</v>
          </cell>
          <cell r="I21">
            <v>5.37</v>
          </cell>
          <cell r="J21">
            <v>5.38</v>
          </cell>
          <cell r="K21">
            <v>1</v>
          </cell>
          <cell r="L21">
            <v>20011231</v>
          </cell>
          <cell r="M21">
            <v>5.61</v>
          </cell>
          <cell r="N21">
            <v>20020124</v>
          </cell>
        </row>
        <row r="22">
          <cell r="A22" t="str">
            <v>ETR</v>
          </cell>
          <cell r="B22" t="str">
            <v>MSU</v>
          </cell>
          <cell r="C22" t="str">
            <v>ENTERGY CP</v>
          </cell>
          <cell r="D22">
            <v>20011220</v>
          </cell>
          <cell r="E22" t="str">
            <v>EPS</v>
          </cell>
          <cell r="F22" t="str">
            <v>ANN</v>
          </cell>
          <cell r="G22">
            <v>1</v>
          </cell>
          <cell r="H22">
            <v>15</v>
          </cell>
          <cell r="I22">
            <v>3.15</v>
          </cell>
          <cell r="J22">
            <v>3.16</v>
          </cell>
          <cell r="K22">
            <v>1</v>
          </cell>
          <cell r="L22">
            <v>20011231</v>
          </cell>
          <cell r="M22">
            <v>3.23</v>
          </cell>
          <cell r="N22">
            <v>20020131</v>
          </cell>
        </row>
        <row r="23">
          <cell r="A23" t="str">
            <v>EAS</v>
          </cell>
          <cell r="B23" t="str">
            <v>NGE</v>
          </cell>
          <cell r="C23" t="str">
            <v>ENERGY EAST CORP</v>
          </cell>
          <cell r="D23">
            <v>20011220</v>
          </cell>
          <cell r="E23" t="str">
            <v>EPS</v>
          </cell>
          <cell r="F23" t="str">
            <v>ANN</v>
          </cell>
          <cell r="G23">
            <v>1</v>
          </cell>
          <cell r="H23">
            <v>9</v>
          </cell>
          <cell r="I23">
            <v>2</v>
          </cell>
          <cell r="J23">
            <v>2.11</v>
          </cell>
          <cell r="K23">
            <v>1</v>
          </cell>
          <cell r="L23">
            <v>20011231</v>
          </cell>
          <cell r="M23">
            <v>2</v>
          </cell>
          <cell r="N23">
            <v>20020125</v>
          </cell>
        </row>
        <row r="24">
          <cell r="A24" t="str">
            <v>XEL</v>
          </cell>
          <cell r="B24" t="str">
            <v>NSP</v>
          </cell>
          <cell r="C24" t="str">
            <v>XCEL ENERGY INC</v>
          </cell>
          <cell r="D24">
            <v>20011220</v>
          </cell>
          <cell r="E24" t="str">
            <v>EPS</v>
          </cell>
          <cell r="F24" t="str">
            <v>ANN</v>
          </cell>
          <cell r="G24">
            <v>1</v>
          </cell>
          <cell r="H24">
            <v>16</v>
          </cell>
          <cell r="I24">
            <v>2.2999999999999998</v>
          </cell>
          <cell r="J24">
            <v>2.2999999999999998</v>
          </cell>
          <cell r="K24">
            <v>1</v>
          </cell>
          <cell r="L24">
            <v>20011231</v>
          </cell>
          <cell r="M24">
            <v>2.31</v>
          </cell>
          <cell r="N24">
            <v>20020130</v>
          </cell>
        </row>
        <row r="25">
          <cell r="A25" t="str">
            <v>NU</v>
          </cell>
          <cell r="B25" t="str">
            <v>NU</v>
          </cell>
          <cell r="C25" t="str">
            <v>NORTHEAST UTILS</v>
          </cell>
          <cell r="D25">
            <v>20011220</v>
          </cell>
          <cell r="E25" t="str">
            <v>EPS</v>
          </cell>
          <cell r="F25" t="str">
            <v>ANN</v>
          </cell>
          <cell r="G25">
            <v>1</v>
          </cell>
          <cell r="H25">
            <v>7</v>
          </cell>
          <cell r="I25">
            <v>1.35</v>
          </cell>
          <cell r="J25">
            <v>1.34</v>
          </cell>
          <cell r="K25">
            <v>1</v>
          </cell>
          <cell r="L25">
            <v>20011231</v>
          </cell>
          <cell r="M25">
            <v>1.29</v>
          </cell>
          <cell r="N25">
            <v>20020122</v>
          </cell>
        </row>
        <row r="26">
          <cell r="A26" t="str">
            <v>FE</v>
          </cell>
          <cell r="B26" t="str">
            <v>OEC</v>
          </cell>
          <cell r="C26" t="str">
            <v>FIRSTENERGY CORP</v>
          </cell>
          <cell r="D26">
            <v>20011220</v>
          </cell>
          <cell r="E26" t="str">
            <v>EPS</v>
          </cell>
          <cell r="F26" t="str">
            <v>ANN</v>
          </cell>
          <cell r="G26">
            <v>1</v>
          </cell>
          <cell r="H26">
            <v>15</v>
          </cell>
          <cell r="I26">
            <v>2.88</v>
          </cell>
          <cell r="J26">
            <v>2.88</v>
          </cell>
          <cell r="K26">
            <v>1</v>
          </cell>
          <cell r="L26">
            <v>20011231</v>
          </cell>
          <cell r="M26">
            <v>2.85</v>
          </cell>
          <cell r="N26">
            <v>20020130</v>
          </cell>
        </row>
        <row r="27">
          <cell r="A27" t="str">
            <v>OGE</v>
          </cell>
          <cell r="B27" t="str">
            <v>OGE</v>
          </cell>
          <cell r="C27" t="str">
            <v>OGE ENERGY CORP</v>
          </cell>
          <cell r="D27">
            <v>20011220</v>
          </cell>
          <cell r="E27" t="str">
            <v>EPS</v>
          </cell>
          <cell r="F27" t="str">
            <v>ANN</v>
          </cell>
          <cell r="G27">
            <v>1</v>
          </cell>
          <cell r="H27">
            <v>6</v>
          </cell>
          <cell r="I27">
            <v>0.73</v>
          </cell>
          <cell r="J27">
            <v>0.73</v>
          </cell>
          <cell r="K27">
            <v>1</v>
          </cell>
          <cell r="L27">
            <v>20011231</v>
          </cell>
          <cell r="M27">
            <v>0.67500000000000004</v>
          </cell>
          <cell r="N27">
            <v>20020129</v>
          </cell>
        </row>
        <row r="28">
          <cell r="A28" t="str">
            <v>OTTR</v>
          </cell>
          <cell r="B28" t="str">
            <v>OTTR</v>
          </cell>
          <cell r="C28" t="str">
            <v>OTTER TAIL CORP.</v>
          </cell>
          <cell r="D28">
            <v>20011220</v>
          </cell>
          <cell r="E28" t="str">
            <v>EPS</v>
          </cell>
          <cell r="F28" t="str">
            <v>ANN</v>
          </cell>
          <cell r="G28">
            <v>1</v>
          </cell>
          <cell r="H28">
            <v>2</v>
          </cell>
          <cell r="I28">
            <v>1.65</v>
          </cell>
          <cell r="J28">
            <v>1.65</v>
          </cell>
          <cell r="K28">
            <v>1</v>
          </cell>
          <cell r="L28">
            <v>20011231</v>
          </cell>
          <cell r="M28">
            <v>1.68</v>
          </cell>
          <cell r="N28">
            <v>20020204</v>
          </cell>
        </row>
        <row r="29">
          <cell r="A29" t="str">
            <v>PCG</v>
          </cell>
          <cell r="B29" t="str">
            <v>PCG</v>
          </cell>
          <cell r="C29" t="str">
            <v>P G &amp; E CORP</v>
          </cell>
          <cell r="D29">
            <v>20011220</v>
          </cell>
          <cell r="E29" t="str">
            <v>EPS</v>
          </cell>
          <cell r="F29" t="str">
            <v>ANN</v>
          </cell>
          <cell r="G29">
            <v>1</v>
          </cell>
          <cell r="H29">
            <v>12</v>
          </cell>
          <cell r="I29">
            <v>2.7</v>
          </cell>
          <cell r="J29">
            <v>2.64</v>
          </cell>
          <cell r="K29">
            <v>1</v>
          </cell>
          <cell r="L29">
            <v>20011231</v>
          </cell>
          <cell r="M29">
            <v>3.02</v>
          </cell>
          <cell r="N29">
            <v>20020305</v>
          </cell>
        </row>
        <row r="30">
          <cell r="A30" t="str">
            <v>EXC</v>
          </cell>
          <cell r="B30" t="str">
            <v>PE</v>
          </cell>
          <cell r="C30" t="str">
            <v>EXELON CORP</v>
          </cell>
          <cell r="D30">
            <v>20011220</v>
          </cell>
          <cell r="E30" t="str">
            <v>EPS</v>
          </cell>
          <cell r="F30" t="str">
            <v>ANN</v>
          </cell>
          <cell r="G30">
            <v>1</v>
          </cell>
          <cell r="H30">
            <v>17</v>
          </cell>
          <cell r="I30">
            <v>2.17</v>
          </cell>
          <cell r="J30">
            <v>2.1800000000000002</v>
          </cell>
          <cell r="K30">
            <v>1</v>
          </cell>
          <cell r="L30">
            <v>20011231</v>
          </cell>
          <cell r="M30">
            <v>2.2450000000000001</v>
          </cell>
          <cell r="N30">
            <v>20020129</v>
          </cell>
        </row>
        <row r="31">
          <cell r="A31" t="str">
            <v>PEG</v>
          </cell>
          <cell r="B31" t="str">
            <v>PEG</v>
          </cell>
          <cell r="C31" t="str">
            <v>PUB SVC ENTERS</v>
          </cell>
          <cell r="D31">
            <v>20011220</v>
          </cell>
          <cell r="E31" t="str">
            <v>EPS</v>
          </cell>
          <cell r="F31" t="str">
            <v>ANN</v>
          </cell>
          <cell r="G31">
            <v>1</v>
          </cell>
          <cell r="H31">
            <v>17</v>
          </cell>
          <cell r="I31">
            <v>1.83</v>
          </cell>
          <cell r="J31">
            <v>1.84</v>
          </cell>
          <cell r="K31">
            <v>1</v>
          </cell>
          <cell r="L31">
            <v>20011231</v>
          </cell>
          <cell r="M31">
            <v>1.83</v>
          </cell>
          <cell r="N31">
            <v>20020122</v>
          </cell>
        </row>
        <row r="32">
          <cell r="A32" t="str">
            <v>PNM</v>
          </cell>
          <cell r="B32" t="str">
            <v>PNM</v>
          </cell>
          <cell r="C32" t="str">
            <v>PUB SVC N MEX</v>
          </cell>
          <cell r="D32">
            <v>20011220</v>
          </cell>
          <cell r="E32" t="str">
            <v>EPS</v>
          </cell>
          <cell r="F32" t="str">
            <v>ANN</v>
          </cell>
          <cell r="G32">
            <v>1</v>
          </cell>
          <cell r="H32">
            <v>7</v>
          </cell>
          <cell r="I32">
            <v>3</v>
          </cell>
          <cell r="J32">
            <v>2.83</v>
          </cell>
          <cell r="K32">
            <v>1</v>
          </cell>
          <cell r="L32">
            <v>20011231</v>
          </cell>
          <cell r="M32">
            <v>3.0133000000000001</v>
          </cell>
          <cell r="N32">
            <v>20020123</v>
          </cell>
        </row>
        <row r="33">
          <cell r="A33" t="str">
            <v>POM</v>
          </cell>
          <cell r="B33" t="str">
            <v>POM</v>
          </cell>
          <cell r="C33" t="str">
            <v>POTOMAC ELEC</v>
          </cell>
          <cell r="D33">
            <v>20011220</v>
          </cell>
          <cell r="E33" t="str">
            <v>EPS</v>
          </cell>
          <cell r="F33" t="str">
            <v>ANN</v>
          </cell>
          <cell r="G33">
            <v>1</v>
          </cell>
          <cell r="H33">
            <v>10</v>
          </cell>
          <cell r="I33">
            <v>1.89</v>
          </cell>
          <cell r="J33">
            <v>1.88</v>
          </cell>
          <cell r="K33">
            <v>1</v>
          </cell>
          <cell r="L33">
            <v>20011231</v>
          </cell>
          <cell r="M33">
            <v>1.83</v>
          </cell>
          <cell r="N33">
            <v>20020124</v>
          </cell>
        </row>
        <row r="34">
          <cell r="A34" t="str">
            <v>PPL</v>
          </cell>
          <cell r="B34" t="str">
            <v>PPL</v>
          </cell>
          <cell r="C34" t="str">
            <v>PP&amp;L CORP</v>
          </cell>
          <cell r="D34">
            <v>20011220</v>
          </cell>
          <cell r="E34" t="str">
            <v>EPS</v>
          </cell>
          <cell r="F34" t="str">
            <v>ANN</v>
          </cell>
          <cell r="G34">
            <v>1</v>
          </cell>
          <cell r="H34">
            <v>15</v>
          </cell>
          <cell r="I34">
            <v>2.08</v>
          </cell>
          <cell r="J34">
            <v>2.06</v>
          </cell>
          <cell r="K34">
            <v>1</v>
          </cell>
          <cell r="L34">
            <v>20011231</v>
          </cell>
          <cell r="M34">
            <v>2.12</v>
          </cell>
          <cell r="N34">
            <v>20020129</v>
          </cell>
        </row>
        <row r="35">
          <cell r="A35" t="str">
            <v>PSD</v>
          </cell>
          <cell r="B35" t="str">
            <v>PSD</v>
          </cell>
          <cell r="C35" t="str">
            <v>PUGET ENERGY INC</v>
          </cell>
          <cell r="D35">
            <v>20011220</v>
          </cell>
          <cell r="E35" t="str">
            <v>EPS</v>
          </cell>
          <cell r="F35" t="str">
            <v>ANN</v>
          </cell>
          <cell r="G35">
            <v>1</v>
          </cell>
          <cell r="H35">
            <v>5</v>
          </cell>
          <cell r="I35">
            <v>1.1499999999999999</v>
          </cell>
          <cell r="J35">
            <v>1.32</v>
          </cell>
          <cell r="K35">
            <v>1</v>
          </cell>
          <cell r="L35">
            <v>20011231</v>
          </cell>
          <cell r="M35">
            <v>1.35</v>
          </cell>
          <cell r="N35">
            <v>20020211</v>
          </cell>
        </row>
        <row r="36">
          <cell r="A36" t="str">
            <v>EIX</v>
          </cell>
          <cell r="B36" t="str">
            <v>SCE</v>
          </cell>
          <cell r="C36" t="str">
            <v>EDISON INTL</v>
          </cell>
          <cell r="D36">
            <v>20011220</v>
          </cell>
          <cell r="E36" t="str">
            <v>EPS</v>
          </cell>
          <cell r="F36" t="str">
            <v>ANN</v>
          </cell>
          <cell r="G36">
            <v>1</v>
          </cell>
          <cell r="H36">
            <v>10</v>
          </cell>
          <cell r="I36">
            <v>1.3</v>
          </cell>
          <cell r="J36">
            <v>1.31</v>
          </cell>
          <cell r="K36">
            <v>1</v>
          </cell>
          <cell r="L36">
            <v>20011231</v>
          </cell>
          <cell r="M36">
            <v>1.3</v>
          </cell>
          <cell r="N36">
            <v>20020215</v>
          </cell>
        </row>
        <row r="37">
          <cell r="A37" t="str">
            <v>SCG</v>
          </cell>
          <cell r="B37" t="str">
            <v>SCG</v>
          </cell>
          <cell r="C37" t="str">
            <v>SCANA CP</v>
          </cell>
          <cell r="D37">
            <v>20011220</v>
          </cell>
          <cell r="E37" t="str">
            <v>EPS</v>
          </cell>
          <cell r="F37" t="str">
            <v>ANN</v>
          </cell>
          <cell r="G37">
            <v>1</v>
          </cell>
          <cell r="H37">
            <v>8</v>
          </cell>
          <cell r="I37">
            <v>2.2000000000000002</v>
          </cell>
          <cell r="J37">
            <v>2.2200000000000002</v>
          </cell>
          <cell r="K37">
            <v>1</v>
          </cell>
          <cell r="L37">
            <v>20011231</v>
          </cell>
          <cell r="M37">
            <v>2.15</v>
          </cell>
          <cell r="N37">
            <v>20020213</v>
          </cell>
        </row>
        <row r="38">
          <cell r="A38" t="str">
            <v>SRE</v>
          </cell>
          <cell r="B38" t="str">
            <v>SDO</v>
          </cell>
          <cell r="C38" t="str">
            <v>SEMPRA ENERGY</v>
          </cell>
          <cell r="D38">
            <v>20011220</v>
          </cell>
          <cell r="E38" t="str">
            <v>EPS</v>
          </cell>
          <cell r="F38" t="str">
            <v>ANN</v>
          </cell>
          <cell r="G38">
            <v>1</v>
          </cell>
          <cell r="H38">
            <v>13</v>
          </cell>
          <cell r="I38">
            <v>2.5</v>
          </cell>
          <cell r="J38">
            <v>2.5099999999999998</v>
          </cell>
          <cell r="K38">
            <v>1</v>
          </cell>
          <cell r="L38">
            <v>20011231</v>
          </cell>
          <cell r="M38">
            <v>2.52</v>
          </cell>
          <cell r="N38">
            <v>20020124</v>
          </cell>
        </row>
        <row r="39">
          <cell r="A39" t="str">
            <v>VVC</v>
          </cell>
          <cell r="B39" t="str">
            <v>SIG</v>
          </cell>
          <cell r="C39" t="str">
            <v>VECTREN CORP</v>
          </cell>
          <cell r="D39">
            <v>20011220</v>
          </cell>
          <cell r="E39" t="str">
            <v>EPS</v>
          </cell>
          <cell r="F39" t="str">
            <v>ANN</v>
          </cell>
          <cell r="G39">
            <v>1</v>
          </cell>
          <cell r="H39">
            <v>7</v>
          </cell>
          <cell r="I39">
            <v>1.35</v>
          </cell>
          <cell r="J39">
            <v>1.37</v>
          </cell>
          <cell r="K39">
            <v>1</v>
          </cell>
          <cell r="L39">
            <v>20011231</v>
          </cell>
          <cell r="M39">
            <v>1.34</v>
          </cell>
          <cell r="N39">
            <v>20020123</v>
          </cell>
        </row>
        <row r="40">
          <cell r="A40" t="str">
            <v>SO</v>
          </cell>
          <cell r="B40" t="str">
            <v>SO</v>
          </cell>
          <cell r="C40" t="str">
            <v>SOUTHN CO</v>
          </cell>
          <cell r="D40">
            <v>20011220</v>
          </cell>
          <cell r="E40" t="str">
            <v>EPS</v>
          </cell>
          <cell r="F40" t="str">
            <v>ANN</v>
          </cell>
          <cell r="G40">
            <v>1</v>
          </cell>
          <cell r="H40">
            <v>19</v>
          </cell>
          <cell r="I40">
            <v>1.6</v>
          </cell>
          <cell r="J40">
            <v>1.6</v>
          </cell>
          <cell r="K40">
            <v>1</v>
          </cell>
          <cell r="L40">
            <v>20011231</v>
          </cell>
          <cell r="M40">
            <v>1.62</v>
          </cell>
          <cell r="N40">
            <v>20020124</v>
          </cell>
        </row>
        <row r="41">
          <cell r="A41" t="str">
            <v>TE</v>
          </cell>
          <cell r="B41" t="str">
            <v>TE</v>
          </cell>
          <cell r="C41" t="str">
            <v>TECO ENERGY INC</v>
          </cell>
          <cell r="D41">
            <v>20011220</v>
          </cell>
          <cell r="E41" t="str">
            <v>EPS</v>
          </cell>
          <cell r="F41" t="str">
            <v>ANN</v>
          </cell>
          <cell r="G41">
            <v>1</v>
          </cell>
          <cell r="H41">
            <v>20</v>
          </cell>
          <cell r="I41">
            <v>2.29</v>
          </cell>
          <cell r="J41">
            <v>2.2799999999999998</v>
          </cell>
          <cell r="K41">
            <v>1</v>
          </cell>
          <cell r="L41">
            <v>20011231</v>
          </cell>
          <cell r="M41">
            <v>2.2400000000000002</v>
          </cell>
          <cell r="N41">
            <v>20020109</v>
          </cell>
        </row>
        <row r="42">
          <cell r="A42" t="str">
            <v>AEE</v>
          </cell>
          <cell r="B42" t="str">
            <v>UEP</v>
          </cell>
          <cell r="C42" t="str">
            <v>AMEREN CP</v>
          </cell>
          <cell r="D42">
            <v>20011220</v>
          </cell>
          <cell r="E42" t="str">
            <v>EPS</v>
          </cell>
          <cell r="F42" t="str">
            <v>ANN</v>
          </cell>
          <cell r="G42">
            <v>1</v>
          </cell>
          <cell r="H42">
            <v>9</v>
          </cell>
          <cell r="I42">
            <v>3.35</v>
          </cell>
          <cell r="J42">
            <v>3.37</v>
          </cell>
          <cell r="K42">
            <v>1</v>
          </cell>
          <cell r="L42">
            <v>20011231</v>
          </cell>
          <cell r="M42">
            <v>3.45</v>
          </cell>
          <cell r="N42">
            <v>20020205</v>
          </cell>
        </row>
        <row r="43">
          <cell r="A43" t="str">
            <v>UIL</v>
          </cell>
          <cell r="B43" t="str">
            <v>UIL</v>
          </cell>
          <cell r="C43" t="str">
            <v>UIL HOLDING CORP</v>
          </cell>
          <cell r="D43">
            <v>20011220</v>
          </cell>
          <cell r="E43" t="str">
            <v>EPS</v>
          </cell>
          <cell r="F43" t="str">
            <v>ANN</v>
          </cell>
          <cell r="G43">
            <v>1</v>
          </cell>
          <cell r="H43">
            <v>3</v>
          </cell>
          <cell r="I43">
            <v>2.5099999999999998</v>
          </cell>
          <cell r="J43">
            <v>2.4900000000000002</v>
          </cell>
          <cell r="K43">
            <v>1</v>
          </cell>
          <cell r="L43">
            <v>20011231</v>
          </cell>
          <cell r="M43">
            <v>2.5139999999999998</v>
          </cell>
          <cell r="N43">
            <v>20020128</v>
          </cell>
        </row>
        <row r="44">
          <cell r="A44" t="str">
            <v>WEC</v>
          </cell>
          <cell r="B44" t="str">
            <v>WPC</v>
          </cell>
          <cell r="C44" t="str">
            <v>WISCONSIN ENERGY</v>
          </cell>
          <cell r="D44">
            <v>20011220</v>
          </cell>
          <cell r="E44" t="str">
            <v>EPS</v>
          </cell>
          <cell r="F44" t="str">
            <v>ANN</v>
          </cell>
          <cell r="G44">
            <v>1</v>
          </cell>
          <cell r="H44">
            <v>11</v>
          </cell>
          <cell r="I44">
            <v>1.02</v>
          </cell>
          <cell r="J44">
            <v>1.01</v>
          </cell>
          <cell r="K44">
            <v>1</v>
          </cell>
          <cell r="L44">
            <v>20011231</v>
          </cell>
          <cell r="M44">
            <v>0.92</v>
          </cell>
          <cell r="N44">
            <v>20020206</v>
          </cell>
        </row>
        <row r="45">
          <cell r="A45" t="str">
            <v>LNT</v>
          </cell>
          <cell r="B45" t="str">
            <v>WPL</v>
          </cell>
          <cell r="C45" t="str">
            <v>ALLIANT ENER</v>
          </cell>
          <cell r="D45">
            <v>20011220</v>
          </cell>
          <cell r="E45" t="str">
            <v>EPS</v>
          </cell>
          <cell r="F45" t="str">
            <v>ANN</v>
          </cell>
          <cell r="G45">
            <v>1</v>
          </cell>
          <cell r="H45">
            <v>6</v>
          </cell>
          <cell r="I45">
            <v>1.2</v>
          </cell>
          <cell r="J45">
            <v>1.2</v>
          </cell>
          <cell r="K45">
            <v>1</v>
          </cell>
          <cell r="L45">
            <v>20011231</v>
          </cell>
          <cell r="M45">
            <v>1.21</v>
          </cell>
          <cell r="N45">
            <v>20020129</v>
          </cell>
        </row>
        <row r="46">
          <cell r="A46" t="str">
            <v>WPS</v>
          </cell>
          <cell r="B46" t="str">
            <v>WPS</v>
          </cell>
          <cell r="C46" t="str">
            <v>WPS RESOURCES CP</v>
          </cell>
          <cell r="D46">
            <v>20011220</v>
          </cell>
          <cell r="E46" t="str">
            <v>EPS</v>
          </cell>
          <cell r="F46" t="str">
            <v>ANN</v>
          </cell>
          <cell r="G46">
            <v>1</v>
          </cell>
          <cell r="H46">
            <v>4</v>
          </cell>
          <cell r="I46">
            <v>2.54</v>
          </cell>
          <cell r="J46">
            <v>2.54</v>
          </cell>
          <cell r="K46">
            <v>1</v>
          </cell>
          <cell r="L46">
            <v>20011231</v>
          </cell>
          <cell r="M46">
            <v>2.74</v>
          </cell>
          <cell r="N46">
            <v>20020129</v>
          </cell>
        </row>
        <row r="47">
          <cell r="A47" t="str">
            <v>AVA</v>
          </cell>
          <cell r="B47" t="str">
            <v>WWP</v>
          </cell>
          <cell r="C47" t="str">
            <v>AVISTA CORP</v>
          </cell>
          <cell r="D47">
            <v>20011220</v>
          </cell>
          <cell r="E47" t="str">
            <v>EPS</v>
          </cell>
          <cell r="F47" t="str">
            <v>ANN</v>
          </cell>
          <cell r="G47">
            <v>1</v>
          </cell>
          <cell r="H47">
            <v>6</v>
          </cell>
          <cell r="I47">
            <v>1.25</v>
          </cell>
          <cell r="J47">
            <v>1.25</v>
          </cell>
          <cell r="K47">
            <v>1</v>
          </cell>
          <cell r="L47">
            <v>20011231</v>
          </cell>
          <cell r="M47">
            <v>1.39</v>
          </cell>
          <cell r="N47">
            <v>20020131</v>
          </cell>
        </row>
        <row r="48">
          <cell r="A48" t="str">
            <v>OGE</v>
          </cell>
          <cell r="B48" t="str">
            <v>@2OR</v>
          </cell>
          <cell r="C48" t="str">
            <v>ORANGE SA</v>
          </cell>
          <cell r="D48">
            <v>20011220</v>
          </cell>
          <cell r="E48" t="str">
            <v>EPS</v>
          </cell>
          <cell r="F48" t="str">
            <v>ANN</v>
          </cell>
          <cell r="G48">
            <v>1</v>
          </cell>
          <cell r="H48">
            <v>23</v>
          </cell>
          <cell r="I48">
            <v>-0.14000000000000001</v>
          </cell>
          <cell r="J48">
            <v>-0.15</v>
          </cell>
          <cell r="K48">
            <v>0</v>
          </cell>
          <cell r="L48">
            <v>20011231</v>
          </cell>
          <cell r="M48">
            <v>-0.18</v>
          </cell>
          <cell r="N48">
            <v>20020321</v>
          </cell>
        </row>
        <row r="49">
          <cell r="A49" t="str">
            <v>AGR</v>
          </cell>
          <cell r="B49" t="str">
            <v>@AG6</v>
          </cell>
          <cell r="C49" t="str">
            <v>AGRESSO GROUP</v>
          </cell>
          <cell r="D49">
            <v>20011220</v>
          </cell>
          <cell r="E49" t="str">
            <v>EPS</v>
          </cell>
          <cell r="F49" t="str">
            <v>ANN</v>
          </cell>
          <cell r="G49">
            <v>1</v>
          </cell>
          <cell r="H49">
            <v>2</v>
          </cell>
          <cell r="I49">
            <v>0.55000000000000004</v>
          </cell>
          <cell r="J49">
            <v>0.55000000000000004</v>
          </cell>
          <cell r="K49">
            <v>0</v>
          </cell>
          <cell r="L49">
            <v>20001231</v>
          </cell>
        </row>
        <row r="50">
          <cell r="A50" t="str">
            <v>AVA</v>
          </cell>
          <cell r="B50" t="str">
            <v>@AHV</v>
          </cell>
          <cell r="C50" t="str">
            <v>AVA</v>
          </cell>
          <cell r="D50">
            <v>20011220</v>
          </cell>
          <cell r="E50" t="str">
            <v>EPS</v>
          </cell>
          <cell r="F50" t="str">
            <v>ANN</v>
          </cell>
          <cell r="G50">
            <v>1</v>
          </cell>
          <cell r="H50">
            <v>15</v>
          </cell>
          <cell r="I50">
            <v>2.48</v>
          </cell>
          <cell r="J50">
            <v>2.39</v>
          </cell>
          <cell r="K50">
            <v>0</v>
          </cell>
          <cell r="L50">
            <v>20011231</v>
          </cell>
          <cell r="M50">
            <v>2.63</v>
          </cell>
          <cell r="N50">
            <v>20020523</v>
          </cell>
        </row>
        <row r="51">
          <cell r="A51" t="str">
            <v>CNP</v>
          </cell>
          <cell r="B51" t="str">
            <v>@CN0</v>
          </cell>
          <cell r="C51" t="str">
            <v>CNP ASSURANCES</v>
          </cell>
          <cell r="D51">
            <v>20011220</v>
          </cell>
          <cell r="E51" t="str">
            <v>EPS</v>
          </cell>
          <cell r="F51" t="str">
            <v>ANN</v>
          </cell>
          <cell r="G51">
            <v>1</v>
          </cell>
          <cell r="H51">
            <v>17</v>
          </cell>
          <cell r="I51">
            <v>0.86</v>
          </cell>
          <cell r="J51">
            <v>0.88</v>
          </cell>
          <cell r="K51">
            <v>0</v>
          </cell>
          <cell r="L51">
            <v>20011231</v>
          </cell>
          <cell r="M51">
            <v>1.0512999999999999</v>
          </cell>
          <cell r="N51">
            <v>20020318</v>
          </cell>
        </row>
        <row r="52">
          <cell r="A52" t="str">
            <v>CIN</v>
          </cell>
          <cell r="B52" t="str">
            <v>@CUW</v>
          </cell>
          <cell r="C52" t="str">
            <v>CITY OF LONDON</v>
          </cell>
          <cell r="D52">
            <v>20011220</v>
          </cell>
          <cell r="E52" t="str">
            <v>EPS</v>
          </cell>
          <cell r="F52" t="str">
            <v>ANN</v>
          </cell>
          <cell r="G52">
            <v>1</v>
          </cell>
          <cell r="H52">
            <v>1</v>
          </cell>
          <cell r="I52">
            <v>140.36000000000001</v>
          </cell>
          <cell r="J52">
            <v>140.36000000000001</v>
          </cell>
          <cell r="K52">
            <v>0</v>
          </cell>
          <cell r="L52">
            <v>20020331</v>
          </cell>
          <cell r="M52">
            <v>94.549499999999995</v>
          </cell>
          <cell r="N52">
            <v>20020605</v>
          </cell>
        </row>
        <row r="53">
          <cell r="A53" t="str">
            <v>D</v>
          </cell>
          <cell r="B53" t="str">
            <v>@DLM</v>
          </cell>
          <cell r="C53" t="str">
            <v>DALMINE</v>
          </cell>
          <cell r="D53">
            <v>20011220</v>
          </cell>
          <cell r="E53" t="str">
            <v>EPS</v>
          </cell>
          <cell r="F53" t="str">
            <v>ANN</v>
          </cell>
          <cell r="G53">
            <v>1</v>
          </cell>
          <cell r="H53">
            <v>4</v>
          </cell>
          <cell r="I53">
            <v>0.01</v>
          </cell>
          <cell r="J53">
            <v>0.01</v>
          </cell>
          <cell r="K53">
            <v>0</v>
          </cell>
          <cell r="L53">
            <v>20011231</v>
          </cell>
          <cell r="N53">
            <v>20031014</v>
          </cell>
        </row>
        <row r="54">
          <cell r="A54" t="str">
            <v>CIN</v>
          </cell>
          <cell r="B54" t="str">
            <v>@DLU</v>
          </cell>
          <cell r="C54" t="str">
            <v>CARLTON INV.</v>
          </cell>
          <cell r="D54">
            <v>20011220</v>
          </cell>
          <cell r="E54" t="str">
            <v>EPS</v>
          </cell>
          <cell r="F54" t="str">
            <v>ANN</v>
          </cell>
          <cell r="G54">
            <v>1</v>
          </cell>
          <cell r="H54">
            <v>1</v>
          </cell>
          <cell r="I54">
            <v>0.16600000000000001</v>
          </cell>
          <cell r="J54">
            <v>0.16600000000000001</v>
          </cell>
          <cell r="K54">
            <v>0</v>
          </cell>
          <cell r="L54">
            <v>20020630</v>
          </cell>
          <cell r="M54">
            <v>0.52700000000000002</v>
          </cell>
          <cell r="N54">
            <v>20020815</v>
          </cell>
        </row>
        <row r="55">
          <cell r="A55" t="str">
            <v>DTE</v>
          </cell>
          <cell r="B55" t="str">
            <v>@DT</v>
          </cell>
          <cell r="C55" t="str">
            <v>DEUTSCHE TELEKOM</v>
          </cell>
          <cell r="D55">
            <v>20011220</v>
          </cell>
          <cell r="E55" t="str">
            <v>EPS</v>
          </cell>
          <cell r="F55" t="str">
            <v>ANN</v>
          </cell>
          <cell r="G55">
            <v>1</v>
          </cell>
          <cell r="H55">
            <v>42</v>
          </cell>
          <cell r="I55">
            <v>-0.35</v>
          </cell>
          <cell r="J55">
            <v>-0.35</v>
          </cell>
          <cell r="K55">
            <v>0</v>
          </cell>
          <cell r="L55">
            <v>20011231</v>
          </cell>
          <cell r="M55">
            <v>-1.1200000000000001</v>
          </cell>
          <cell r="N55">
            <v>20020305</v>
          </cell>
        </row>
        <row r="56">
          <cell r="A56" t="str">
            <v>EDE</v>
          </cell>
          <cell r="B56" t="str">
            <v>@E2L</v>
          </cell>
          <cell r="C56" t="str">
            <v>EDEGEL (B)</v>
          </cell>
          <cell r="D56">
            <v>20011220</v>
          </cell>
          <cell r="E56" t="str">
            <v>EPS</v>
          </cell>
          <cell r="F56" t="str">
            <v>ANN</v>
          </cell>
          <cell r="G56">
            <v>1</v>
          </cell>
          <cell r="H56">
            <v>5</v>
          </cell>
          <cell r="I56">
            <v>0.02</v>
          </cell>
          <cell r="J56">
            <v>0.03</v>
          </cell>
          <cell r="K56">
            <v>0</v>
          </cell>
          <cell r="L56">
            <v>20011231</v>
          </cell>
          <cell r="M56">
            <v>1.9800000000000002E-2</v>
          </cell>
          <cell r="N56">
            <v>20020226</v>
          </cell>
        </row>
        <row r="57">
          <cell r="A57" t="str">
            <v>EAS</v>
          </cell>
          <cell r="B57" t="str">
            <v>@ESY</v>
          </cell>
          <cell r="C57" t="str">
            <v>EASYSCREEN PLC</v>
          </cell>
          <cell r="D57">
            <v>20011220</v>
          </cell>
          <cell r="E57" t="str">
            <v>EPS</v>
          </cell>
          <cell r="F57" t="str">
            <v>ANN</v>
          </cell>
          <cell r="G57">
            <v>1</v>
          </cell>
          <cell r="H57">
            <v>2</v>
          </cell>
          <cell r="I57">
            <v>-4.2300000000000004</v>
          </cell>
          <cell r="J57">
            <v>-4.2300000000000004</v>
          </cell>
          <cell r="K57">
            <v>0</v>
          </cell>
          <cell r="L57">
            <v>20020331</v>
          </cell>
          <cell r="M57">
            <v>-9.34</v>
          </cell>
          <cell r="N57">
            <v>20020627</v>
          </cell>
        </row>
        <row r="58">
          <cell r="A58" t="str">
            <v>ETR</v>
          </cell>
          <cell r="B58" t="str">
            <v>@NPD</v>
          </cell>
          <cell r="C58" t="str">
            <v>E*TRADE AUSTRALI</v>
          </cell>
          <cell r="D58">
            <v>20011220</v>
          </cell>
          <cell r="E58" t="str">
            <v>EPS</v>
          </cell>
          <cell r="F58" t="str">
            <v>ANN</v>
          </cell>
          <cell r="G58">
            <v>1</v>
          </cell>
          <cell r="H58">
            <v>3</v>
          </cell>
          <cell r="I58">
            <v>-1.4E-2</v>
          </cell>
          <cell r="J58">
            <v>-4.2000000000000003E-2</v>
          </cell>
          <cell r="K58">
            <v>0</v>
          </cell>
          <cell r="L58">
            <v>20020630</v>
          </cell>
          <cell r="M58">
            <v>-0.15</v>
          </cell>
          <cell r="N58">
            <v>20020822</v>
          </cell>
        </row>
        <row r="59">
          <cell r="A59" t="str">
            <v>NST</v>
          </cell>
          <cell r="B59" t="str">
            <v>@NST</v>
          </cell>
          <cell r="C59" t="str">
            <v>NEW STRAITS TIME</v>
          </cell>
          <cell r="D59">
            <v>20011220</v>
          </cell>
          <cell r="E59" t="str">
            <v>EPS</v>
          </cell>
          <cell r="F59" t="str">
            <v>ANN</v>
          </cell>
          <cell r="G59">
            <v>1</v>
          </cell>
          <cell r="H59">
            <v>22</v>
          </cell>
          <cell r="I59">
            <v>-0.23300000000000001</v>
          </cell>
          <cell r="J59">
            <v>-0.19500000000000001</v>
          </cell>
          <cell r="K59">
            <v>0</v>
          </cell>
          <cell r="L59">
            <v>20020831</v>
          </cell>
          <cell r="M59">
            <v>1.589</v>
          </cell>
          <cell r="N59">
            <v>20021031</v>
          </cell>
        </row>
        <row r="60">
          <cell r="A60" t="str">
            <v>PNM</v>
          </cell>
          <cell r="B60" t="str">
            <v>@P27</v>
          </cell>
          <cell r="C60" t="str">
            <v>PHENOMEDIA</v>
          </cell>
          <cell r="D60">
            <v>20011220</v>
          </cell>
          <cell r="E60" t="str">
            <v>EPS</v>
          </cell>
          <cell r="F60" t="str">
            <v>ANN</v>
          </cell>
          <cell r="G60">
            <v>1</v>
          </cell>
          <cell r="H60">
            <v>3</v>
          </cell>
          <cell r="I60">
            <v>0.96</v>
          </cell>
          <cell r="J60">
            <v>0.83</v>
          </cell>
          <cell r="K60">
            <v>0</v>
          </cell>
          <cell r="L60">
            <v>20011231</v>
          </cell>
          <cell r="M60">
            <v>-7.0000000000000007E-2</v>
          </cell>
          <cell r="N60">
            <v>20020621</v>
          </cell>
        </row>
        <row r="61">
          <cell r="A61" t="str">
            <v>POM</v>
          </cell>
          <cell r="B61" t="str">
            <v>@PO8</v>
          </cell>
          <cell r="C61" t="str">
            <v>PLASTIC OMNIUM</v>
          </cell>
          <cell r="D61">
            <v>20011220</v>
          </cell>
          <cell r="E61" t="str">
            <v>EPS</v>
          </cell>
          <cell r="F61" t="str">
            <v>ANN</v>
          </cell>
          <cell r="G61">
            <v>1</v>
          </cell>
          <cell r="H61">
            <v>13</v>
          </cell>
          <cell r="I61">
            <v>0.11</v>
          </cell>
          <cell r="J61">
            <v>0.11</v>
          </cell>
          <cell r="K61">
            <v>0</v>
          </cell>
          <cell r="L61">
            <v>20011231</v>
          </cell>
          <cell r="M61">
            <v>5.9400000000000001E-2</v>
          </cell>
          <cell r="N61">
            <v>20020312</v>
          </cell>
        </row>
        <row r="62">
          <cell r="A62" t="str">
            <v>PSD</v>
          </cell>
          <cell r="B62" t="str">
            <v>@PS8</v>
          </cell>
          <cell r="C62" t="str">
            <v>PSD GROUP</v>
          </cell>
          <cell r="D62">
            <v>20011220</v>
          </cell>
          <cell r="E62" t="str">
            <v>EPS</v>
          </cell>
          <cell r="F62" t="str">
            <v>ANN</v>
          </cell>
          <cell r="G62">
            <v>1</v>
          </cell>
          <cell r="H62">
            <v>3</v>
          </cell>
          <cell r="I62">
            <v>18.98</v>
          </cell>
          <cell r="J62">
            <v>20.170000000000002</v>
          </cell>
          <cell r="K62">
            <v>0</v>
          </cell>
          <cell r="L62">
            <v>20011231</v>
          </cell>
          <cell r="M62">
            <v>10.3</v>
          </cell>
          <cell r="N62">
            <v>20020312</v>
          </cell>
        </row>
        <row r="63">
          <cell r="A63" t="str">
            <v>PGN</v>
          </cell>
          <cell r="B63" t="str">
            <v>@QPA</v>
          </cell>
          <cell r="C63" t="str">
            <v>PARAGON</v>
          </cell>
          <cell r="D63">
            <v>20011220</v>
          </cell>
          <cell r="E63" t="str">
            <v>EPS</v>
          </cell>
          <cell r="F63" t="str">
            <v>ANN</v>
          </cell>
          <cell r="G63">
            <v>1</v>
          </cell>
          <cell r="H63">
            <v>1</v>
          </cell>
          <cell r="I63">
            <v>0.16</v>
          </cell>
          <cell r="J63">
            <v>0.16</v>
          </cell>
          <cell r="K63">
            <v>0</v>
          </cell>
          <cell r="L63">
            <v>20011231</v>
          </cell>
          <cell r="M63">
            <v>0.01</v>
          </cell>
          <cell r="N63">
            <v>20020610</v>
          </cell>
        </row>
        <row r="64">
          <cell r="A64" t="str">
            <v>SO</v>
          </cell>
          <cell r="B64" t="str">
            <v>@SOM</v>
          </cell>
          <cell r="C64" t="str">
            <v>SOMMER-ALLIBERT</v>
          </cell>
          <cell r="D64">
            <v>20011220</v>
          </cell>
          <cell r="E64" t="str">
            <v>EPS</v>
          </cell>
          <cell r="F64" t="str">
            <v>ANN</v>
          </cell>
          <cell r="G64">
            <v>1</v>
          </cell>
          <cell r="H64">
            <v>6</v>
          </cell>
          <cell r="I64">
            <v>3.29</v>
          </cell>
          <cell r="J64">
            <v>3.35</v>
          </cell>
          <cell r="K64">
            <v>0</v>
          </cell>
          <cell r="L64">
            <v>20011231</v>
          </cell>
        </row>
        <row r="65">
          <cell r="A65" t="str">
            <v>WEC</v>
          </cell>
          <cell r="B65" t="str">
            <v>@WE0</v>
          </cell>
          <cell r="C65" t="str">
            <v>WONG ENGINEER</v>
          </cell>
          <cell r="D65">
            <v>20011220</v>
          </cell>
          <cell r="E65" t="str">
            <v>EPS</v>
          </cell>
          <cell r="F65" t="str">
            <v>ANN</v>
          </cell>
          <cell r="G65">
            <v>1</v>
          </cell>
          <cell r="H65">
            <v>1</v>
          </cell>
          <cell r="I65">
            <v>2.8000000000000001E-2</v>
          </cell>
          <cell r="J65">
            <v>2.8000000000000001E-2</v>
          </cell>
          <cell r="K65">
            <v>0</v>
          </cell>
          <cell r="L65">
            <v>20011031</v>
          </cell>
          <cell r="M65">
            <v>-1.8800000000000001E-2</v>
          </cell>
          <cell r="N65">
            <v>20020114</v>
          </cell>
        </row>
        <row r="66">
          <cell r="A66" t="str">
            <v>CIN</v>
          </cell>
          <cell r="B66" t="str">
            <v>@YYN</v>
          </cell>
          <cell r="C66" t="str">
            <v>CIN</v>
          </cell>
          <cell r="D66">
            <v>20011220</v>
          </cell>
          <cell r="E66" t="str">
            <v>EPS</v>
          </cell>
          <cell r="F66" t="str">
            <v>ANN</v>
          </cell>
          <cell r="G66">
            <v>1</v>
          </cell>
          <cell r="H66">
            <v>4</v>
          </cell>
          <cell r="I66">
            <v>0.41</v>
          </cell>
          <cell r="J66">
            <v>0.42</v>
          </cell>
          <cell r="K66">
            <v>0</v>
          </cell>
          <cell r="L66">
            <v>20011231</v>
          </cell>
          <cell r="M66">
            <v>0.42399999999999999</v>
          </cell>
          <cell r="N66">
            <v>20020412</v>
          </cell>
        </row>
        <row r="67">
          <cell r="A67" t="str">
            <v>ALE</v>
          </cell>
          <cell r="B67" t="str">
            <v>ALE1</v>
          </cell>
          <cell r="C67" t="str">
            <v>SLEEMAN BREWS</v>
          </cell>
          <cell r="D67">
            <v>20011220</v>
          </cell>
          <cell r="E67" t="str">
            <v>EPS</v>
          </cell>
          <cell r="F67" t="str">
            <v>ANN</v>
          </cell>
          <cell r="G67">
            <v>1</v>
          </cell>
          <cell r="H67">
            <v>5</v>
          </cell>
          <cell r="I67">
            <v>0.65</v>
          </cell>
          <cell r="J67">
            <v>0.65</v>
          </cell>
          <cell r="K67">
            <v>0</v>
          </cell>
          <cell r="L67">
            <v>20011231</v>
          </cell>
          <cell r="M67">
            <v>0.63</v>
          </cell>
          <cell r="N67">
            <v>20020306</v>
          </cell>
        </row>
        <row r="68">
          <cell r="A68" t="str">
            <v>D</v>
          </cell>
          <cell r="B68" t="str">
            <v>D2</v>
          </cell>
          <cell r="C68" t="str">
            <v>DUNDEE REALTY CP</v>
          </cell>
          <cell r="D68">
            <v>20011220</v>
          </cell>
          <cell r="E68" t="str">
            <v>EPS</v>
          </cell>
          <cell r="F68" t="str">
            <v>ANN</v>
          </cell>
          <cell r="G68">
            <v>1</v>
          </cell>
          <cell r="H68">
            <v>1</v>
          </cell>
          <cell r="I68">
            <v>-0.24</v>
          </cell>
          <cell r="J68">
            <v>-0.24</v>
          </cell>
          <cell r="K68">
            <v>0</v>
          </cell>
          <cell r="L68">
            <v>20011231</v>
          </cell>
          <cell r="M68">
            <v>1.71</v>
          </cell>
          <cell r="N68">
            <v>20020306</v>
          </cell>
        </row>
        <row r="69">
          <cell r="A69" t="str">
            <v>NU</v>
          </cell>
          <cell r="B69" t="str">
            <v>NU1</v>
          </cell>
          <cell r="C69" t="str">
            <v>NU-GRO CORP</v>
          </cell>
          <cell r="D69">
            <v>20011220</v>
          </cell>
          <cell r="E69" t="str">
            <v>EPS</v>
          </cell>
          <cell r="F69" t="str">
            <v>ANN</v>
          </cell>
          <cell r="G69">
            <v>1</v>
          </cell>
          <cell r="H69">
            <v>1</v>
          </cell>
          <cell r="I69">
            <v>0.75</v>
          </cell>
          <cell r="J69">
            <v>0.75</v>
          </cell>
          <cell r="K69">
            <v>0</v>
          </cell>
          <cell r="L69">
            <v>20020930</v>
          </cell>
          <cell r="M69">
            <v>0.69</v>
          </cell>
          <cell r="N69">
            <v>20021113</v>
          </cell>
        </row>
      </sheetData>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RDS"/>
    </sheetNames>
    <sheetDataSet>
      <sheetData sheetId="0">
        <row r="1">
          <cell r="A1" t="str">
            <v>OFTIC</v>
          </cell>
          <cell r="B1" t="str">
            <v>IBES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USFIRM=0 if from .INT file and USFIRM=1 if from .US file</v>
          </cell>
          <cell r="M1" t="str">
            <v>Forecast Period End Date (SAS Format)</v>
          </cell>
          <cell r="N1" t="str">
            <v>Actual Value, from the Detail Actuals File</v>
          </cell>
          <cell r="O1" t="str">
            <v>Announce date of the Actual, from the Detail Actuals File</v>
          </cell>
        </row>
        <row r="2">
          <cell r="A2" t="str">
            <v>PNW</v>
          </cell>
          <cell r="B2" t="str">
            <v>AZP</v>
          </cell>
          <cell r="C2" t="str">
            <v>PINNACLE WST CAP</v>
          </cell>
          <cell r="D2">
            <v>20011220</v>
          </cell>
          <cell r="E2" t="str">
            <v>EPS</v>
          </cell>
          <cell r="F2" t="str">
            <v>LTG</v>
          </cell>
          <cell r="G2">
            <v>0</v>
          </cell>
          <cell r="H2">
            <v>9</v>
          </cell>
          <cell r="I2">
            <v>8</v>
          </cell>
          <cell r="J2">
            <v>8</v>
          </cell>
          <cell r="K2">
            <v>2</v>
          </cell>
          <cell r="L2">
            <v>1</v>
          </cell>
        </row>
        <row r="3">
          <cell r="A3" t="str">
            <v>CEG</v>
          </cell>
          <cell r="B3" t="str">
            <v>BGE</v>
          </cell>
          <cell r="C3" t="str">
            <v>CONSTELLATION EN</v>
          </cell>
          <cell r="D3">
            <v>20011220</v>
          </cell>
          <cell r="E3" t="str">
            <v>EPS</v>
          </cell>
          <cell r="F3" t="str">
            <v>LTG</v>
          </cell>
          <cell r="G3">
            <v>0</v>
          </cell>
          <cell r="H3">
            <v>13</v>
          </cell>
          <cell r="I3">
            <v>6</v>
          </cell>
          <cell r="J3">
            <v>6.92</v>
          </cell>
          <cell r="K3">
            <v>4.09</v>
          </cell>
          <cell r="L3">
            <v>1</v>
          </cell>
        </row>
        <row r="4">
          <cell r="A4" t="str">
            <v>BKH</v>
          </cell>
          <cell r="B4" t="str">
            <v>BHP</v>
          </cell>
          <cell r="C4" t="str">
            <v>BLACK HILLS CP</v>
          </cell>
          <cell r="D4">
            <v>20011220</v>
          </cell>
          <cell r="E4" t="str">
            <v>EPS</v>
          </cell>
          <cell r="F4" t="str">
            <v>LTG</v>
          </cell>
          <cell r="G4">
            <v>0</v>
          </cell>
          <cell r="H4">
            <v>2</v>
          </cell>
          <cell r="I4">
            <v>15</v>
          </cell>
          <cell r="J4">
            <v>15</v>
          </cell>
          <cell r="K4">
            <v>0</v>
          </cell>
          <cell r="L4">
            <v>1</v>
          </cell>
        </row>
        <row r="5">
          <cell r="A5" t="str">
            <v>NST</v>
          </cell>
          <cell r="B5" t="str">
            <v>BSE</v>
          </cell>
          <cell r="C5" t="str">
            <v>NSTAR</v>
          </cell>
          <cell r="D5">
            <v>20011220</v>
          </cell>
          <cell r="E5" t="str">
            <v>EPS</v>
          </cell>
          <cell r="F5" t="str">
            <v>LTG</v>
          </cell>
          <cell r="G5">
            <v>0</v>
          </cell>
          <cell r="H5">
            <v>6</v>
          </cell>
          <cell r="I5">
            <v>7</v>
          </cell>
          <cell r="J5">
            <v>6.67</v>
          </cell>
          <cell r="K5">
            <v>2.0699999999999998</v>
          </cell>
          <cell r="L5">
            <v>1</v>
          </cell>
        </row>
        <row r="6">
          <cell r="A6" t="str">
            <v>CIN</v>
          </cell>
          <cell r="B6" t="str">
            <v>CIN</v>
          </cell>
          <cell r="C6" t="str">
            <v>CINERGY CORP</v>
          </cell>
          <cell r="D6">
            <v>20011220</v>
          </cell>
          <cell r="E6" t="str">
            <v>EPS</v>
          </cell>
          <cell r="F6" t="str">
            <v>LTG</v>
          </cell>
          <cell r="G6">
            <v>0</v>
          </cell>
          <cell r="H6">
            <v>12</v>
          </cell>
          <cell r="I6">
            <v>6.5</v>
          </cell>
          <cell r="J6">
            <v>6.25</v>
          </cell>
          <cell r="K6">
            <v>1.34</v>
          </cell>
          <cell r="L6">
            <v>1</v>
          </cell>
        </row>
        <row r="7">
          <cell r="A7" t="str">
            <v>CMS</v>
          </cell>
          <cell r="B7" t="str">
            <v>CMS</v>
          </cell>
          <cell r="C7" t="str">
            <v>CMS ENERGY CORP</v>
          </cell>
          <cell r="D7">
            <v>20011220</v>
          </cell>
          <cell r="E7" t="str">
            <v>EPS</v>
          </cell>
          <cell r="F7" t="str">
            <v>LTG</v>
          </cell>
          <cell r="G7">
            <v>0</v>
          </cell>
          <cell r="H7">
            <v>11</v>
          </cell>
          <cell r="I7">
            <v>8</v>
          </cell>
          <cell r="J7">
            <v>8.1199999999999992</v>
          </cell>
          <cell r="K7">
            <v>1.55</v>
          </cell>
          <cell r="L7">
            <v>1</v>
          </cell>
        </row>
        <row r="8">
          <cell r="A8" t="str">
            <v>CNL</v>
          </cell>
          <cell r="B8" t="str">
            <v>CNL</v>
          </cell>
          <cell r="C8" t="str">
            <v>CLECO CORP</v>
          </cell>
          <cell r="D8">
            <v>20011220</v>
          </cell>
          <cell r="E8" t="str">
            <v>EPS</v>
          </cell>
          <cell r="F8" t="str">
            <v>LTG</v>
          </cell>
          <cell r="G8">
            <v>0</v>
          </cell>
          <cell r="H8">
            <v>3</v>
          </cell>
          <cell r="I8">
            <v>10</v>
          </cell>
          <cell r="J8">
            <v>9.67</v>
          </cell>
          <cell r="K8">
            <v>0.57999999999999996</v>
          </cell>
          <cell r="L8">
            <v>1</v>
          </cell>
        </row>
        <row r="9">
          <cell r="A9" t="str">
            <v>PGN</v>
          </cell>
          <cell r="B9" t="str">
            <v>CPL</v>
          </cell>
          <cell r="C9" t="str">
            <v>PROGRESS ENERGY</v>
          </cell>
          <cell r="D9">
            <v>20011220</v>
          </cell>
          <cell r="E9" t="str">
            <v>EPS</v>
          </cell>
          <cell r="F9" t="str">
            <v>LTG</v>
          </cell>
          <cell r="G9">
            <v>0</v>
          </cell>
          <cell r="H9">
            <v>10</v>
          </cell>
          <cell r="I9">
            <v>7</v>
          </cell>
          <cell r="J9">
            <v>7.05</v>
          </cell>
          <cell r="K9">
            <v>0.83</v>
          </cell>
          <cell r="L9">
            <v>1</v>
          </cell>
        </row>
        <row r="10">
          <cell r="A10" t="str">
            <v>D</v>
          </cell>
          <cell r="B10" t="str">
            <v>D</v>
          </cell>
          <cell r="C10" t="str">
            <v>DOMINION RES INC</v>
          </cell>
          <cell r="D10">
            <v>20011220</v>
          </cell>
          <cell r="E10" t="str">
            <v>EPS</v>
          </cell>
          <cell r="F10" t="str">
            <v>LTG</v>
          </cell>
          <cell r="G10">
            <v>0</v>
          </cell>
          <cell r="H10">
            <v>15</v>
          </cell>
          <cell r="I10">
            <v>10</v>
          </cell>
          <cell r="J10">
            <v>10.27</v>
          </cell>
          <cell r="K10">
            <v>1.68</v>
          </cell>
          <cell r="L10">
            <v>1</v>
          </cell>
        </row>
        <row r="11">
          <cell r="A11" t="str">
            <v>DPL</v>
          </cell>
          <cell r="B11" t="str">
            <v>DPL</v>
          </cell>
          <cell r="C11" t="str">
            <v>DPL INC</v>
          </cell>
          <cell r="D11">
            <v>20011220</v>
          </cell>
          <cell r="E11" t="str">
            <v>EPS</v>
          </cell>
          <cell r="F11" t="str">
            <v>LTG</v>
          </cell>
          <cell r="G11">
            <v>0</v>
          </cell>
          <cell r="H11">
            <v>12</v>
          </cell>
          <cell r="I11">
            <v>10</v>
          </cell>
          <cell r="J11">
            <v>8.49</v>
          </cell>
          <cell r="K11">
            <v>3.43</v>
          </cell>
          <cell r="L11">
            <v>1</v>
          </cell>
        </row>
        <row r="12">
          <cell r="A12" t="str">
            <v>DTE</v>
          </cell>
          <cell r="B12" t="str">
            <v>DTE</v>
          </cell>
          <cell r="C12" t="str">
            <v>DTE ENERGY</v>
          </cell>
          <cell r="D12">
            <v>20011220</v>
          </cell>
          <cell r="E12" t="str">
            <v>EPS</v>
          </cell>
          <cell r="F12" t="str">
            <v>LTG</v>
          </cell>
          <cell r="G12">
            <v>0</v>
          </cell>
          <cell r="H12">
            <v>9</v>
          </cell>
          <cell r="I12">
            <v>7</v>
          </cell>
          <cell r="J12">
            <v>7</v>
          </cell>
          <cell r="K12">
            <v>0.87</v>
          </cell>
          <cell r="L12">
            <v>1</v>
          </cell>
        </row>
        <row r="13">
          <cell r="A13" t="str">
            <v>DUK</v>
          </cell>
          <cell r="B13" t="str">
            <v>DUK</v>
          </cell>
          <cell r="C13" t="str">
            <v>DUKE ENERGY CORP</v>
          </cell>
          <cell r="D13">
            <v>20011220</v>
          </cell>
          <cell r="E13" t="str">
            <v>EPS</v>
          </cell>
          <cell r="F13" t="str">
            <v>LTG</v>
          </cell>
          <cell r="G13">
            <v>0</v>
          </cell>
          <cell r="H13">
            <v>17</v>
          </cell>
          <cell r="I13">
            <v>13</v>
          </cell>
          <cell r="J13">
            <v>12.62</v>
          </cell>
          <cell r="K13">
            <v>2.16</v>
          </cell>
          <cell r="L13">
            <v>1</v>
          </cell>
        </row>
        <row r="14">
          <cell r="A14" t="str">
            <v>ED</v>
          </cell>
          <cell r="B14" t="str">
            <v>ED</v>
          </cell>
          <cell r="C14" t="str">
            <v>CONS EDISON INC</v>
          </cell>
          <cell r="D14">
            <v>20011220</v>
          </cell>
          <cell r="E14" t="str">
            <v>EPS</v>
          </cell>
          <cell r="F14" t="str">
            <v>LTG</v>
          </cell>
          <cell r="G14">
            <v>0</v>
          </cell>
          <cell r="H14">
            <v>8</v>
          </cell>
          <cell r="I14">
            <v>4.3</v>
          </cell>
          <cell r="J14">
            <v>4.26</v>
          </cell>
          <cell r="K14">
            <v>1.2</v>
          </cell>
          <cell r="L14">
            <v>1</v>
          </cell>
        </row>
        <row r="15">
          <cell r="A15" t="str">
            <v>EDE</v>
          </cell>
          <cell r="B15" t="str">
            <v>EDE</v>
          </cell>
          <cell r="C15" t="str">
            <v>EMPIRE DIST ELEC</v>
          </cell>
          <cell r="D15">
            <v>20011220</v>
          </cell>
          <cell r="E15" t="str">
            <v>EPS</v>
          </cell>
          <cell r="F15" t="str">
            <v>LTG</v>
          </cell>
          <cell r="G15">
            <v>0</v>
          </cell>
          <cell r="H15">
            <v>1</v>
          </cell>
          <cell r="I15">
            <v>6</v>
          </cell>
          <cell r="J15">
            <v>6</v>
          </cell>
          <cell r="L15">
            <v>1</v>
          </cell>
        </row>
        <row r="16">
          <cell r="A16" t="str">
            <v>FPL</v>
          </cell>
          <cell r="B16" t="str">
            <v>FPL</v>
          </cell>
          <cell r="C16" t="str">
            <v>FPL GROUP</v>
          </cell>
          <cell r="D16">
            <v>20011220</v>
          </cell>
          <cell r="E16" t="str">
            <v>EPS</v>
          </cell>
          <cell r="F16" t="str">
            <v>LTG</v>
          </cell>
          <cell r="G16">
            <v>0</v>
          </cell>
          <cell r="H16">
            <v>19</v>
          </cell>
          <cell r="I16">
            <v>7</v>
          </cell>
          <cell r="J16">
            <v>6.79</v>
          </cell>
          <cell r="K16">
            <v>1.32</v>
          </cell>
          <cell r="L16">
            <v>1</v>
          </cell>
        </row>
        <row r="17">
          <cell r="A17" t="str">
            <v>HE</v>
          </cell>
          <cell r="B17" t="str">
            <v>HE</v>
          </cell>
          <cell r="C17" t="str">
            <v>HAWAIIAN ELEC</v>
          </cell>
          <cell r="D17">
            <v>20011220</v>
          </cell>
          <cell r="E17" t="str">
            <v>EPS</v>
          </cell>
          <cell r="F17" t="str">
            <v>LTG</v>
          </cell>
          <cell r="G17">
            <v>0</v>
          </cell>
          <cell r="H17">
            <v>4</v>
          </cell>
          <cell r="I17">
            <v>4.25</v>
          </cell>
          <cell r="J17">
            <v>4</v>
          </cell>
          <cell r="K17">
            <v>1.58</v>
          </cell>
          <cell r="L17">
            <v>1</v>
          </cell>
        </row>
        <row r="18">
          <cell r="A18" t="str">
            <v>IDA</v>
          </cell>
          <cell r="B18" t="str">
            <v>IDA</v>
          </cell>
          <cell r="C18" t="str">
            <v>IDACORP INC.</v>
          </cell>
          <cell r="D18">
            <v>20011220</v>
          </cell>
          <cell r="E18" t="str">
            <v>EPS</v>
          </cell>
          <cell r="F18" t="str">
            <v>LTG</v>
          </cell>
          <cell r="G18">
            <v>0</v>
          </cell>
          <cell r="H18">
            <v>4</v>
          </cell>
          <cell r="I18">
            <v>8</v>
          </cell>
          <cell r="J18">
            <v>7.5</v>
          </cell>
          <cell r="K18">
            <v>4.12</v>
          </cell>
          <cell r="L18">
            <v>1</v>
          </cell>
        </row>
        <row r="19">
          <cell r="A19" t="str">
            <v>WR</v>
          </cell>
          <cell r="B19" t="str">
            <v>KAN</v>
          </cell>
          <cell r="C19" t="str">
            <v>WESTN RESOURCES</v>
          </cell>
          <cell r="D19">
            <v>20011220</v>
          </cell>
          <cell r="E19" t="str">
            <v>EPS</v>
          </cell>
          <cell r="F19" t="str">
            <v>LTG</v>
          </cell>
          <cell r="G19">
            <v>0</v>
          </cell>
          <cell r="H19">
            <v>3</v>
          </cell>
          <cell r="I19">
            <v>5</v>
          </cell>
          <cell r="J19">
            <v>4</v>
          </cell>
          <cell r="K19">
            <v>1.73</v>
          </cell>
          <cell r="L19">
            <v>1</v>
          </cell>
        </row>
        <row r="20">
          <cell r="A20" t="str">
            <v>GXP</v>
          </cell>
          <cell r="B20" t="str">
            <v>KLT</v>
          </cell>
          <cell r="C20" t="str">
            <v>GREAT PLAINS</v>
          </cell>
          <cell r="D20">
            <v>20011220</v>
          </cell>
          <cell r="E20" t="str">
            <v>EPS</v>
          </cell>
          <cell r="F20" t="str">
            <v>LTG</v>
          </cell>
          <cell r="G20">
            <v>0</v>
          </cell>
          <cell r="H20">
            <v>3</v>
          </cell>
          <cell r="I20">
            <v>5</v>
          </cell>
          <cell r="J20">
            <v>4.67</v>
          </cell>
          <cell r="K20">
            <v>0.57999999999999996</v>
          </cell>
          <cell r="L20">
            <v>1</v>
          </cell>
        </row>
        <row r="21">
          <cell r="A21" t="str">
            <v>ALE</v>
          </cell>
          <cell r="B21" t="str">
            <v>MPL</v>
          </cell>
          <cell r="C21" t="str">
            <v>ALLETE INC</v>
          </cell>
          <cell r="D21">
            <v>20011220</v>
          </cell>
          <cell r="E21" t="str">
            <v>EPS</v>
          </cell>
          <cell r="F21" t="str">
            <v>LTG</v>
          </cell>
          <cell r="G21">
            <v>0</v>
          </cell>
          <cell r="H21">
            <v>6</v>
          </cell>
          <cell r="I21">
            <v>8.5</v>
          </cell>
          <cell r="J21">
            <v>8.42</v>
          </cell>
          <cell r="K21">
            <v>3.23</v>
          </cell>
          <cell r="L21">
            <v>1</v>
          </cell>
        </row>
        <row r="22">
          <cell r="A22" t="str">
            <v>ETR</v>
          </cell>
          <cell r="B22" t="str">
            <v>MSU</v>
          </cell>
          <cell r="C22" t="str">
            <v>ENTERGY CP</v>
          </cell>
          <cell r="D22">
            <v>20011220</v>
          </cell>
          <cell r="E22" t="str">
            <v>EPS</v>
          </cell>
          <cell r="F22" t="str">
            <v>LTG</v>
          </cell>
          <cell r="G22">
            <v>0</v>
          </cell>
          <cell r="H22">
            <v>12</v>
          </cell>
          <cell r="I22">
            <v>10</v>
          </cell>
          <cell r="J22">
            <v>9.33</v>
          </cell>
          <cell r="K22">
            <v>3.06</v>
          </cell>
          <cell r="L22">
            <v>1</v>
          </cell>
        </row>
        <row r="23">
          <cell r="A23" t="str">
            <v>EAS</v>
          </cell>
          <cell r="B23" t="str">
            <v>NGE</v>
          </cell>
          <cell r="C23" t="str">
            <v>ENERGY EAST CORP</v>
          </cell>
          <cell r="D23">
            <v>20011220</v>
          </cell>
          <cell r="E23" t="str">
            <v>EPS</v>
          </cell>
          <cell r="F23" t="str">
            <v>LTG</v>
          </cell>
          <cell r="G23">
            <v>0</v>
          </cell>
          <cell r="H23">
            <v>7</v>
          </cell>
          <cell r="I23">
            <v>8</v>
          </cell>
          <cell r="J23">
            <v>7.19</v>
          </cell>
          <cell r="K23">
            <v>2.75</v>
          </cell>
          <cell r="L23">
            <v>1</v>
          </cell>
        </row>
        <row r="24">
          <cell r="A24" t="str">
            <v>XEL</v>
          </cell>
          <cell r="B24" t="str">
            <v>NSP</v>
          </cell>
          <cell r="C24" t="str">
            <v>XCEL ENERGY INC</v>
          </cell>
          <cell r="D24">
            <v>20011220</v>
          </cell>
          <cell r="E24" t="str">
            <v>EPS</v>
          </cell>
          <cell r="F24" t="str">
            <v>LTG</v>
          </cell>
          <cell r="G24">
            <v>0</v>
          </cell>
          <cell r="H24">
            <v>11</v>
          </cell>
          <cell r="I24">
            <v>8</v>
          </cell>
          <cell r="J24">
            <v>8.0500000000000007</v>
          </cell>
          <cell r="K24">
            <v>1.27</v>
          </cell>
          <cell r="L24">
            <v>1</v>
          </cell>
        </row>
        <row r="25">
          <cell r="A25" t="str">
            <v>NU</v>
          </cell>
          <cell r="B25" t="str">
            <v>NU</v>
          </cell>
          <cell r="C25" t="str">
            <v>NORTHEAST UTILS</v>
          </cell>
          <cell r="D25">
            <v>20011220</v>
          </cell>
          <cell r="E25" t="str">
            <v>EPS</v>
          </cell>
          <cell r="F25" t="str">
            <v>LTG</v>
          </cell>
          <cell r="G25">
            <v>0</v>
          </cell>
          <cell r="H25">
            <v>5</v>
          </cell>
          <cell r="I25">
            <v>5</v>
          </cell>
          <cell r="J25">
            <v>6</v>
          </cell>
          <cell r="K25">
            <v>5.39</v>
          </cell>
          <cell r="L25">
            <v>1</v>
          </cell>
        </row>
        <row r="26">
          <cell r="A26" t="str">
            <v>FE</v>
          </cell>
          <cell r="B26" t="str">
            <v>OEC</v>
          </cell>
          <cell r="C26" t="str">
            <v>FIRSTENERGY CORP</v>
          </cell>
          <cell r="D26">
            <v>20011220</v>
          </cell>
          <cell r="E26" t="str">
            <v>EPS</v>
          </cell>
          <cell r="F26" t="str">
            <v>LTG</v>
          </cell>
          <cell r="G26">
            <v>0</v>
          </cell>
          <cell r="H26">
            <v>12</v>
          </cell>
          <cell r="I26">
            <v>7</v>
          </cell>
          <cell r="J26">
            <v>6.58</v>
          </cell>
          <cell r="K26">
            <v>1.1499999999999999</v>
          </cell>
          <cell r="L26">
            <v>1</v>
          </cell>
        </row>
        <row r="27">
          <cell r="A27" t="str">
            <v>OGE</v>
          </cell>
          <cell r="B27" t="str">
            <v>OGE</v>
          </cell>
          <cell r="C27" t="str">
            <v>OGE ENERGY CORP</v>
          </cell>
          <cell r="D27">
            <v>20011220</v>
          </cell>
          <cell r="E27" t="str">
            <v>EPS</v>
          </cell>
          <cell r="F27" t="str">
            <v>LTG</v>
          </cell>
          <cell r="G27">
            <v>0</v>
          </cell>
          <cell r="H27">
            <v>3</v>
          </cell>
          <cell r="I27">
            <v>4</v>
          </cell>
          <cell r="J27">
            <v>4</v>
          </cell>
          <cell r="K27">
            <v>1</v>
          </cell>
          <cell r="L27">
            <v>1</v>
          </cell>
        </row>
        <row r="28">
          <cell r="A28" t="str">
            <v>OTTR</v>
          </cell>
          <cell r="B28" t="str">
            <v>OTTR</v>
          </cell>
          <cell r="C28" t="str">
            <v>OTTER TAIL CORP.</v>
          </cell>
          <cell r="D28">
            <v>20011220</v>
          </cell>
          <cell r="E28" t="str">
            <v>EPS</v>
          </cell>
          <cell r="F28" t="str">
            <v>LTG</v>
          </cell>
          <cell r="G28">
            <v>0</v>
          </cell>
          <cell r="H28">
            <v>2</v>
          </cell>
          <cell r="I28">
            <v>6</v>
          </cell>
          <cell r="J28">
            <v>6</v>
          </cell>
          <cell r="K28">
            <v>1.41</v>
          </cell>
          <cell r="L28">
            <v>1</v>
          </cell>
        </row>
        <row r="29">
          <cell r="A29" t="str">
            <v>PCG</v>
          </cell>
          <cell r="B29" t="str">
            <v>PCG</v>
          </cell>
          <cell r="C29" t="str">
            <v>P G &amp; E CORP</v>
          </cell>
          <cell r="D29">
            <v>20011220</v>
          </cell>
          <cell r="E29" t="str">
            <v>EPS</v>
          </cell>
          <cell r="F29" t="str">
            <v>LTG</v>
          </cell>
          <cell r="G29">
            <v>0</v>
          </cell>
          <cell r="H29">
            <v>9</v>
          </cell>
          <cell r="I29">
            <v>8</v>
          </cell>
          <cell r="J29">
            <v>8</v>
          </cell>
          <cell r="K29">
            <v>0.5</v>
          </cell>
          <cell r="L29">
            <v>1</v>
          </cell>
        </row>
        <row r="30">
          <cell r="A30" t="str">
            <v>EXC</v>
          </cell>
          <cell r="B30" t="str">
            <v>PE</v>
          </cell>
          <cell r="C30" t="str">
            <v>EXELON CORP</v>
          </cell>
          <cell r="D30">
            <v>20011220</v>
          </cell>
          <cell r="E30" t="str">
            <v>EPS</v>
          </cell>
          <cell r="F30" t="str">
            <v>LTG</v>
          </cell>
          <cell r="G30">
            <v>0</v>
          </cell>
          <cell r="H30">
            <v>15</v>
          </cell>
          <cell r="I30">
            <v>6</v>
          </cell>
          <cell r="J30">
            <v>7</v>
          </cell>
          <cell r="K30">
            <v>1.81</v>
          </cell>
          <cell r="L30">
            <v>1</v>
          </cell>
        </row>
        <row r="31">
          <cell r="A31" t="str">
            <v>PEG</v>
          </cell>
          <cell r="B31" t="str">
            <v>PEG</v>
          </cell>
          <cell r="C31" t="str">
            <v>PUB SVC ENTERS</v>
          </cell>
          <cell r="D31">
            <v>20011220</v>
          </cell>
          <cell r="E31" t="str">
            <v>EPS</v>
          </cell>
          <cell r="F31" t="str">
            <v>LTG</v>
          </cell>
          <cell r="G31">
            <v>0</v>
          </cell>
          <cell r="H31">
            <v>15</v>
          </cell>
          <cell r="I31">
            <v>7</v>
          </cell>
          <cell r="J31">
            <v>6.14</v>
          </cell>
          <cell r="K31">
            <v>1.58</v>
          </cell>
          <cell r="L31">
            <v>1</v>
          </cell>
        </row>
        <row r="32">
          <cell r="A32" t="str">
            <v>PNM</v>
          </cell>
          <cell r="B32" t="str">
            <v>PNM</v>
          </cell>
          <cell r="C32" t="str">
            <v>PUB SVC N MEX</v>
          </cell>
          <cell r="D32">
            <v>20011220</v>
          </cell>
          <cell r="E32" t="str">
            <v>EPS</v>
          </cell>
          <cell r="F32" t="str">
            <v>LTG</v>
          </cell>
          <cell r="G32">
            <v>0</v>
          </cell>
          <cell r="H32">
            <v>6</v>
          </cell>
          <cell r="I32">
            <v>6</v>
          </cell>
          <cell r="J32">
            <v>5.45</v>
          </cell>
          <cell r="K32">
            <v>3.26</v>
          </cell>
          <cell r="L32">
            <v>1</v>
          </cell>
        </row>
        <row r="33">
          <cell r="A33" t="str">
            <v>POM</v>
          </cell>
          <cell r="B33" t="str">
            <v>POM</v>
          </cell>
          <cell r="C33" t="str">
            <v>POTOMAC ELEC</v>
          </cell>
          <cell r="D33">
            <v>20011220</v>
          </cell>
          <cell r="E33" t="str">
            <v>EPS</v>
          </cell>
          <cell r="F33" t="str">
            <v>LTG</v>
          </cell>
          <cell r="G33">
            <v>0</v>
          </cell>
          <cell r="H33">
            <v>8</v>
          </cell>
          <cell r="I33">
            <v>5.5</v>
          </cell>
          <cell r="J33">
            <v>4.6900000000000004</v>
          </cell>
          <cell r="K33">
            <v>2.5499999999999998</v>
          </cell>
          <cell r="L33">
            <v>1</v>
          </cell>
        </row>
        <row r="34">
          <cell r="A34" t="str">
            <v>PPL</v>
          </cell>
          <cell r="B34" t="str">
            <v>PPL</v>
          </cell>
          <cell r="C34" t="str">
            <v>PP&amp;L CORP</v>
          </cell>
          <cell r="D34">
            <v>20011220</v>
          </cell>
          <cell r="E34" t="str">
            <v>EPS</v>
          </cell>
          <cell r="F34" t="str">
            <v>LTG</v>
          </cell>
          <cell r="G34">
            <v>0</v>
          </cell>
          <cell r="H34">
            <v>9</v>
          </cell>
          <cell r="I34">
            <v>8</v>
          </cell>
          <cell r="J34">
            <v>9.44</v>
          </cell>
          <cell r="K34">
            <v>3.47</v>
          </cell>
          <cell r="L34">
            <v>1</v>
          </cell>
        </row>
        <row r="35">
          <cell r="A35" t="str">
            <v>PSD</v>
          </cell>
          <cell r="B35" t="str">
            <v>PSD</v>
          </cell>
          <cell r="C35" t="str">
            <v>PUGET ENERGY INC</v>
          </cell>
          <cell r="D35">
            <v>20011220</v>
          </cell>
          <cell r="E35" t="str">
            <v>EPS</v>
          </cell>
          <cell r="F35" t="str">
            <v>LTG</v>
          </cell>
          <cell r="G35">
            <v>0</v>
          </cell>
          <cell r="H35">
            <v>2</v>
          </cell>
          <cell r="I35">
            <v>5.5</v>
          </cell>
          <cell r="J35">
            <v>5.5</v>
          </cell>
          <cell r="K35">
            <v>0.71</v>
          </cell>
          <cell r="L35">
            <v>1</v>
          </cell>
        </row>
        <row r="36">
          <cell r="A36" t="str">
            <v>EIX</v>
          </cell>
          <cell r="B36" t="str">
            <v>SCE</v>
          </cell>
          <cell r="C36" t="str">
            <v>EDISON INTL</v>
          </cell>
          <cell r="D36">
            <v>20011220</v>
          </cell>
          <cell r="E36" t="str">
            <v>EPS</v>
          </cell>
          <cell r="F36" t="str">
            <v>LTG</v>
          </cell>
          <cell r="G36">
            <v>0</v>
          </cell>
          <cell r="H36">
            <v>9</v>
          </cell>
          <cell r="I36">
            <v>9</v>
          </cell>
          <cell r="J36">
            <v>8.33</v>
          </cell>
          <cell r="K36">
            <v>2.2400000000000002</v>
          </cell>
          <cell r="L36">
            <v>1</v>
          </cell>
        </row>
        <row r="37">
          <cell r="A37" t="str">
            <v>SCG</v>
          </cell>
          <cell r="B37" t="str">
            <v>SCG</v>
          </cell>
          <cell r="C37" t="str">
            <v>SCANA CP</v>
          </cell>
          <cell r="D37">
            <v>20011220</v>
          </cell>
          <cell r="E37" t="str">
            <v>EPS</v>
          </cell>
          <cell r="F37" t="str">
            <v>LTG</v>
          </cell>
          <cell r="G37">
            <v>0</v>
          </cell>
          <cell r="H37">
            <v>4</v>
          </cell>
          <cell r="I37">
            <v>5</v>
          </cell>
          <cell r="J37">
            <v>5.13</v>
          </cell>
          <cell r="K37">
            <v>1.65</v>
          </cell>
          <cell r="L37">
            <v>1</v>
          </cell>
        </row>
        <row r="38">
          <cell r="A38" t="str">
            <v>SRE</v>
          </cell>
          <cell r="B38" t="str">
            <v>SDO</v>
          </cell>
          <cell r="C38" t="str">
            <v>SEMPRA ENERGY</v>
          </cell>
          <cell r="D38">
            <v>20011220</v>
          </cell>
          <cell r="E38" t="str">
            <v>EPS</v>
          </cell>
          <cell r="F38" t="str">
            <v>LTG</v>
          </cell>
          <cell r="G38">
            <v>0</v>
          </cell>
          <cell r="H38">
            <v>9</v>
          </cell>
          <cell r="I38">
            <v>9</v>
          </cell>
          <cell r="J38">
            <v>8.67</v>
          </cell>
          <cell r="K38">
            <v>2.2400000000000002</v>
          </cell>
          <cell r="L38">
            <v>1</v>
          </cell>
        </row>
        <row r="39">
          <cell r="A39" t="str">
            <v>VVC</v>
          </cell>
          <cell r="B39" t="str">
            <v>SIG</v>
          </cell>
          <cell r="C39" t="str">
            <v>VECTREN CORP</v>
          </cell>
          <cell r="D39">
            <v>20011220</v>
          </cell>
          <cell r="E39" t="str">
            <v>EPS</v>
          </cell>
          <cell r="F39" t="str">
            <v>LTG</v>
          </cell>
          <cell r="G39">
            <v>0</v>
          </cell>
          <cell r="H39">
            <v>6</v>
          </cell>
          <cell r="I39">
            <v>7.5</v>
          </cell>
          <cell r="J39">
            <v>8</v>
          </cell>
          <cell r="K39">
            <v>1.67</v>
          </cell>
          <cell r="L39">
            <v>1</v>
          </cell>
        </row>
        <row r="40">
          <cell r="A40" t="str">
            <v>SO</v>
          </cell>
          <cell r="B40" t="str">
            <v>SO</v>
          </cell>
          <cell r="C40" t="str">
            <v>SOUTHN CO</v>
          </cell>
          <cell r="D40">
            <v>20011220</v>
          </cell>
          <cell r="E40" t="str">
            <v>EPS</v>
          </cell>
          <cell r="F40" t="str">
            <v>LTG</v>
          </cell>
          <cell r="G40">
            <v>0</v>
          </cell>
          <cell r="H40">
            <v>17</v>
          </cell>
          <cell r="I40">
            <v>5</v>
          </cell>
          <cell r="J40">
            <v>6.32</v>
          </cell>
          <cell r="K40">
            <v>4.8600000000000003</v>
          </cell>
          <cell r="L40">
            <v>1</v>
          </cell>
        </row>
        <row r="41">
          <cell r="A41" t="str">
            <v>TE</v>
          </cell>
          <cell r="B41" t="str">
            <v>TE</v>
          </cell>
          <cell r="C41" t="str">
            <v>TECO ENERGY INC</v>
          </cell>
          <cell r="D41">
            <v>20011220</v>
          </cell>
          <cell r="E41" t="str">
            <v>EPS</v>
          </cell>
          <cell r="F41" t="str">
            <v>LTG</v>
          </cell>
          <cell r="G41">
            <v>0</v>
          </cell>
          <cell r="H41">
            <v>16</v>
          </cell>
          <cell r="I41">
            <v>8.5</v>
          </cell>
          <cell r="J41">
            <v>8.5</v>
          </cell>
          <cell r="K41">
            <v>2.16</v>
          </cell>
          <cell r="L41">
            <v>1</v>
          </cell>
        </row>
        <row r="42">
          <cell r="A42" t="str">
            <v>AEE</v>
          </cell>
          <cell r="B42" t="str">
            <v>UEP</v>
          </cell>
          <cell r="C42" t="str">
            <v>AMEREN CP</v>
          </cell>
          <cell r="D42">
            <v>20011220</v>
          </cell>
          <cell r="E42" t="str">
            <v>EPS</v>
          </cell>
          <cell r="F42" t="str">
            <v>LTG</v>
          </cell>
          <cell r="G42">
            <v>0</v>
          </cell>
          <cell r="H42">
            <v>6</v>
          </cell>
          <cell r="I42">
            <v>5</v>
          </cell>
          <cell r="J42">
            <v>4.83</v>
          </cell>
          <cell r="K42">
            <v>1.72</v>
          </cell>
          <cell r="L42">
            <v>1</v>
          </cell>
        </row>
        <row r="43">
          <cell r="A43" t="str">
            <v>UIL</v>
          </cell>
          <cell r="B43" t="str">
            <v>UIL</v>
          </cell>
          <cell r="C43" t="str">
            <v>UIL HOLDING CORP</v>
          </cell>
          <cell r="D43">
            <v>20011220</v>
          </cell>
          <cell r="E43" t="str">
            <v>EPS</v>
          </cell>
          <cell r="F43" t="str">
            <v>LTG</v>
          </cell>
          <cell r="G43">
            <v>0</v>
          </cell>
          <cell r="H43">
            <v>2</v>
          </cell>
          <cell r="I43">
            <v>2.5</v>
          </cell>
          <cell r="J43">
            <v>2.5</v>
          </cell>
          <cell r="K43">
            <v>0.71</v>
          </cell>
          <cell r="L43">
            <v>1</v>
          </cell>
        </row>
        <row r="44">
          <cell r="A44" t="str">
            <v>WEC</v>
          </cell>
          <cell r="B44" t="str">
            <v>WPC</v>
          </cell>
          <cell r="C44" t="str">
            <v>WISCONSIN ENERGY</v>
          </cell>
          <cell r="D44">
            <v>20011220</v>
          </cell>
          <cell r="E44" t="str">
            <v>EPS</v>
          </cell>
          <cell r="F44" t="str">
            <v>LTG</v>
          </cell>
          <cell r="G44">
            <v>0</v>
          </cell>
          <cell r="H44">
            <v>9</v>
          </cell>
          <cell r="I44">
            <v>5</v>
          </cell>
          <cell r="J44">
            <v>5.49</v>
          </cell>
          <cell r="K44">
            <v>2.13</v>
          </cell>
          <cell r="L44">
            <v>1</v>
          </cell>
        </row>
        <row r="45">
          <cell r="A45" t="str">
            <v>LNT</v>
          </cell>
          <cell r="B45" t="str">
            <v>WPL</v>
          </cell>
          <cell r="C45" t="str">
            <v>ALLIANT ENER</v>
          </cell>
          <cell r="D45">
            <v>20011220</v>
          </cell>
          <cell r="E45" t="str">
            <v>EPS</v>
          </cell>
          <cell r="F45" t="str">
            <v>LTG</v>
          </cell>
          <cell r="G45">
            <v>0</v>
          </cell>
          <cell r="H45">
            <v>2</v>
          </cell>
          <cell r="I45">
            <v>4</v>
          </cell>
          <cell r="J45">
            <v>4</v>
          </cell>
          <cell r="K45">
            <v>2.83</v>
          </cell>
          <cell r="L45">
            <v>1</v>
          </cell>
        </row>
        <row r="46">
          <cell r="A46" t="str">
            <v>WPS</v>
          </cell>
          <cell r="B46" t="str">
            <v>WPS</v>
          </cell>
          <cell r="C46" t="str">
            <v>WPS RESOURCES CP</v>
          </cell>
          <cell r="D46">
            <v>20011220</v>
          </cell>
          <cell r="E46" t="str">
            <v>EPS</v>
          </cell>
          <cell r="F46" t="str">
            <v>LTG</v>
          </cell>
          <cell r="G46">
            <v>0</v>
          </cell>
          <cell r="H46">
            <v>2</v>
          </cell>
          <cell r="I46">
            <v>4</v>
          </cell>
          <cell r="J46">
            <v>4</v>
          </cell>
          <cell r="K46">
            <v>2.83</v>
          </cell>
          <cell r="L46">
            <v>1</v>
          </cell>
        </row>
        <row r="47">
          <cell r="A47" t="str">
            <v>AVA</v>
          </cell>
          <cell r="B47" t="str">
            <v>WWP</v>
          </cell>
          <cell r="C47" t="str">
            <v>AVISTA CORP</v>
          </cell>
          <cell r="D47">
            <v>20011220</v>
          </cell>
          <cell r="E47" t="str">
            <v>EPS</v>
          </cell>
          <cell r="F47" t="str">
            <v>LTG</v>
          </cell>
          <cell r="G47">
            <v>0</v>
          </cell>
          <cell r="H47">
            <v>3</v>
          </cell>
          <cell r="I47">
            <v>4</v>
          </cell>
          <cell r="J47">
            <v>9</v>
          </cell>
          <cell r="K47">
            <v>9.5399999999999991</v>
          </cell>
          <cell r="L47">
            <v>1</v>
          </cell>
        </row>
        <row r="48">
          <cell r="A48" t="str">
            <v>OGE</v>
          </cell>
          <cell r="B48" t="str">
            <v>@2OR</v>
          </cell>
          <cell r="C48" t="str">
            <v>ORANGE SA</v>
          </cell>
          <cell r="D48">
            <v>20011220</v>
          </cell>
          <cell r="E48" t="str">
            <v>EPS</v>
          </cell>
          <cell r="F48" t="str">
            <v>LTG</v>
          </cell>
          <cell r="G48">
            <v>0</v>
          </cell>
          <cell r="H48">
            <v>1</v>
          </cell>
          <cell r="I48">
            <v>4.5</v>
          </cell>
          <cell r="J48">
            <v>4.5</v>
          </cell>
          <cell r="L48">
            <v>0</v>
          </cell>
        </row>
        <row r="49">
          <cell r="A49" t="str">
            <v>CNP</v>
          </cell>
          <cell r="B49" t="str">
            <v>@CN0</v>
          </cell>
          <cell r="C49" t="str">
            <v>CNP ASSURANCES</v>
          </cell>
          <cell r="D49">
            <v>20011220</v>
          </cell>
          <cell r="E49" t="str">
            <v>EPS</v>
          </cell>
          <cell r="F49" t="str">
            <v>LTG</v>
          </cell>
          <cell r="G49">
            <v>0</v>
          </cell>
          <cell r="H49">
            <v>3</v>
          </cell>
          <cell r="I49">
            <v>14.4</v>
          </cell>
          <cell r="J49">
            <v>14.28</v>
          </cell>
          <cell r="K49">
            <v>1.28</v>
          </cell>
          <cell r="L49">
            <v>0</v>
          </cell>
        </row>
        <row r="50">
          <cell r="A50" t="str">
            <v>DTE</v>
          </cell>
          <cell r="B50" t="str">
            <v>@DT</v>
          </cell>
          <cell r="C50" t="str">
            <v>DEUTSCHE TELEKOM</v>
          </cell>
          <cell r="D50">
            <v>20011220</v>
          </cell>
          <cell r="E50" t="str">
            <v>EPS</v>
          </cell>
          <cell r="F50" t="str">
            <v>LTG</v>
          </cell>
          <cell r="G50">
            <v>0</v>
          </cell>
          <cell r="H50">
            <v>4</v>
          </cell>
          <cell r="I50">
            <v>5.67</v>
          </cell>
          <cell r="J50">
            <v>9.4600000000000009</v>
          </cell>
          <cell r="K50">
            <v>9.09</v>
          </cell>
          <cell r="L50">
            <v>0</v>
          </cell>
        </row>
        <row r="51">
          <cell r="A51" t="str">
            <v>NST</v>
          </cell>
          <cell r="B51" t="str">
            <v>@NST</v>
          </cell>
          <cell r="C51" t="str">
            <v>NEW STRAITS TIME</v>
          </cell>
          <cell r="D51">
            <v>20011220</v>
          </cell>
          <cell r="E51" t="str">
            <v>EPS</v>
          </cell>
          <cell r="F51" t="str">
            <v>LTG</v>
          </cell>
          <cell r="G51">
            <v>0</v>
          </cell>
          <cell r="H51">
            <v>2</v>
          </cell>
          <cell r="I51">
            <v>-103.4</v>
          </cell>
          <cell r="J51">
            <v>-103.4</v>
          </cell>
          <cell r="K51">
            <v>167.44</v>
          </cell>
          <cell r="L51">
            <v>0</v>
          </cell>
        </row>
        <row r="52">
          <cell r="A52" t="str">
            <v>POM</v>
          </cell>
          <cell r="B52" t="str">
            <v>@PO8</v>
          </cell>
          <cell r="C52" t="str">
            <v>PLASTIC OMNIUM</v>
          </cell>
          <cell r="D52">
            <v>20011220</v>
          </cell>
          <cell r="E52" t="str">
            <v>EPS</v>
          </cell>
          <cell r="F52" t="str">
            <v>LTG</v>
          </cell>
          <cell r="G52">
            <v>0</v>
          </cell>
          <cell r="H52">
            <v>2</v>
          </cell>
          <cell r="I52">
            <v>10.8</v>
          </cell>
          <cell r="J52">
            <v>10.8</v>
          </cell>
          <cell r="K52">
            <v>6.79</v>
          </cell>
          <cell r="L52">
            <v>0</v>
          </cell>
        </row>
        <row r="53">
          <cell r="A53" t="str">
            <v>SO</v>
          </cell>
          <cell r="B53" t="str">
            <v>@SOM</v>
          </cell>
          <cell r="C53" t="str">
            <v>SOMMER-ALLIBERT</v>
          </cell>
          <cell r="D53">
            <v>20011220</v>
          </cell>
          <cell r="E53" t="str">
            <v>EPS</v>
          </cell>
          <cell r="F53" t="str">
            <v>LTG</v>
          </cell>
          <cell r="G53">
            <v>0</v>
          </cell>
          <cell r="H53">
            <v>2</v>
          </cell>
          <cell r="I53">
            <v>8</v>
          </cell>
          <cell r="J53">
            <v>8</v>
          </cell>
          <cell r="K53">
            <v>1.41</v>
          </cell>
          <cell r="L53">
            <v>0</v>
          </cell>
        </row>
      </sheetData>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cpduh2lqkohgbf3"/>
    </sheetNames>
    <sheetDataSet>
      <sheetData sheetId="0">
        <row r="1">
          <cell r="B1" t="str">
            <v>Official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Forecast Period End Date (SAS Format)</v>
          </cell>
          <cell r="M1" t="str">
            <v>Actual Value, from the Detail Actuals File</v>
          </cell>
          <cell r="N1" t="str">
            <v>Announce date of the Actual, from the Detail Actuals File</v>
          </cell>
        </row>
        <row r="2">
          <cell r="B2" t="str">
            <v>ATG</v>
          </cell>
          <cell r="C2" t="str">
            <v>AGL RESOURCES</v>
          </cell>
          <cell r="D2">
            <v>37245</v>
          </cell>
          <cell r="E2" t="str">
            <v>EPS</v>
          </cell>
          <cell r="F2" t="str">
            <v>ANN</v>
          </cell>
          <cell r="G2" t="str">
            <v>1</v>
          </cell>
          <cell r="H2">
            <v>9</v>
          </cell>
          <cell r="I2">
            <v>1.65</v>
          </cell>
          <cell r="J2">
            <v>1.64</v>
          </cell>
          <cell r="K2">
            <v>0.05</v>
          </cell>
          <cell r="L2">
            <v>37529</v>
          </cell>
          <cell r="M2">
            <v>1.5</v>
          </cell>
          <cell r="N2">
            <v>37298</v>
          </cell>
        </row>
        <row r="3">
          <cell r="B3" t="str">
            <v>CGC</v>
          </cell>
          <cell r="C3" t="str">
            <v>CASCADE NAT GAS</v>
          </cell>
          <cell r="D3">
            <v>37245</v>
          </cell>
          <cell r="E3" t="str">
            <v>EPS</v>
          </cell>
          <cell r="F3" t="str">
            <v>ANN</v>
          </cell>
          <cell r="G3" t="str">
            <v>1</v>
          </cell>
          <cell r="H3">
            <v>3</v>
          </cell>
          <cell r="I3">
            <v>1.56</v>
          </cell>
          <cell r="J3">
            <v>1.56</v>
          </cell>
          <cell r="K3">
            <v>0.01</v>
          </cell>
          <cell r="L3">
            <v>37529</v>
          </cell>
          <cell r="M3">
            <v>1.1299999999999999</v>
          </cell>
          <cell r="N3">
            <v>37565</v>
          </cell>
        </row>
        <row r="4">
          <cell r="B4" t="str">
            <v>CPK</v>
          </cell>
          <cell r="C4" t="str">
            <v>CHESAPEAKE UTIL</v>
          </cell>
          <cell r="D4">
            <v>37245</v>
          </cell>
          <cell r="E4" t="str">
            <v>EPS</v>
          </cell>
          <cell r="F4" t="str">
            <v>ANN</v>
          </cell>
          <cell r="G4" t="str">
            <v>1</v>
          </cell>
          <cell r="H4">
            <v>1</v>
          </cell>
          <cell r="I4">
            <v>0.87</v>
          </cell>
          <cell r="J4">
            <v>0.87</v>
          </cell>
          <cell r="L4">
            <v>37256</v>
          </cell>
          <cell r="M4">
            <v>0.82669999999999999</v>
          </cell>
          <cell r="N4">
            <v>37313</v>
          </cell>
        </row>
        <row r="5">
          <cell r="B5" t="str">
            <v>ATO</v>
          </cell>
          <cell r="C5" t="str">
            <v>ATMOS ENERGY CP</v>
          </cell>
          <cell r="D5">
            <v>37245</v>
          </cell>
          <cell r="E5" t="str">
            <v>EPS</v>
          </cell>
          <cell r="F5" t="str">
            <v>ANN</v>
          </cell>
          <cell r="G5" t="str">
            <v>1</v>
          </cell>
          <cell r="H5">
            <v>6</v>
          </cell>
          <cell r="I5">
            <v>1.6</v>
          </cell>
          <cell r="J5">
            <v>1.58</v>
          </cell>
          <cell r="K5">
            <v>0.04</v>
          </cell>
          <cell r="L5">
            <v>37529</v>
          </cell>
          <cell r="M5">
            <v>1.45</v>
          </cell>
          <cell r="N5">
            <v>37573</v>
          </cell>
        </row>
        <row r="6">
          <cell r="B6" t="str">
            <v>GAS</v>
          </cell>
          <cell r="C6" t="str">
            <v>NICOR INC</v>
          </cell>
          <cell r="D6">
            <v>37245</v>
          </cell>
          <cell r="E6" t="str">
            <v>EPS</v>
          </cell>
          <cell r="F6" t="str">
            <v>ANN</v>
          </cell>
          <cell r="G6" t="str">
            <v>1</v>
          </cell>
          <cell r="H6">
            <v>7</v>
          </cell>
          <cell r="I6">
            <v>3.05</v>
          </cell>
          <cell r="J6">
            <v>3.02</v>
          </cell>
          <cell r="K6">
            <v>0.04</v>
          </cell>
          <cell r="L6">
            <v>37256</v>
          </cell>
          <cell r="M6">
            <v>3.17</v>
          </cell>
          <cell r="N6">
            <v>37279</v>
          </cell>
        </row>
        <row r="7">
          <cell r="B7" t="str">
            <v>LG</v>
          </cell>
          <cell r="C7" t="str">
            <v>LACLEDE GROUP</v>
          </cell>
          <cell r="D7">
            <v>37245</v>
          </cell>
          <cell r="E7" t="str">
            <v>EPS</v>
          </cell>
          <cell r="F7" t="str">
            <v>ANN</v>
          </cell>
          <cell r="G7" t="str">
            <v>1</v>
          </cell>
          <cell r="H7">
            <v>1</v>
          </cell>
          <cell r="I7">
            <v>1.64</v>
          </cell>
          <cell r="J7">
            <v>1.64</v>
          </cell>
          <cell r="L7">
            <v>37529</v>
          </cell>
          <cell r="M7">
            <v>1.18</v>
          </cell>
          <cell r="N7">
            <v>37568</v>
          </cell>
        </row>
        <row r="8">
          <cell r="B8" t="str">
            <v>KSE</v>
          </cell>
          <cell r="C8" t="str">
            <v>KEYSPAN CP</v>
          </cell>
          <cell r="D8">
            <v>37245</v>
          </cell>
          <cell r="E8" t="str">
            <v>EPS</v>
          </cell>
          <cell r="F8" t="str">
            <v>ANN</v>
          </cell>
          <cell r="G8" t="str">
            <v>1</v>
          </cell>
          <cell r="H8">
            <v>10</v>
          </cell>
          <cell r="I8">
            <v>2.52</v>
          </cell>
          <cell r="J8">
            <v>2.52</v>
          </cell>
          <cell r="K8">
            <v>0.02</v>
          </cell>
          <cell r="L8">
            <v>37256</v>
          </cell>
          <cell r="M8">
            <v>2.5299999999999998</v>
          </cell>
          <cell r="N8">
            <v>37280</v>
          </cell>
        </row>
        <row r="9">
          <cell r="B9" t="str">
            <v>NI</v>
          </cell>
          <cell r="C9" t="str">
            <v>NISOURCE INC</v>
          </cell>
          <cell r="D9">
            <v>37245</v>
          </cell>
          <cell r="E9" t="str">
            <v>EPS</v>
          </cell>
          <cell r="F9" t="str">
            <v>ANN</v>
          </cell>
          <cell r="G9" t="str">
            <v>1</v>
          </cell>
          <cell r="H9">
            <v>11</v>
          </cell>
          <cell r="I9">
            <v>1.5</v>
          </cell>
          <cell r="J9">
            <v>1.56</v>
          </cell>
          <cell r="K9">
            <v>0.1</v>
          </cell>
          <cell r="L9">
            <v>37256</v>
          </cell>
          <cell r="M9">
            <v>1.44</v>
          </cell>
          <cell r="N9">
            <v>37286</v>
          </cell>
        </row>
        <row r="10">
          <cell r="B10" t="str">
            <v>NJR</v>
          </cell>
          <cell r="C10" t="str">
            <v>NEW JERSEY RES</v>
          </cell>
          <cell r="D10">
            <v>37245</v>
          </cell>
          <cell r="E10" t="str">
            <v>EPS</v>
          </cell>
          <cell r="F10" t="str">
            <v>ANN</v>
          </cell>
          <cell r="G10" t="str">
            <v>1</v>
          </cell>
          <cell r="H10">
            <v>5</v>
          </cell>
          <cell r="I10">
            <v>0.7</v>
          </cell>
          <cell r="J10">
            <v>0.69</v>
          </cell>
          <cell r="K10">
            <v>0.01</v>
          </cell>
          <cell r="L10">
            <v>37529</v>
          </cell>
          <cell r="M10">
            <v>0.69669999999999999</v>
          </cell>
          <cell r="N10">
            <v>37559</v>
          </cell>
        </row>
        <row r="11">
          <cell r="B11" t="str">
            <v>NWN</v>
          </cell>
          <cell r="C11" t="str">
            <v>NW NATURAL GAS</v>
          </cell>
          <cell r="D11">
            <v>37245</v>
          </cell>
          <cell r="E11" t="str">
            <v>EPS</v>
          </cell>
          <cell r="F11" t="str">
            <v>ANN</v>
          </cell>
          <cell r="G11" t="str">
            <v>1</v>
          </cell>
          <cell r="H11">
            <v>3</v>
          </cell>
          <cell r="I11">
            <v>1.71</v>
          </cell>
          <cell r="J11">
            <v>1.71</v>
          </cell>
          <cell r="K11">
            <v>0.02</v>
          </cell>
          <cell r="L11">
            <v>37256</v>
          </cell>
          <cell r="M11">
            <v>1.87</v>
          </cell>
          <cell r="N11">
            <v>37294</v>
          </cell>
        </row>
        <row r="12">
          <cell r="B12" t="str">
            <v>PNY</v>
          </cell>
          <cell r="C12" t="str">
            <v>PIEDMONT NAT GAS</v>
          </cell>
          <cell r="D12">
            <v>37245</v>
          </cell>
          <cell r="E12" t="str">
            <v>EPS</v>
          </cell>
          <cell r="F12" t="str">
            <v>ANN</v>
          </cell>
          <cell r="G12" t="str">
            <v>1</v>
          </cell>
          <cell r="H12">
            <v>3</v>
          </cell>
          <cell r="I12">
            <v>1.1000000000000001</v>
          </cell>
          <cell r="J12">
            <v>1.0900000000000001</v>
          </cell>
          <cell r="K12">
            <v>0.02</v>
          </cell>
          <cell r="L12">
            <v>37560</v>
          </cell>
          <cell r="M12">
            <v>0.94499999999999995</v>
          </cell>
          <cell r="N12">
            <v>37603</v>
          </cell>
        </row>
        <row r="13">
          <cell r="B13" t="str">
            <v>SJI</v>
          </cell>
          <cell r="C13" t="str">
            <v>SO JERSEY INDS</v>
          </cell>
          <cell r="D13">
            <v>37245</v>
          </cell>
          <cell r="E13" t="str">
            <v>EPS</v>
          </cell>
          <cell r="F13" t="str">
            <v>ANN</v>
          </cell>
          <cell r="G13" t="str">
            <v>1</v>
          </cell>
          <cell r="H13">
            <v>3</v>
          </cell>
          <cell r="I13">
            <v>0.56999999999999995</v>
          </cell>
          <cell r="J13">
            <v>0.56999999999999995</v>
          </cell>
          <cell r="K13">
            <v>0</v>
          </cell>
          <cell r="L13">
            <v>37256</v>
          </cell>
          <cell r="M13">
            <v>0.57250000000000001</v>
          </cell>
          <cell r="N13">
            <v>37286</v>
          </cell>
        </row>
        <row r="14">
          <cell r="B14" t="str">
            <v>SWX</v>
          </cell>
          <cell r="C14" t="str">
            <v>SOUTHWEST GAS</v>
          </cell>
          <cell r="D14">
            <v>37245</v>
          </cell>
          <cell r="E14" t="str">
            <v>EPS</v>
          </cell>
          <cell r="F14" t="str">
            <v>ANN</v>
          </cell>
          <cell r="G14" t="str">
            <v>1</v>
          </cell>
          <cell r="H14">
            <v>1</v>
          </cell>
          <cell r="I14">
            <v>1.25</v>
          </cell>
          <cell r="J14">
            <v>1.25</v>
          </cell>
          <cell r="L14">
            <v>37256</v>
          </cell>
          <cell r="M14">
            <v>1.1499999999999999</v>
          </cell>
          <cell r="N14">
            <v>37306</v>
          </cell>
        </row>
        <row r="15">
          <cell r="B15" t="str">
            <v>WGL</v>
          </cell>
          <cell r="C15" t="str">
            <v>WGL HOLDING INC</v>
          </cell>
          <cell r="D15">
            <v>37245</v>
          </cell>
          <cell r="E15" t="str">
            <v>EPS</v>
          </cell>
          <cell r="F15" t="str">
            <v>ANN</v>
          </cell>
          <cell r="G15" t="str">
            <v>1</v>
          </cell>
          <cell r="H15">
            <v>6</v>
          </cell>
          <cell r="I15">
            <v>1.83</v>
          </cell>
          <cell r="J15">
            <v>1.81</v>
          </cell>
          <cell r="K15">
            <v>0.1</v>
          </cell>
          <cell r="L15">
            <v>37529</v>
          </cell>
          <cell r="M15">
            <v>1.1399999999999999</v>
          </cell>
          <cell r="N15">
            <v>37564</v>
          </cell>
        </row>
      </sheetData>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k6ajjdvrntlmq7b"/>
    </sheetNames>
    <sheetDataSet>
      <sheetData sheetId="0">
        <row r="1">
          <cell r="B1" t="str">
            <v>Official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Forecast Period End Date (SAS Format)</v>
          </cell>
          <cell r="M1" t="str">
            <v>Actual Value, from the Detail Actuals File</v>
          </cell>
          <cell r="N1" t="str">
            <v>Announce date of the Actual, from the Detail Actuals File</v>
          </cell>
        </row>
        <row r="2">
          <cell r="B2" t="str">
            <v>ATG</v>
          </cell>
          <cell r="C2" t="str">
            <v>AGL RESOURCES</v>
          </cell>
          <cell r="D2">
            <v>37245</v>
          </cell>
          <cell r="E2" t="str">
            <v>EPS</v>
          </cell>
          <cell r="F2" t="str">
            <v>LTG</v>
          </cell>
          <cell r="G2" t="str">
            <v>0</v>
          </cell>
          <cell r="H2">
            <v>7</v>
          </cell>
          <cell r="I2">
            <v>8</v>
          </cell>
          <cell r="J2">
            <v>7</v>
          </cell>
          <cell r="K2">
            <v>2.31</v>
          </cell>
        </row>
        <row r="3">
          <cell r="B3" t="str">
            <v>CGC</v>
          </cell>
          <cell r="C3" t="str">
            <v>CASCADE NAT GAS</v>
          </cell>
          <cell r="D3">
            <v>37245</v>
          </cell>
          <cell r="E3" t="str">
            <v>EPS</v>
          </cell>
          <cell r="F3" t="str">
            <v>LTG</v>
          </cell>
          <cell r="G3" t="str">
            <v>0</v>
          </cell>
          <cell r="H3">
            <v>1</v>
          </cell>
          <cell r="I3">
            <v>6</v>
          </cell>
          <cell r="J3">
            <v>6</v>
          </cell>
        </row>
        <row r="4">
          <cell r="B4" t="str">
            <v>CPK</v>
          </cell>
          <cell r="C4" t="str">
            <v>CHESAPEAKE UTIL</v>
          </cell>
          <cell r="D4">
            <v>37245</v>
          </cell>
          <cell r="E4" t="str">
            <v>EPS</v>
          </cell>
          <cell r="F4" t="str">
            <v>LTG</v>
          </cell>
          <cell r="G4" t="str">
            <v>0</v>
          </cell>
          <cell r="H4">
            <v>1</v>
          </cell>
          <cell r="I4">
            <v>6</v>
          </cell>
          <cell r="J4">
            <v>6</v>
          </cell>
        </row>
        <row r="5">
          <cell r="B5" t="str">
            <v>ATO</v>
          </cell>
          <cell r="C5" t="str">
            <v>ATMOS ENERGY CP</v>
          </cell>
          <cell r="D5">
            <v>37245</v>
          </cell>
          <cell r="E5" t="str">
            <v>EPS</v>
          </cell>
          <cell r="F5" t="str">
            <v>LTG</v>
          </cell>
          <cell r="G5" t="str">
            <v>0</v>
          </cell>
          <cell r="H5">
            <v>5</v>
          </cell>
          <cell r="I5">
            <v>6</v>
          </cell>
          <cell r="J5">
            <v>6</v>
          </cell>
          <cell r="K5">
            <v>1.22</v>
          </cell>
        </row>
        <row r="6">
          <cell r="B6" t="str">
            <v>GAS</v>
          </cell>
          <cell r="C6" t="str">
            <v>NICOR INC</v>
          </cell>
          <cell r="D6">
            <v>37245</v>
          </cell>
          <cell r="E6" t="str">
            <v>EPS</v>
          </cell>
          <cell r="F6" t="str">
            <v>LTG</v>
          </cell>
          <cell r="G6" t="str">
            <v>0</v>
          </cell>
          <cell r="H6">
            <v>5</v>
          </cell>
          <cell r="I6">
            <v>6</v>
          </cell>
          <cell r="J6">
            <v>6</v>
          </cell>
          <cell r="K6">
            <v>1.58</v>
          </cell>
        </row>
        <row r="7">
          <cell r="B7" t="str">
            <v>LG</v>
          </cell>
          <cell r="C7" t="str">
            <v>LACLEDE GROUP</v>
          </cell>
          <cell r="D7">
            <v>37245</v>
          </cell>
          <cell r="E7" t="str">
            <v>EPS</v>
          </cell>
          <cell r="F7" t="str">
            <v>LTG</v>
          </cell>
          <cell r="G7" t="str">
            <v>0</v>
          </cell>
          <cell r="H7">
            <v>1</v>
          </cell>
          <cell r="I7">
            <v>3</v>
          </cell>
          <cell r="J7">
            <v>3</v>
          </cell>
        </row>
        <row r="8">
          <cell r="B8" t="str">
            <v>KSE</v>
          </cell>
          <cell r="C8" t="str">
            <v>KEYSPAN CP</v>
          </cell>
          <cell r="D8">
            <v>37245</v>
          </cell>
          <cell r="E8" t="str">
            <v>EPS</v>
          </cell>
          <cell r="F8" t="str">
            <v>LTG</v>
          </cell>
          <cell r="G8" t="str">
            <v>0</v>
          </cell>
          <cell r="H8">
            <v>7</v>
          </cell>
          <cell r="I8">
            <v>8</v>
          </cell>
          <cell r="J8">
            <v>7.86</v>
          </cell>
          <cell r="K8">
            <v>3.58</v>
          </cell>
        </row>
        <row r="9">
          <cell r="B9" t="str">
            <v>NI</v>
          </cell>
          <cell r="C9" t="str">
            <v>NISOURCE INC</v>
          </cell>
          <cell r="D9">
            <v>37245</v>
          </cell>
          <cell r="E9" t="str">
            <v>EPS</v>
          </cell>
          <cell r="F9" t="str">
            <v>LTG</v>
          </cell>
          <cell r="G9" t="str">
            <v>0</v>
          </cell>
          <cell r="H9">
            <v>10</v>
          </cell>
          <cell r="I9">
            <v>7</v>
          </cell>
          <cell r="J9">
            <v>7.1</v>
          </cell>
          <cell r="K9">
            <v>2.5099999999999998</v>
          </cell>
        </row>
        <row r="10">
          <cell r="B10" t="str">
            <v>NJR</v>
          </cell>
          <cell r="C10" t="str">
            <v>NEW JERSEY RES</v>
          </cell>
          <cell r="D10">
            <v>37245</v>
          </cell>
          <cell r="E10" t="str">
            <v>EPS</v>
          </cell>
          <cell r="F10" t="str">
            <v>LTG</v>
          </cell>
          <cell r="G10" t="str">
            <v>0</v>
          </cell>
          <cell r="H10">
            <v>4</v>
          </cell>
          <cell r="I10">
            <v>6.25</v>
          </cell>
          <cell r="J10">
            <v>6.38</v>
          </cell>
          <cell r="K10">
            <v>1.25</v>
          </cell>
        </row>
        <row r="11">
          <cell r="B11" t="str">
            <v>NWN</v>
          </cell>
          <cell r="C11" t="str">
            <v>NW NATURAL GAS</v>
          </cell>
          <cell r="D11">
            <v>37245</v>
          </cell>
          <cell r="E11" t="str">
            <v>EPS</v>
          </cell>
          <cell r="F11" t="str">
            <v>LTG</v>
          </cell>
          <cell r="G11" t="str">
            <v>0</v>
          </cell>
          <cell r="H11">
            <v>3</v>
          </cell>
          <cell r="I11">
            <v>4.2</v>
          </cell>
          <cell r="J11">
            <v>4.4000000000000004</v>
          </cell>
          <cell r="K11">
            <v>0.53</v>
          </cell>
        </row>
        <row r="12">
          <cell r="B12" t="str">
            <v>PNY</v>
          </cell>
          <cell r="C12" t="str">
            <v>PIEDMONT NAT GAS</v>
          </cell>
          <cell r="D12">
            <v>37245</v>
          </cell>
          <cell r="E12" t="str">
            <v>EPS</v>
          </cell>
          <cell r="F12" t="str">
            <v>LTG</v>
          </cell>
          <cell r="G12" t="str">
            <v>0</v>
          </cell>
          <cell r="H12">
            <v>3</v>
          </cell>
          <cell r="I12">
            <v>5</v>
          </cell>
          <cell r="J12">
            <v>4.67</v>
          </cell>
          <cell r="K12">
            <v>0.57999999999999996</v>
          </cell>
        </row>
        <row r="13">
          <cell r="B13" t="str">
            <v>SJI</v>
          </cell>
          <cell r="C13" t="str">
            <v>SO JERSEY INDS</v>
          </cell>
          <cell r="D13">
            <v>37245</v>
          </cell>
          <cell r="E13" t="str">
            <v>EPS</v>
          </cell>
          <cell r="F13" t="str">
            <v>LTG</v>
          </cell>
          <cell r="G13" t="str">
            <v>0</v>
          </cell>
          <cell r="H13">
            <v>5</v>
          </cell>
          <cell r="I13">
            <v>5</v>
          </cell>
          <cell r="J13">
            <v>6.2</v>
          </cell>
          <cell r="K13">
            <v>2.39</v>
          </cell>
        </row>
        <row r="14">
          <cell r="B14" t="str">
            <v>SWX</v>
          </cell>
          <cell r="C14" t="str">
            <v>SOUTHWEST GAS</v>
          </cell>
          <cell r="D14">
            <v>37245</v>
          </cell>
          <cell r="E14" t="str">
            <v>EPS</v>
          </cell>
          <cell r="F14" t="str">
            <v>LTG</v>
          </cell>
          <cell r="G14" t="str">
            <v>0</v>
          </cell>
          <cell r="H14">
            <v>1</v>
          </cell>
          <cell r="I14">
            <v>4</v>
          </cell>
          <cell r="J14">
            <v>4</v>
          </cell>
        </row>
        <row r="15">
          <cell r="B15" t="str">
            <v>WGL</v>
          </cell>
          <cell r="C15" t="str">
            <v>WGL HOLDING INC</v>
          </cell>
          <cell r="D15">
            <v>37245</v>
          </cell>
          <cell r="E15" t="str">
            <v>EPS</v>
          </cell>
          <cell r="F15" t="str">
            <v>LTG</v>
          </cell>
          <cell r="G15" t="str">
            <v>0</v>
          </cell>
          <cell r="H15">
            <v>5</v>
          </cell>
          <cell r="I15">
            <v>4</v>
          </cell>
          <cell r="J15">
            <v>4.2</v>
          </cell>
          <cell r="K15">
            <v>1.6</v>
          </cell>
        </row>
      </sheetData>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RDS"/>
    </sheetNames>
    <sheetDataSet>
      <sheetData sheetId="0">
        <row r="1">
          <cell r="A1" t="str">
            <v>OFTIC</v>
          </cell>
          <cell r="B1" t="str">
            <v>IBES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USFIRM=0 if from .INT file and USFIRM=1 if from .US file</v>
          </cell>
          <cell r="L1" t="str">
            <v>Forecast Period End Date (SAS Format)</v>
          </cell>
          <cell r="M1" t="str">
            <v>Actual Value, from the Detail Actuals File</v>
          </cell>
          <cell r="N1" t="str">
            <v>Announce date of the Actual, from the Detail Actuals File</v>
          </cell>
        </row>
        <row r="2">
          <cell r="A2" t="str">
            <v>PNW</v>
          </cell>
          <cell r="B2" t="str">
            <v>AZP</v>
          </cell>
          <cell r="C2" t="str">
            <v>PINNACLE WST CAP</v>
          </cell>
          <cell r="D2">
            <v>20001214</v>
          </cell>
          <cell r="E2" t="str">
            <v>EPS</v>
          </cell>
          <cell r="F2" t="str">
            <v>ANN</v>
          </cell>
          <cell r="G2">
            <v>1</v>
          </cell>
          <cell r="H2">
            <v>14</v>
          </cell>
          <cell r="I2">
            <v>3.5</v>
          </cell>
          <cell r="J2">
            <v>3.5</v>
          </cell>
          <cell r="K2">
            <v>1</v>
          </cell>
          <cell r="L2">
            <v>20001231</v>
          </cell>
          <cell r="M2">
            <v>3.57</v>
          </cell>
          <cell r="N2">
            <v>20010117</v>
          </cell>
        </row>
        <row r="3">
          <cell r="A3" t="str">
            <v>CEG</v>
          </cell>
          <cell r="B3" t="str">
            <v>BGE</v>
          </cell>
          <cell r="C3" t="str">
            <v>CONSTELLATION EN</v>
          </cell>
          <cell r="D3">
            <v>20001214</v>
          </cell>
          <cell r="E3" t="str">
            <v>EPS</v>
          </cell>
          <cell r="F3" t="str">
            <v>ANN</v>
          </cell>
          <cell r="G3">
            <v>1</v>
          </cell>
          <cell r="H3">
            <v>11</v>
          </cell>
          <cell r="I3">
            <v>2.4</v>
          </cell>
          <cell r="J3">
            <v>2.42</v>
          </cell>
          <cell r="K3">
            <v>1</v>
          </cell>
          <cell r="L3">
            <v>20001231</v>
          </cell>
          <cell r="M3">
            <v>2.42</v>
          </cell>
          <cell r="N3">
            <v>20010119</v>
          </cell>
        </row>
        <row r="4">
          <cell r="A4" t="str">
            <v>BKH</v>
          </cell>
          <cell r="B4" t="str">
            <v>BHP</v>
          </cell>
          <cell r="C4" t="str">
            <v>BLACK HILLS CP</v>
          </cell>
          <cell r="D4">
            <v>20001214</v>
          </cell>
          <cell r="E4" t="str">
            <v>EPS</v>
          </cell>
          <cell r="F4" t="str">
            <v>ANN</v>
          </cell>
          <cell r="G4">
            <v>1</v>
          </cell>
          <cell r="H4">
            <v>2</v>
          </cell>
          <cell r="I4">
            <v>1.96</v>
          </cell>
          <cell r="J4">
            <v>1.96</v>
          </cell>
          <cell r="K4">
            <v>1</v>
          </cell>
          <cell r="L4">
            <v>20001231</v>
          </cell>
          <cell r="M4">
            <v>2.34</v>
          </cell>
          <cell r="N4">
            <v>20010201</v>
          </cell>
        </row>
        <row r="5">
          <cell r="A5" t="str">
            <v>NST</v>
          </cell>
          <cell r="B5" t="str">
            <v>BSE</v>
          </cell>
          <cell r="C5" t="str">
            <v>NSTAR</v>
          </cell>
          <cell r="D5">
            <v>20001214</v>
          </cell>
          <cell r="E5" t="str">
            <v>EPS</v>
          </cell>
          <cell r="F5" t="str">
            <v>ANN</v>
          </cell>
          <cell r="G5">
            <v>1</v>
          </cell>
          <cell r="H5">
            <v>10</v>
          </cell>
          <cell r="I5">
            <v>1.6</v>
          </cell>
          <cell r="J5">
            <v>1.6</v>
          </cell>
          <cell r="K5">
            <v>1</v>
          </cell>
          <cell r="L5">
            <v>20001231</v>
          </cell>
          <cell r="M5">
            <v>1.625</v>
          </cell>
          <cell r="N5">
            <v>20010125</v>
          </cell>
        </row>
        <row r="6">
          <cell r="A6" t="str">
            <v>CIN</v>
          </cell>
          <cell r="B6" t="str">
            <v>CIN</v>
          </cell>
          <cell r="C6" t="str">
            <v>CINERGY CORP</v>
          </cell>
          <cell r="D6">
            <v>20001214</v>
          </cell>
          <cell r="E6" t="str">
            <v>EPS</v>
          </cell>
          <cell r="F6" t="str">
            <v>ANN</v>
          </cell>
          <cell r="G6">
            <v>1</v>
          </cell>
          <cell r="H6">
            <v>20</v>
          </cell>
          <cell r="I6">
            <v>2.5099999999999998</v>
          </cell>
          <cell r="J6">
            <v>2.5299999999999998</v>
          </cell>
          <cell r="K6">
            <v>1</v>
          </cell>
          <cell r="L6">
            <v>20001231</v>
          </cell>
          <cell r="M6">
            <v>2.52</v>
          </cell>
          <cell r="N6">
            <v>20010125</v>
          </cell>
        </row>
        <row r="7">
          <cell r="A7" t="str">
            <v>CMS</v>
          </cell>
          <cell r="B7" t="str">
            <v>CMS</v>
          </cell>
          <cell r="C7" t="str">
            <v>CMS ENERGY CORP</v>
          </cell>
          <cell r="D7">
            <v>20001214</v>
          </cell>
          <cell r="E7" t="str">
            <v>EPS</v>
          </cell>
          <cell r="F7" t="str">
            <v>ANN</v>
          </cell>
          <cell r="G7">
            <v>1</v>
          </cell>
          <cell r="H7">
            <v>19</v>
          </cell>
          <cell r="I7">
            <v>2.37</v>
          </cell>
          <cell r="J7">
            <v>2.37</v>
          </cell>
          <cell r="K7">
            <v>1</v>
          </cell>
          <cell r="L7">
            <v>20001231</v>
          </cell>
          <cell r="M7">
            <v>2.5299999999999998</v>
          </cell>
          <cell r="N7">
            <v>20010124</v>
          </cell>
        </row>
        <row r="8">
          <cell r="A8" t="str">
            <v>CNL</v>
          </cell>
          <cell r="B8" t="str">
            <v>CNL</v>
          </cell>
          <cell r="C8" t="str">
            <v>CLECO CORP</v>
          </cell>
          <cell r="D8">
            <v>20001214</v>
          </cell>
          <cell r="E8" t="str">
            <v>EPS</v>
          </cell>
          <cell r="F8" t="str">
            <v>ANN</v>
          </cell>
          <cell r="G8">
            <v>1</v>
          </cell>
          <cell r="H8">
            <v>5</v>
          </cell>
          <cell r="I8">
            <v>1.35</v>
          </cell>
          <cell r="J8">
            <v>1.34</v>
          </cell>
          <cell r="K8">
            <v>1</v>
          </cell>
          <cell r="L8">
            <v>20001231</v>
          </cell>
          <cell r="M8">
            <v>1.38</v>
          </cell>
          <cell r="N8">
            <v>20010130</v>
          </cell>
        </row>
        <row r="9">
          <cell r="A9" t="str">
            <v>PGN</v>
          </cell>
          <cell r="B9" t="str">
            <v>CPL</v>
          </cell>
          <cell r="C9" t="str">
            <v>PROGRESS ENERGY</v>
          </cell>
          <cell r="D9">
            <v>20001214</v>
          </cell>
          <cell r="E9" t="str">
            <v>EPS</v>
          </cell>
          <cell r="F9" t="str">
            <v>ANN</v>
          </cell>
          <cell r="G9">
            <v>1</v>
          </cell>
          <cell r="H9">
            <v>18</v>
          </cell>
          <cell r="I9">
            <v>3</v>
          </cell>
          <cell r="J9">
            <v>3</v>
          </cell>
          <cell r="K9">
            <v>1</v>
          </cell>
          <cell r="L9">
            <v>20001231</v>
          </cell>
          <cell r="M9">
            <v>3.82</v>
          </cell>
          <cell r="N9">
            <v>20010130</v>
          </cell>
        </row>
        <row r="10">
          <cell r="A10" t="str">
            <v>D</v>
          </cell>
          <cell r="B10" t="str">
            <v>D</v>
          </cell>
          <cell r="C10" t="str">
            <v>DOMINION RES INC</v>
          </cell>
          <cell r="D10">
            <v>20001214</v>
          </cell>
          <cell r="E10" t="str">
            <v>EPS</v>
          </cell>
          <cell r="F10" t="str">
            <v>ANN</v>
          </cell>
          <cell r="G10">
            <v>1</v>
          </cell>
          <cell r="H10">
            <v>25</v>
          </cell>
          <cell r="I10">
            <v>1.65</v>
          </cell>
          <cell r="J10">
            <v>1.65</v>
          </cell>
          <cell r="K10">
            <v>1</v>
          </cell>
          <cell r="L10">
            <v>20001231</v>
          </cell>
          <cell r="M10">
            <v>1.665</v>
          </cell>
          <cell r="N10">
            <v>20010126</v>
          </cell>
        </row>
        <row r="11">
          <cell r="A11" t="str">
            <v>DPL</v>
          </cell>
          <cell r="B11" t="str">
            <v>DPL</v>
          </cell>
          <cell r="C11" t="str">
            <v>DPL INC</v>
          </cell>
          <cell r="D11">
            <v>20001214</v>
          </cell>
          <cell r="E11" t="str">
            <v>EPS</v>
          </cell>
          <cell r="F11" t="str">
            <v>ANN</v>
          </cell>
          <cell r="G11">
            <v>1</v>
          </cell>
          <cell r="H11">
            <v>18</v>
          </cell>
          <cell r="I11">
            <v>1.5</v>
          </cell>
          <cell r="J11">
            <v>1.51</v>
          </cell>
          <cell r="K11">
            <v>1</v>
          </cell>
          <cell r="L11">
            <v>20001231</v>
          </cell>
          <cell r="M11">
            <v>1.52</v>
          </cell>
          <cell r="N11">
            <v>20010123</v>
          </cell>
        </row>
        <row r="12">
          <cell r="A12" t="str">
            <v>DTE</v>
          </cell>
          <cell r="B12" t="str">
            <v>DTE</v>
          </cell>
          <cell r="C12" t="str">
            <v>DTE ENERGY</v>
          </cell>
          <cell r="D12">
            <v>20001214</v>
          </cell>
          <cell r="E12" t="str">
            <v>EPS</v>
          </cell>
          <cell r="F12" t="str">
            <v>ANN</v>
          </cell>
          <cell r="G12">
            <v>1</v>
          </cell>
          <cell r="H12">
            <v>8</v>
          </cell>
          <cell r="I12">
            <v>3.3</v>
          </cell>
          <cell r="J12">
            <v>3.3</v>
          </cell>
          <cell r="K12">
            <v>1</v>
          </cell>
          <cell r="L12">
            <v>20001231</v>
          </cell>
          <cell r="M12">
            <v>3.39</v>
          </cell>
          <cell r="N12">
            <v>20010124</v>
          </cell>
        </row>
        <row r="13">
          <cell r="A13" t="str">
            <v>DUK</v>
          </cell>
          <cell r="B13" t="str">
            <v>DUK</v>
          </cell>
          <cell r="C13" t="str">
            <v>DUKE ENERGY CORP</v>
          </cell>
          <cell r="D13">
            <v>20001214</v>
          </cell>
          <cell r="E13" t="str">
            <v>EPS</v>
          </cell>
          <cell r="F13" t="str">
            <v>ANN</v>
          </cell>
          <cell r="G13">
            <v>1</v>
          </cell>
          <cell r="H13">
            <v>21</v>
          </cell>
          <cell r="I13">
            <v>6.23</v>
          </cell>
          <cell r="J13">
            <v>6.2</v>
          </cell>
          <cell r="K13">
            <v>1</v>
          </cell>
          <cell r="L13">
            <v>20001231</v>
          </cell>
          <cell r="M13">
            <v>6.4349999999999996</v>
          </cell>
          <cell r="N13">
            <v>20010119</v>
          </cell>
        </row>
        <row r="14">
          <cell r="A14" t="str">
            <v>ED</v>
          </cell>
          <cell r="B14" t="str">
            <v>ED</v>
          </cell>
          <cell r="C14" t="str">
            <v>CONS EDISON INC</v>
          </cell>
          <cell r="D14">
            <v>20001214</v>
          </cell>
          <cell r="E14" t="str">
            <v>EPS</v>
          </cell>
          <cell r="F14" t="str">
            <v>ANN</v>
          </cell>
          <cell r="G14">
            <v>1</v>
          </cell>
          <cell r="H14">
            <v>15</v>
          </cell>
          <cell r="I14">
            <v>3.15</v>
          </cell>
          <cell r="J14">
            <v>3.17</v>
          </cell>
          <cell r="K14">
            <v>1</v>
          </cell>
          <cell r="L14">
            <v>20001231</v>
          </cell>
          <cell r="M14">
            <v>3.14</v>
          </cell>
          <cell r="N14">
            <v>20010118</v>
          </cell>
        </row>
        <row r="15">
          <cell r="A15" t="str">
            <v>EDE</v>
          </cell>
          <cell r="B15" t="str">
            <v>EDE</v>
          </cell>
          <cell r="C15" t="str">
            <v>EMPIRE DIST ELEC</v>
          </cell>
          <cell r="D15">
            <v>20001214</v>
          </cell>
          <cell r="E15" t="str">
            <v>EPS</v>
          </cell>
          <cell r="F15" t="str">
            <v>ANN</v>
          </cell>
          <cell r="G15">
            <v>1</v>
          </cell>
          <cell r="H15">
            <v>1</v>
          </cell>
          <cell r="I15">
            <v>1.5</v>
          </cell>
          <cell r="J15">
            <v>1.5</v>
          </cell>
          <cell r="K15">
            <v>1</v>
          </cell>
          <cell r="L15">
            <v>20001231</v>
          </cell>
          <cell r="M15">
            <v>1.37</v>
          </cell>
          <cell r="N15">
            <v>20010201</v>
          </cell>
        </row>
        <row r="16">
          <cell r="A16" t="str">
            <v>FPL</v>
          </cell>
          <cell r="B16" t="str">
            <v>FPL</v>
          </cell>
          <cell r="C16" t="str">
            <v>FPL GROUP</v>
          </cell>
          <cell r="D16">
            <v>20001214</v>
          </cell>
          <cell r="E16" t="str">
            <v>EPS</v>
          </cell>
          <cell r="F16" t="str">
            <v>ANN</v>
          </cell>
          <cell r="G16">
            <v>1</v>
          </cell>
          <cell r="H16">
            <v>25</v>
          </cell>
          <cell r="I16">
            <v>0.55000000000000004</v>
          </cell>
          <cell r="J16">
            <v>0.55000000000000004</v>
          </cell>
          <cell r="K16">
            <v>1</v>
          </cell>
          <cell r="L16">
            <v>20001231</v>
          </cell>
          <cell r="M16">
            <v>0.54749999999999999</v>
          </cell>
          <cell r="N16">
            <v>20010122</v>
          </cell>
        </row>
        <row r="17">
          <cell r="A17" t="str">
            <v>HE</v>
          </cell>
          <cell r="B17" t="str">
            <v>HE</v>
          </cell>
          <cell r="C17" t="str">
            <v>HAWAIIAN ELEC</v>
          </cell>
          <cell r="D17">
            <v>20001214</v>
          </cell>
          <cell r="E17" t="str">
            <v>EPS</v>
          </cell>
          <cell r="F17" t="str">
            <v>ANN</v>
          </cell>
          <cell r="G17">
            <v>1</v>
          </cell>
          <cell r="H17">
            <v>9</v>
          </cell>
          <cell r="I17">
            <v>1.44</v>
          </cell>
          <cell r="J17">
            <v>1.44</v>
          </cell>
          <cell r="K17">
            <v>1</v>
          </cell>
          <cell r="L17">
            <v>20001231</v>
          </cell>
          <cell r="M17">
            <v>1.27</v>
          </cell>
          <cell r="N17">
            <v>20010123</v>
          </cell>
        </row>
        <row r="18">
          <cell r="A18" t="str">
            <v>IDA</v>
          </cell>
          <cell r="B18" t="str">
            <v>IDA</v>
          </cell>
          <cell r="C18" t="str">
            <v>IDACORP INC.</v>
          </cell>
          <cell r="D18">
            <v>20001214</v>
          </cell>
          <cell r="E18" t="str">
            <v>EPS</v>
          </cell>
          <cell r="F18" t="str">
            <v>ANN</v>
          </cell>
          <cell r="G18">
            <v>1</v>
          </cell>
          <cell r="H18">
            <v>9</v>
          </cell>
          <cell r="I18">
            <v>3.5</v>
          </cell>
          <cell r="J18">
            <v>3.22</v>
          </cell>
          <cell r="K18">
            <v>1</v>
          </cell>
          <cell r="L18">
            <v>20001231</v>
          </cell>
          <cell r="M18">
            <v>3.72</v>
          </cell>
          <cell r="N18">
            <v>20010202</v>
          </cell>
        </row>
        <row r="19">
          <cell r="A19" t="str">
            <v>WR</v>
          </cell>
          <cell r="B19" t="str">
            <v>KAN</v>
          </cell>
          <cell r="C19" t="str">
            <v>WESTN RESOURCES</v>
          </cell>
          <cell r="D19">
            <v>20001214</v>
          </cell>
          <cell r="E19" t="str">
            <v>EPS</v>
          </cell>
          <cell r="F19" t="str">
            <v>ANN</v>
          </cell>
          <cell r="G19">
            <v>1</v>
          </cell>
          <cell r="H19">
            <v>9</v>
          </cell>
          <cell r="I19">
            <v>1.6</v>
          </cell>
          <cell r="J19">
            <v>1.6</v>
          </cell>
          <cell r="K19">
            <v>1</v>
          </cell>
          <cell r="L19">
            <v>20001231</v>
          </cell>
          <cell r="M19">
            <v>1.97</v>
          </cell>
          <cell r="N19">
            <v>20010215</v>
          </cell>
        </row>
        <row r="20">
          <cell r="A20" t="str">
            <v>ALE</v>
          </cell>
          <cell r="B20" t="str">
            <v>MPL</v>
          </cell>
          <cell r="C20" t="str">
            <v>ALLETE</v>
          </cell>
          <cell r="D20">
            <v>20001214</v>
          </cell>
          <cell r="E20" t="str">
            <v>EPS</v>
          </cell>
          <cell r="F20" t="str">
            <v>ANN</v>
          </cell>
          <cell r="G20">
            <v>1</v>
          </cell>
          <cell r="H20">
            <v>8</v>
          </cell>
          <cell r="I20">
            <v>4.88</v>
          </cell>
          <cell r="J20">
            <v>4.97</v>
          </cell>
          <cell r="K20">
            <v>1</v>
          </cell>
          <cell r="L20">
            <v>20001231</v>
          </cell>
          <cell r="M20">
            <v>5.04</v>
          </cell>
          <cell r="N20">
            <v>20010118</v>
          </cell>
        </row>
        <row r="21">
          <cell r="A21" t="str">
            <v>ETR</v>
          </cell>
          <cell r="B21" t="str">
            <v>MSU</v>
          </cell>
          <cell r="C21" t="str">
            <v>ENTERGY CP</v>
          </cell>
          <cell r="D21">
            <v>20001214</v>
          </cell>
          <cell r="E21" t="str">
            <v>EPS</v>
          </cell>
          <cell r="F21" t="str">
            <v>ANN</v>
          </cell>
          <cell r="G21">
            <v>1</v>
          </cell>
          <cell r="H21">
            <v>14</v>
          </cell>
          <cell r="I21">
            <v>2.9</v>
          </cell>
          <cell r="J21">
            <v>2.89</v>
          </cell>
          <cell r="K21">
            <v>1</v>
          </cell>
          <cell r="L21">
            <v>20001231</v>
          </cell>
          <cell r="M21">
            <v>3.14</v>
          </cell>
          <cell r="N21">
            <v>20010201</v>
          </cell>
        </row>
        <row r="22">
          <cell r="A22" t="str">
            <v>EAS</v>
          </cell>
          <cell r="B22" t="str">
            <v>NGE</v>
          </cell>
          <cell r="C22" t="str">
            <v>ENERGY EAST CORP</v>
          </cell>
          <cell r="D22">
            <v>20001214</v>
          </cell>
          <cell r="E22" t="str">
            <v>EPS</v>
          </cell>
          <cell r="F22" t="str">
            <v>ANN</v>
          </cell>
          <cell r="G22">
            <v>1</v>
          </cell>
          <cell r="H22">
            <v>12</v>
          </cell>
          <cell r="I22">
            <v>2.1</v>
          </cell>
          <cell r="J22">
            <v>2.1</v>
          </cell>
          <cell r="K22">
            <v>1</v>
          </cell>
          <cell r="L22">
            <v>20001231</v>
          </cell>
          <cell r="M22">
            <v>2.0499999999999998</v>
          </cell>
          <cell r="N22">
            <v>20010126</v>
          </cell>
        </row>
        <row r="23">
          <cell r="A23" t="str">
            <v>XEL</v>
          </cell>
          <cell r="B23" t="str">
            <v>NSP</v>
          </cell>
          <cell r="C23" t="str">
            <v>XCEL ENERGY INC</v>
          </cell>
          <cell r="D23">
            <v>20001214</v>
          </cell>
          <cell r="E23" t="str">
            <v>EPS</v>
          </cell>
          <cell r="F23" t="str">
            <v>ANN</v>
          </cell>
          <cell r="G23">
            <v>1</v>
          </cell>
          <cell r="H23">
            <v>16</v>
          </cell>
          <cell r="I23">
            <v>2</v>
          </cell>
          <cell r="J23">
            <v>2.02</v>
          </cell>
          <cell r="K23">
            <v>1</v>
          </cell>
          <cell r="L23">
            <v>20001231</v>
          </cell>
          <cell r="M23">
            <v>1.96</v>
          </cell>
          <cell r="N23">
            <v>20010130</v>
          </cell>
        </row>
        <row r="24">
          <cell r="A24" t="str">
            <v>NU</v>
          </cell>
          <cell r="B24" t="str">
            <v>NU</v>
          </cell>
          <cell r="C24" t="str">
            <v>NORTHEAST UTILS</v>
          </cell>
          <cell r="D24">
            <v>20001214</v>
          </cell>
          <cell r="E24" t="str">
            <v>EPS</v>
          </cell>
          <cell r="F24" t="str">
            <v>ANN</v>
          </cell>
          <cell r="G24">
            <v>1</v>
          </cell>
          <cell r="H24">
            <v>10</v>
          </cell>
          <cell r="I24">
            <v>1.5</v>
          </cell>
          <cell r="J24">
            <v>1.48</v>
          </cell>
          <cell r="K24">
            <v>1</v>
          </cell>
          <cell r="L24">
            <v>20001231</v>
          </cell>
          <cell r="M24">
            <v>1.54</v>
          </cell>
          <cell r="N24">
            <v>20010123</v>
          </cell>
        </row>
        <row r="25">
          <cell r="A25" t="str">
            <v>FE</v>
          </cell>
          <cell r="B25" t="str">
            <v>OEC</v>
          </cell>
          <cell r="C25" t="str">
            <v>FIRSTENERGY CORP</v>
          </cell>
          <cell r="D25">
            <v>20001214</v>
          </cell>
          <cell r="E25" t="str">
            <v>EPS</v>
          </cell>
          <cell r="F25" t="str">
            <v>ANN</v>
          </cell>
          <cell r="G25">
            <v>1</v>
          </cell>
          <cell r="H25">
            <v>18</v>
          </cell>
          <cell r="I25">
            <v>2.65</v>
          </cell>
          <cell r="J25">
            <v>2.63</v>
          </cell>
          <cell r="K25">
            <v>1</v>
          </cell>
          <cell r="L25">
            <v>20001231</v>
          </cell>
          <cell r="M25">
            <v>2.69</v>
          </cell>
          <cell r="N25">
            <v>20010116</v>
          </cell>
        </row>
        <row r="26">
          <cell r="A26" t="str">
            <v>OGE</v>
          </cell>
          <cell r="B26" t="str">
            <v>OGE</v>
          </cell>
          <cell r="C26" t="str">
            <v>OGE ENERGY CORP</v>
          </cell>
          <cell r="D26">
            <v>20001214</v>
          </cell>
          <cell r="E26" t="str">
            <v>EPS</v>
          </cell>
          <cell r="F26" t="str">
            <v>ANN</v>
          </cell>
          <cell r="G26">
            <v>1</v>
          </cell>
          <cell r="H26">
            <v>10</v>
          </cell>
          <cell r="I26">
            <v>0.98</v>
          </cell>
          <cell r="J26">
            <v>0.98</v>
          </cell>
          <cell r="K26">
            <v>1</v>
          </cell>
          <cell r="L26">
            <v>20001231</v>
          </cell>
          <cell r="M26">
            <v>0.94499999999999995</v>
          </cell>
          <cell r="N26">
            <v>20010124</v>
          </cell>
        </row>
        <row r="27">
          <cell r="A27" t="str">
            <v>OTTR</v>
          </cell>
          <cell r="B27" t="str">
            <v>OTTR</v>
          </cell>
          <cell r="C27" t="str">
            <v>OTTER TAIL PWR</v>
          </cell>
          <cell r="D27">
            <v>20001214</v>
          </cell>
          <cell r="E27" t="str">
            <v>EPS</v>
          </cell>
          <cell r="F27" t="str">
            <v>ANN</v>
          </cell>
          <cell r="G27">
            <v>1</v>
          </cell>
          <cell r="H27">
            <v>2</v>
          </cell>
          <cell r="I27">
            <v>1.58</v>
          </cell>
          <cell r="J27">
            <v>1.58</v>
          </cell>
          <cell r="K27">
            <v>1</v>
          </cell>
          <cell r="L27">
            <v>20001231</v>
          </cell>
          <cell r="M27">
            <v>1.6</v>
          </cell>
          <cell r="N27">
            <v>20010129</v>
          </cell>
        </row>
        <row r="28">
          <cell r="A28" t="str">
            <v>PCG</v>
          </cell>
          <cell r="B28" t="str">
            <v>PCG</v>
          </cell>
          <cell r="C28" t="str">
            <v>P G &amp; E CORP</v>
          </cell>
          <cell r="D28">
            <v>20001214</v>
          </cell>
          <cell r="E28" t="str">
            <v>EPS</v>
          </cell>
          <cell r="F28" t="str">
            <v>ANN</v>
          </cell>
          <cell r="G28">
            <v>1</v>
          </cell>
          <cell r="H28">
            <v>19</v>
          </cell>
          <cell r="I28">
            <v>2.5499999999999998</v>
          </cell>
          <cell r="J28">
            <v>2.52</v>
          </cell>
          <cell r="K28">
            <v>1</v>
          </cell>
          <cell r="L28">
            <v>20001231</v>
          </cell>
          <cell r="M28">
            <v>2.54</v>
          </cell>
          <cell r="N28">
            <v>20010417</v>
          </cell>
        </row>
        <row r="29">
          <cell r="A29" t="str">
            <v>EXC</v>
          </cell>
          <cell r="B29" t="str">
            <v>PE</v>
          </cell>
          <cell r="C29" t="str">
            <v>EXELON CORP</v>
          </cell>
          <cell r="D29">
            <v>20001214</v>
          </cell>
          <cell r="E29" t="str">
            <v>EPS</v>
          </cell>
          <cell r="F29" t="str">
            <v>ANN</v>
          </cell>
          <cell r="G29">
            <v>1</v>
          </cell>
          <cell r="H29">
            <v>19</v>
          </cell>
          <cell r="I29">
            <v>1.83</v>
          </cell>
          <cell r="J29">
            <v>1.86</v>
          </cell>
          <cell r="K29">
            <v>1</v>
          </cell>
          <cell r="L29">
            <v>20001231</v>
          </cell>
          <cell r="M29">
            <v>1.9</v>
          </cell>
          <cell r="N29">
            <v>20010130</v>
          </cell>
        </row>
        <row r="30">
          <cell r="A30" t="str">
            <v>PEG</v>
          </cell>
          <cell r="B30" t="str">
            <v>PEG</v>
          </cell>
          <cell r="C30" t="str">
            <v>PUB SVC ENTERS</v>
          </cell>
          <cell r="D30">
            <v>20001214</v>
          </cell>
          <cell r="E30" t="str">
            <v>EPS</v>
          </cell>
          <cell r="F30" t="str">
            <v>ANN</v>
          </cell>
          <cell r="G30">
            <v>1</v>
          </cell>
          <cell r="H30">
            <v>15</v>
          </cell>
          <cell r="I30">
            <v>1.75</v>
          </cell>
          <cell r="J30">
            <v>1.77</v>
          </cell>
          <cell r="K30">
            <v>1</v>
          </cell>
          <cell r="L30">
            <v>20001231</v>
          </cell>
          <cell r="M30">
            <v>1.7749999999999999</v>
          </cell>
          <cell r="N30">
            <v>20010123</v>
          </cell>
        </row>
        <row r="31">
          <cell r="A31" t="str">
            <v>PNM</v>
          </cell>
          <cell r="B31" t="str">
            <v>PNM</v>
          </cell>
          <cell r="C31" t="str">
            <v>PUB SVC N MEX</v>
          </cell>
          <cell r="D31">
            <v>20001214</v>
          </cell>
          <cell r="E31" t="str">
            <v>EPS</v>
          </cell>
          <cell r="F31" t="str">
            <v>ANN</v>
          </cell>
          <cell r="G31">
            <v>1</v>
          </cell>
          <cell r="H31">
            <v>6</v>
          </cell>
          <cell r="I31">
            <v>1.63</v>
          </cell>
          <cell r="J31">
            <v>1.62</v>
          </cell>
          <cell r="K31">
            <v>1</v>
          </cell>
          <cell r="L31">
            <v>20001231</v>
          </cell>
          <cell r="M31">
            <v>1.7</v>
          </cell>
          <cell r="N31">
            <v>20010125</v>
          </cell>
        </row>
        <row r="32">
          <cell r="A32" t="str">
            <v>POM</v>
          </cell>
          <cell r="B32" t="str">
            <v>POM</v>
          </cell>
          <cell r="C32" t="str">
            <v>POTOMAC ELEC</v>
          </cell>
          <cell r="D32">
            <v>20001214</v>
          </cell>
          <cell r="E32" t="str">
            <v>EPS</v>
          </cell>
          <cell r="F32" t="str">
            <v>ANN</v>
          </cell>
          <cell r="G32">
            <v>1</v>
          </cell>
          <cell r="H32">
            <v>15</v>
          </cell>
          <cell r="I32">
            <v>1.8</v>
          </cell>
          <cell r="J32">
            <v>1.73</v>
          </cell>
          <cell r="K32">
            <v>1</v>
          </cell>
          <cell r="L32">
            <v>20001231</v>
          </cell>
          <cell r="M32">
            <v>1.59</v>
          </cell>
          <cell r="N32">
            <v>20010125</v>
          </cell>
        </row>
        <row r="33">
          <cell r="A33" t="str">
            <v>PPL</v>
          </cell>
          <cell r="B33" t="str">
            <v>PPL</v>
          </cell>
          <cell r="C33" t="str">
            <v>PP&amp;L CORP</v>
          </cell>
          <cell r="D33">
            <v>20001214</v>
          </cell>
          <cell r="E33" t="str">
            <v>EPS</v>
          </cell>
          <cell r="F33" t="str">
            <v>ANN</v>
          </cell>
          <cell r="G33">
            <v>1</v>
          </cell>
          <cell r="H33">
            <v>13</v>
          </cell>
          <cell r="I33">
            <v>1.5</v>
          </cell>
          <cell r="J33">
            <v>1.48</v>
          </cell>
          <cell r="K33">
            <v>1</v>
          </cell>
          <cell r="L33">
            <v>20001231</v>
          </cell>
          <cell r="M33">
            <v>1.655</v>
          </cell>
          <cell r="N33">
            <v>20010124</v>
          </cell>
        </row>
        <row r="34">
          <cell r="A34" t="str">
            <v>PSD</v>
          </cell>
          <cell r="B34" t="str">
            <v>PSD</v>
          </cell>
          <cell r="C34" t="str">
            <v>PUGET SOUND ENGY</v>
          </cell>
          <cell r="D34">
            <v>20001214</v>
          </cell>
          <cell r="E34" t="str">
            <v>EPS</v>
          </cell>
          <cell r="F34" t="str">
            <v>ANN</v>
          </cell>
          <cell r="G34">
            <v>1</v>
          </cell>
          <cell r="H34">
            <v>9</v>
          </cell>
          <cell r="I34">
            <v>2</v>
          </cell>
          <cell r="J34">
            <v>2</v>
          </cell>
          <cell r="K34">
            <v>1</v>
          </cell>
          <cell r="L34">
            <v>20001231</v>
          </cell>
          <cell r="M34">
            <v>2.16</v>
          </cell>
          <cell r="N34">
            <v>20010213</v>
          </cell>
        </row>
        <row r="35">
          <cell r="A35" t="str">
            <v>EIX</v>
          </cell>
          <cell r="B35" t="str">
            <v>SCE</v>
          </cell>
          <cell r="C35" t="str">
            <v>EDISON INTL</v>
          </cell>
          <cell r="D35">
            <v>20001214</v>
          </cell>
          <cell r="E35" t="str">
            <v>EPS</v>
          </cell>
          <cell r="F35" t="str">
            <v>ANN</v>
          </cell>
          <cell r="G35">
            <v>1</v>
          </cell>
          <cell r="H35">
            <v>21</v>
          </cell>
          <cell r="I35">
            <v>2</v>
          </cell>
          <cell r="J35">
            <v>2</v>
          </cell>
          <cell r="K35">
            <v>1</v>
          </cell>
          <cell r="L35">
            <v>20001231</v>
          </cell>
          <cell r="M35">
            <v>1.64</v>
          </cell>
          <cell r="N35">
            <v>20010417</v>
          </cell>
        </row>
        <row r="36">
          <cell r="A36" t="str">
            <v>SCG</v>
          </cell>
          <cell r="B36" t="str">
            <v>SCG</v>
          </cell>
          <cell r="C36" t="str">
            <v>SCANA CP</v>
          </cell>
          <cell r="D36">
            <v>20001214</v>
          </cell>
          <cell r="E36" t="str">
            <v>EPS</v>
          </cell>
          <cell r="F36" t="str">
            <v>ANN</v>
          </cell>
          <cell r="G36">
            <v>1</v>
          </cell>
          <cell r="H36">
            <v>14</v>
          </cell>
          <cell r="I36">
            <v>2.1</v>
          </cell>
          <cell r="J36">
            <v>2.08</v>
          </cell>
          <cell r="K36">
            <v>1</v>
          </cell>
          <cell r="L36">
            <v>20001231</v>
          </cell>
          <cell r="M36">
            <v>2.12</v>
          </cell>
          <cell r="N36">
            <v>20010212</v>
          </cell>
        </row>
        <row r="37">
          <cell r="A37" t="str">
            <v>SRE</v>
          </cell>
          <cell r="B37" t="str">
            <v>SDO</v>
          </cell>
          <cell r="C37" t="str">
            <v>SEMPRA ENERGY</v>
          </cell>
          <cell r="D37">
            <v>20001214</v>
          </cell>
          <cell r="E37" t="str">
            <v>EPS</v>
          </cell>
          <cell r="F37" t="str">
            <v>ANN</v>
          </cell>
          <cell r="G37">
            <v>1</v>
          </cell>
          <cell r="H37">
            <v>9</v>
          </cell>
          <cell r="I37">
            <v>2.0499999999999998</v>
          </cell>
          <cell r="J37">
            <v>2.1</v>
          </cell>
          <cell r="K37">
            <v>1</v>
          </cell>
          <cell r="L37">
            <v>20001231</v>
          </cell>
          <cell r="M37">
            <v>2.21</v>
          </cell>
          <cell r="N37">
            <v>20010125</v>
          </cell>
        </row>
        <row r="38">
          <cell r="A38" t="str">
            <v>VVC</v>
          </cell>
          <cell r="B38" t="str">
            <v>SIG</v>
          </cell>
          <cell r="C38" t="str">
            <v>VECTREN CORP</v>
          </cell>
          <cell r="D38">
            <v>20001214</v>
          </cell>
          <cell r="E38" t="str">
            <v>EPS</v>
          </cell>
          <cell r="F38" t="str">
            <v>ANN</v>
          </cell>
          <cell r="G38">
            <v>1</v>
          </cell>
          <cell r="H38">
            <v>8</v>
          </cell>
          <cell r="I38">
            <v>1.57</v>
          </cell>
          <cell r="J38">
            <v>1.6</v>
          </cell>
          <cell r="K38">
            <v>1</v>
          </cell>
          <cell r="L38">
            <v>20001231</v>
          </cell>
          <cell r="M38">
            <v>1.86</v>
          </cell>
          <cell r="N38">
            <v>20010125</v>
          </cell>
        </row>
        <row r="39">
          <cell r="A39" t="str">
            <v>SO</v>
          </cell>
          <cell r="B39" t="str">
            <v>SO</v>
          </cell>
          <cell r="C39" t="str">
            <v>SOUTHN CO</v>
          </cell>
          <cell r="D39">
            <v>20001214</v>
          </cell>
          <cell r="E39" t="str">
            <v>EPS</v>
          </cell>
          <cell r="F39" t="str">
            <v>ANN</v>
          </cell>
          <cell r="G39">
            <v>1</v>
          </cell>
          <cell r="H39">
            <v>22</v>
          </cell>
          <cell r="I39">
            <v>2.0499999999999998</v>
          </cell>
          <cell r="J39">
            <v>2.0699999999999998</v>
          </cell>
          <cell r="K39">
            <v>1</v>
          </cell>
          <cell r="L39">
            <v>20001231</v>
          </cell>
          <cell r="M39">
            <v>2.13</v>
          </cell>
          <cell r="N39">
            <v>20010119</v>
          </cell>
        </row>
        <row r="40">
          <cell r="A40" t="str">
            <v>TE</v>
          </cell>
          <cell r="B40" t="str">
            <v>TE</v>
          </cell>
          <cell r="C40" t="str">
            <v>TECO ENERGY INC</v>
          </cell>
          <cell r="D40">
            <v>20001214</v>
          </cell>
          <cell r="E40" t="str">
            <v>EPS</v>
          </cell>
          <cell r="F40" t="str">
            <v>ANN</v>
          </cell>
          <cell r="G40">
            <v>1</v>
          </cell>
          <cell r="H40">
            <v>14</v>
          </cell>
          <cell r="I40">
            <v>1.98</v>
          </cell>
          <cell r="J40">
            <v>1.97</v>
          </cell>
          <cell r="K40">
            <v>1</v>
          </cell>
          <cell r="L40">
            <v>20001231</v>
          </cell>
          <cell r="M40">
            <v>1.99</v>
          </cell>
          <cell r="N40">
            <v>20010122</v>
          </cell>
        </row>
        <row r="41">
          <cell r="A41" t="str">
            <v>AEE</v>
          </cell>
          <cell r="B41" t="str">
            <v>UEP</v>
          </cell>
          <cell r="C41" t="str">
            <v>AMEREN CP</v>
          </cell>
          <cell r="D41">
            <v>20001214</v>
          </cell>
          <cell r="E41" t="str">
            <v>EPS</v>
          </cell>
          <cell r="F41" t="str">
            <v>ANN</v>
          </cell>
          <cell r="G41">
            <v>1</v>
          </cell>
          <cell r="H41">
            <v>13</v>
          </cell>
          <cell r="I41">
            <v>3.3</v>
          </cell>
          <cell r="J41">
            <v>3.25</v>
          </cell>
          <cell r="K41">
            <v>1</v>
          </cell>
          <cell r="L41">
            <v>20001231</v>
          </cell>
          <cell r="M41">
            <v>3.34</v>
          </cell>
          <cell r="N41">
            <v>20010206</v>
          </cell>
        </row>
        <row r="42">
          <cell r="A42" t="str">
            <v>UIL</v>
          </cell>
          <cell r="B42" t="str">
            <v>UIL</v>
          </cell>
          <cell r="C42" t="str">
            <v>UIL HOLDING CORP</v>
          </cell>
          <cell r="D42">
            <v>20001214</v>
          </cell>
          <cell r="E42" t="str">
            <v>EPS</v>
          </cell>
          <cell r="F42" t="str">
            <v>ANN</v>
          </cell>
          <cell r="G42">
            <v>1</v>
          </cell>
          <cell r="H42">
            <v>3</v>
          </cell>
          <cell r="I42">
            <v>2.5499999999999998</v>
          </cell>
          <cell r="J42">
            <v>2.5499999999999998</v>
          </cell>
          <cell r="K42">
            <v>1</v>
          </cell>
          <cell r="L42">
            <v>20001231</v>
          </cell>
          <cell r="M42">
            <v>2.556</v>
          </cell>
          <cell r="N42">
            <v>20010122</v>
          </cell>
        </row>
        <row r="43">
          <cell r="A43" t="str">
            <v>WEC</v>
          </cell>
          <cell r="B43" t="str">
            <v>WPC</v>
          </cell>
          <cell r="C43" t="str">
            <v>WISCONSIN ENERGY</v>
          </cell>
          <cell r="D43">
            <v>20001214</v>
          </cell>
          <cell r="E43" t="str">
            <v>EPS</v>
          </cell>
          <cell r="F43" t="str">
            <v>ANN</v>
          </cell>
          <cell r="G43">
            <v>1</v>
          </cell>
          <cell r="H43">
            <v>14</v>
          </cell>
          <cell r="I43">
            <v>0.75</v>
          </cell>
          <cell r="J43">
            <v>0.82</v>
          </cell>
          <cell r="K43">
            <v>1</v>
          </cell>
          <cell r="L43">
            <v>20001231</v>
          </cell>
          <cell r="M43">
            <v>0.86</v>
          </cell>
          <cell r="N43">
            <v>20010206</v>
          </cell>
        </row>
        <row r="44">
          <cell r="A44" t="str">
            <v>LNT</v>
          </cell>
          <cell r="B44" t="str">
            <v>WPL</v>
          </cell>
          <cell r="C44" t="str">
            <v>ALLIANT ENER</v>
          </cell>
          <cell r="D44">
            <v>20001214</v>
          </cell>
          <cell r="E44" t="str">
            <v>EPS</v>
          </cell>
          <cell r="F44" t="str">
            <v>ANN</v>
          </cell>
          <cell r="G44">
            <v>1</v>
          </cell>
          <cell r="H44">
            <v>3</v>
          </cell>
          <cell r="I44">
            <v>1.1299999999999999</v>
          </cell>
          <cell r="J44">
            <v>1.1200000000000001</v>
          </cell>
          <cell r="K44">
            <v>1</v>
          </cell>
          <cell r="L44">
            <v>20001231</v>
          </cell>
          <cell r="M44">
            <v>1.23</v>
          </cell>
          <cell r="N44">
            <v>20010201</v>
          </cell>
        </row>
        <row r="45">
          <cell r="A45" t="str">
            <v>WPS</v>
          </cell>
          <cell r="B45" t="str">
            <v>WPS</v>
          </cell>
          <cell r="C45" t="str">
            <v>WPS RESOURCES CP</v>
          </cell>
          <cell r="D45">
            <v>20001214</v>
          </cell>
          <cell r="E45" t="str">
            <v>EPS</v>
          </cell>
          <cell r="F45" t="str">
            <v>ANN</v>
          </cell>
          <cell r="G45">
            <v>1</v>
          </cell>
          <cell r="H45">
            <v>2</v>
          </cell>
          <cell r="I45">
            <v>2.52</v>
          </cell>
          <cell r="J45">
            <v>2.52</v>
          </cell>
          <cell r="K45">
            <v>1</v>
          </cell>
          <cell r="L45">
            <v>20001231</v>
          </cell>
          <cell r="M45">
            <v>2.5299999999999998</v>
          </cell>
          <cell r="N45">
            <v>20010126</v>
          </cell>
        </row>
        <row r="46">
          <cell r="A46" t="str">
            <v>AVA</v>
          </cell>
          <cell r="B46" t="str">
            <v>WWP</v>
          </cell>
          <cell r="C46" t="str">
            <v>AVISTA CORP</v>
          </cell>
          <cell r="D46">
            <v>20001214</v>
          </cell>
          <cell r="E46" t="str">
            <v>EPS</v>
          </cell>
          <cell r="F46" t="str">
            <v>ANN</v>
          </cell>
          <cell r="G46">
            <v>1</v>
          </cell>
          <cell r="H46">
            <v>10</v>
          </cell>
          <cell r="I46">
            <v>-0.21</v>
          </cell>
          <cell r="J46">
            <v>0.05</v>
          </cell>
          <cell r="K46">
            <v>1</v>
          </cell>
          <cell r="L46">
            <v>20001231</v>
          </cell>
          <cell r="M46">
            <v>2.2799999999999998</v>
          </cell>
          <cell r="N46">
            <v>20010131</v>
          </cell>
        </row>
        <row r="47">
          <cell r="A47" t="str">
            <v>DPL</v>
          </cell>
          <cell r="B47" t="str">
            <v>@3DK</v>
          </cell>
          <cell r="C47" t="str">
            <v>DANKOTUWA PORC.</v>
          </cell>
          <cell r="D47">
            <v>20001214</v>
          </cell>
          <cell r="E47" t="str">
            <v>EPS</v>
          </cell>
          <cell r="F47" t="str">
            <v>ANN</v>
          </cell>
          <cell r="G47">
            <v>1</v>
          </cell>
          <cell r="H47">
            <v>1</v>
          </cell>
          <cell r="I47">
            <v>1.02</v>
          </cell>
          <cell r="J47">
            <v>1.02</v>
          </cell>
          <cell r="K47">
            <v>0</v>
          </cell>
          <cell r="L47">
            <v>19991231</v>
          </cell>
        </row>
        <row r="48">
          <cell r="A48" t="str">
            <v>AGR</v>
          </cell>
          <cell r="B48" t="str">
            <v>@AG6</v>
          </cell>
          <cell r="C48" t="str">
            <v>AGRESSO GROUP</v>
          </cell>
          <cell r="D48">
            <v>20001214</v>
          </cell>
          <cell r="E48" t="str">
            <v>EPS</v>
          </cell>
          <cell r="F48" t="str">
            <v>ANN</v>
          </cell>
          <cell r="G48">
            <v>1</v>
          </cell>
          <cell r="H48">
            <v>7</v>
          </cell>
          <cell r="I48">
            <v>0.6</v>
          </cell>
          <cell r="J48">
            <v>0.61</v>
          </cell>
          <cell r="K48">
            <v>0</v>
          </cell>
          <cell r="L48">
            <v>20001231</v>
          </cell>
        </row>
        <row r="49">
          <cell r="A49" t="str">
            <v>AGR</v>
          </cell>
          <cell r="B49" t="str">
            <v>@AGM</v>
          </cell>
          <cell r="C49" t="str">
            <v>AGROMAN</v>
          </cell>
          <cell r="D49">
            <v>20001214</v>
          </cell>
          <cell r="E49" t="str">
            <v>EPS</v>
          </cell>
          <cell r="F49" t="str">
            <v>ANN</v>
          </cell>
          <cell r="G49">
            <v>1</v>
          </cell>
          <cell r="H49">
            <v>3</v>
          </cell>
          <cell r="I49">
            <v>0.44</v>
          </cell>
          <cell r="J49">
            <v>0.46</v>
          </cell>
          <cell r="K49">
            <v>0</v>
          </cell>
          <cell r="L49">
            <v>20001231</v>
          </cell>
        </row>
        <row r="50">
          <cell r="A50" t="str">
            <v>AVA</v>
          </cell>
          <cell r="B50" t="str">
            <v>@AHV</v>
          </cell>
          <cell r="C50" t="str">
            <v>AVA</v>
          </cell>
          <cell r="D50">
            <v>20001214</v>
          </cell>
          <cell r="E50" t="str">
            <v>EPS</v>
          </cell>
          <cell r="F50" t="str">
            <v>ANN</v>
          </cell>
          <cell r="G50">
            <v>1</v>
          </cell>
          <cell r="H50">
            <v>11</v>
          </cell>
          <cell r="I50">
            <v>2.2000000000000002</v>
          </cell>
          <cell r="J50">
            <v>2.1800000000000002</v>
          </cell>
          <cell r="K50">
            <v>0</v>
          </cell>
          <cell r="L50">
            <v>20001231</v>
          </cell>
          <cell r="M50">
            <v>1.92</v>
          </cell>
          <cell r="N50">
            <v>20010430</v>
          </cell>
        </row>
        <row r="51">
          <cell r="A51" t="str">
            <v>CNP</v>
          </cell>
          <cell r="B51" t="str">
            <v>@C3I</v>
          </cell>
          <cell r="C51" t="str">
            <v>CRITERION PROP</v>
          </cell>
          <cell r="D51">
            <v>20001214</v>
          </cell>
          <cell r="E51" t="str">
            <v>EPS</v>
          </cell>
          <cell r="F51" t="str">
            <v>ANN</v>
          </cell>
          <cell r="G51">
            <v>1</v>
          </cell>
          <cell r="H51">
            <v>1</v>
          </cell>
          <cell r="I51">
            <v>13.7</v>
          </cell>
          <cell r="J51">
            <v>13.7</v>
          </cell>
          <cell r="K51">
            <v>0</v>
          </cell>
          <cell r="L51">
            <v>20001231</v>
          </cell>
          <cell r="M51">
            <v>8.82</v>
          </cell>
          <cell r="N51">
            <v>20010430</v>
          </cell>
        </row>
        <row r="52">
          <cell r="A52" t="str">
            <v>ALE</v>
          </cell>
          <cell r="B52" t="str">
            <v>@CA6</v>
          </cell>
          <cell r="C52" t="str">
            <v>ACTIONLEISURE</v>
          </cell>
          <cell r="D52">
            <v>20001214</v>
          </cell>
          <cell r="E52" t="str">
            <v>EPS</v>
          </cell>
          <cell r="F52" t="str">
            <v>ANN</v>
          </cell>
          <cell r="G52">
            <v>1</v>
          </cell>
          <cell r="H52">
            <v>2</v>
          </cell>
          <cell r="I52">
            <v>2.65</v>
          </cell>
          <cell r="J52">
            <v>2.65</v>
          </cell>
          <cell r="K52">
            <v>0</v>
          </cell>
          <cell r="L52">
            <v>20001231</v>
          </cell>
          <cell r="M52">
            <v>-23.93</v>
          </cell>
          <cell r="N52">
            <v>20010614</v>
          </cell>
        </row>
        <row r="53">
          <cell r="A53" t="str">
            <v>CNP</v>
          </cell>
          <cell r="B53" t="str">
            <v>@CN0</v>
          </cell>
          <cell r="C53" t="str">
            <v>CNP ASSURANCES</v>
          </cell>
          <cell r="D53">
            <v>20001214</v>
          </cell>
          <cell r="E53" t="str">
            <v>EPS</v>
          </cell>
          <cell r="F53" t="str">
            <v>ANN</v>
          </cell>
          <cell r="G53">
            <v>1</v>
          </cell>
          <cell r="H53">
            <v>18</v>
          </cell>
          <cell r="I53">
            <v>0.72</v>
          </cell>
          <cell r="J53">
            <v>0.72</v>
          </cell>
          <cell r="K53">
            <v>0</v>
          </cell>
          <cell r="L53">
            <v>20001231</v>
          </cell>
          <cell r="M53">
            <v>0.78969999999999996</v>
          </cell>
          <cell r="N53">
            <v>20010501</v>
          </cell>
        </row>
        <row r="54">
          <cell r="A54" t="str">
            <v>CIN</v>
          </cell>
          <cell r="B54" t="str">
            <v>@CUW</v>
          </cell>
          <cell r="C54" t="str">
            <v>CITY OF LOND PR</v>
          </cell>
          <cell r="D54">
            <v>20001214</v>
          </cell>
          <cell r="E54" t="str">
            <v>EPS</v>
          </cell>
          <cell r="F54" t="str">
            <v>ANN</v>
          </cell>
          <cell r="G54">
            <v>1</v>
          </cell>
          <cell r="H54">
            <v>1</v>
          </cell>
          <cell r="I54">
            <v>148.16</v>
          </cell>
          <cell r="J54">
            <v>148.16</v>
          </cell>
          <cell r="K54">
            <v>0</v>
          </cell>
          <cell r="L54">
            <v>20010331</v>
          </cell>
          <cell r="M54">
            <v>133.9289</v>
          </cell>
          <cell r="N54">
            <v>20010605</v>
          </cell>
        </row>
        <row r="55">
          <cell r="A55" t="str">
            <v>D</v>
          </cell>
          <cell r="B55" t="str">
            <v>@DLM</v>
          </cell>
          <cell r="C55" t="str">
            <v>DALMINE</v>
          </cell>
          <cell r="D55">
            <v>20001214</v>
          </cell>
          <cell r="E55" t="str">
            <v>EPS</v>
          </cell>
          <cell r="F55" t="str">
            <v>ANN</v>
          </cell>
          <cell r="G55">
            <v>1</v>
          </cell>
          <cell r="H55">
            <v>6</v>
          </cell>
          <cell r="I55">
            <v>0.01</v>
          </cell>
          <cell r="J55">
            <v>0.01</v>
          </cell>
          <cell r="K55">
            <v>0</v>
          </cell>
          <cell r="L55">
            <v>20001231</v>
          </cell>
          <cell r="M55">
            <v>0.01</v>
          </cell>
          <cell r="N55">
            <v>20010426</v>
          </cell>
        </row>
        <row r="56">
          <cell r="A56" t="str">
            <v>DTE</v>
          </cell>
          <cell r="B56" t="str">
            <v>@DT</v>
          </cell>
          <cell r="C56" t="str">
            <v>DEUTSCHE TELEKOM</v>
          </cell>
          <cell r="D56">
            <v>20001214</v>
          </cell>
          <cell r="E56" t="str">
            <v>EPS</v>
          </cell>
          <cell r="F56" t="str">
            <v>ANN</v>
          </cell>
          <cell r="G56">
            <v>1</v>
          </cell>
          <cell r="H56">
            <v>28</v>
          </cell>
          <cell r="I56">
            <v>0.48</v>
          </cell>
          <cell r="J56">
            <v>0.67</v>
          </cell>
          <cell r="K56">
            <v>0</v>
          </cell>
          <cell r="L56">
            <v>20001231</v>
          </cell>
          <cell r="M56">
            <v>1.96</v>
          </cell>
          <cell r="N56">
            <v>20010320</v>
          </cell>
        </row>
        <row r="57">
          <cell r="A57" t="str">
            <v>EXC</v>
          </cell>
          <cell r="B57" t="str">
            <v>@ECH</v>
          </cell>
          <cell r="C57" t="str">
            <v>EX-CELL-O-HLDG</v>
          </cell>
          <cell r="D57">
            <v>20001214</v>
          </cell>
          <cell r="E57" t="str">
            <v>EPS</v>
          </cell>
          <cell r="F57" t="str">
            <v>ANN</v>
          </cell>
          <cell r="G57">
            <v>1</v>
          </cell>
          <cell r="H57">
            <v>1</v>
          </cell>
          <cell r="I57">
            <v>5.73</v>
          </cell>
          <cell r="J57">
            <v>5.73</v>
          </cell>
          <cell r="K57">
            <v>0</v>
          </cell>
          <cell r="L57">
            <v>20001231</v>
          </cell>
        </row>
        <row r="58">
          <cell r="A58" t="str">
            <v>EAS</v>
          </cell>
          <cell r="B58" t="str">
            <v>@ESY</v>
          </cell>
          <cell r="C58" t="str">
            <v>EASYSCREEN PLC</v>
          </cell>
          <cell r="D58">
            <v>20001214</v>
          </cell>
          <cell r="E58" t="str">
            <v>EPS</v>
          </cell>
          <cell r="F58" t="str">
            <v>ANN</v>
          </cell>
          <cell r="G58">
            <v>1</v>
          </cell>
          <cell r="H58">
            <v>1</v>
          </cell>
          <cell r="I58">
            <v>-15.33</v>
          </cell>
          <cell r="J58">
            <v>-15.33</v>
          </cell>
          <cell r="K58">
            <v>0</v>
          </cell>
          <cell r="L58">
            <v>20010331</v>
          </cell>
          <cell r="M58">
            <v>-16.4115</v>
          </cell>
          <cell r="N58">
            <v>20010727</v>
          </cell>
        </row>
        <row r="59">
          <cell r="A59" t="str">
            <v>CMS</v>
          </cell>
          <cell r="B59" t="str">
            <v>@HMD</v>
          </cell>
          <cell r="C59" t="str">
            <v>CAHYA MATA SARA.</v>
          </cell>
          <cell r="D59">
            <v>20001214</v>
          </cell>
          <cell r="E59" t="str">
            <v>EPS</v>
          </cell>
          <cell r="F59" t="str">
            <v>ANN</v>
          </cell>
          <cell r="G59">
            <v>1</v>
          </cell>
          <cell r="H59">
            <v>1</v>
          </cell>
          <cell r="I59">
            <v>0.10199999999999999</v>
          </cell>
          <cell r="J59">
            <v>0.10199999999999999</v>
          </cell>
          <cell r="K59">
            <v>0</v>
          </cell>
          <cell r="L59">
            <v>20001231</v>
          </cell>
          <cell r="M59">
            <v>7.5700000000000003E-2</v>
          </cell>
          <cell r="N59">
            <v>20010301</v>
          </cell>
        </row>
        <row r="60">
          <cell r="A60" t="str">
            <v>ETR</v>
          </cell>
          <cell r="B60" t="str">
            <v>@NPD</v>
          </cell>
          <cell r="C60" t="str">
            <v>E*TRADE AUSTRALI</v>
          </cell>
          <cell r="D60">
            <v>20001214</v>
          </cell>
          <cell r="E60" t="str">
            <v>EPS</v>
          </cell>
          <cell r="F60" t="str">
            <v>ANN</v>
          </cell>
          <cell r="G60">
            <v>1</v>
          </cell>
          <cell r="H60">
            <v>3</v>
          </cell>
          <cell r="I60">
            <v>-3.7999999999999999E-2</v>
          </cell>
          <cell r="J60">
            <v>-4.3999999999999997E-2</v>
          </cell>
          <cell r="K60">
            <v>0</v>
          </cell>
          <cell r="L60">
            <v>20010630</v>
          </cell>
          <cell r="M60">
            <v>-0.49630000000000002</v>
          </cell>
          <cell r="N60">
            <v>20010904</v>
          </cell>
        </row>
        <row r="61">
          <cell r="A61" t="str">
            <v>NST</v>
          </cell>
          <cell r="B61" t="str">
            <v>@NST</v>
          </cell>
          <cell r="C61" t="str">
            <v>NEW STRAITS TIME</v>
          </cell>
          <cell r="D61">
            <v>20001214</v>
          </cell>
          <cell r="E61" t="str">
            <v>EPS</v>
          </cell>
          <cell r="F61" t="str">
            <v>ANN</v>
          </cell>
          <cell r="G61">
            <v>1</v>
          </cell>
          <cell r="H61">
            <v>19</v>
          </cell>
          <cell r="I61">
            <v>0.21</v>
          </cell>
          <cell r="J61">
            <v>0.22500000000000001</v>
          </cell>
          <cell r="K61">
            <v>0</v>
          </cell>
          <cell r="L61">
            <v>20010831</v>
          </cell>
          <cell r="M61">
            <v>-0.65159999999999996</v>
          </cell>
          <cell r="N61">
            <v>20011107</v>
          </cell>
        </row>
        <row r="62">
          <cell r="A62" t="str">
            <v>PNM</v>
          </cell>
          <cell r="B62" t="str">
            <v>@P27</v>
          </cell>
          <cell r="C62" t="str">
            <v>PHENOMEDIA</v>
          </cell>
          <cell r="D62">
            <v>20001214</v>
          </cell>
          <cell r="E62" t="str">
            <v>EPS</v>
          </cell>
          <cell r="F62" t="str">
            <v>ANN</v>
          </cell>
          <cell r="G62">
            <v>1</v>
          </cell>
          <cell r="H62">
            <v>2</v>
          </cell>
          <cell r="I62">
            <v>0.97</v>
          </cell>
          <cell r="J62">
            <v>0.97</v>
          </cell>
          <cell r="K62">
            <v>0</v>
          </cell>
          <cell r="L62">
            <v>20001231</v>
          </cell>
          <cell r="M62">
            <v>0.67</v>
          </cell>
          <cell r="N62">
            <v>20010510</v>
          </cell>
        </row>
        <row r="63">
          <cell r="A63" t="str">
            <v>POM</v>
          </cell>
          <cell r="B63" t="str">
            <v>@PO8</v>
          </cell>
          <cell r="C63" t="str">
            <v>PLASTIC OMNIUM</v>
          </cell>
          <cell r="D63">
            <v>20001214</v>
          </cell>
          <cell r="E63" t="str">
            <v>EPS</v>
          </cell>
          <cell r="F63" t="str">
            <v>ANN</v>
          </cell>
          <cell r="G63">
            <v>1</v>
          </cell>
          <cell r="H63">
            <v>12</v>
          </cell>
          <cell r="I63">
            <v>0.19</v>
          </cell>
          <cell r="J63">
            <v>0.19</v>
          </cell>
          <cell r="K63">
            <v>0</v>
          </cell>
          <cell r="L63">
            <v>20001231</v>
          </cell>
          <cell r="M63">
            <v>0.2044</v>
          </cell>
          <cell r="N63">
            <v>20010330</v>
          </cell>
        </row>
        <row r="64">
          <cell r="A64" t="str">
            <v>PSD</v>
          </cell>
          <cell r="B64" t="str">
            <v>@PS8</v>
          </cell>
          <cell r="C64" t="str">
            <v>PSD GROUP</v>
          </cell>
          <cell r="D64">
            <v>20001214</v>
          </cell>
          <cell r="E64" t="str">
            <v>EPS</v>
          </cell>
          <cell r="F64" t="str">
            <v>ANN</v>
          </cell>
          <cell r="G64">
            <v>1</v>
          </cell>
          <cell r="H64">
            <v>2</v>
          </cell>
          <cell r="I64">
            <v>58.25</v>
          </cell>
          <cell r="J64">
            <v>58.25</v>
          </cell>
          <cell r="K64">
            <v>0</v>
          </cell>
          <cell r="L64">
            <v>20001231</v>
          </cell>
          <cell r="M64">
            <v>57.1</v>
          </cell>
          <cell r="N64">
            <v>20010510</v>
          </cell>
        </row>
        <row r="65">
          <cell r="A65" t="str">
            <v>PGN</v>
          </cell>
          <cell r="B65" t="str">
            <v>@QPA</v>
          </cell>
          <cell r="C65" t="str">
            <v>PARAGON</v>
          </cell>
          <cell r="D65">
            <v>20001214</v>
          </cell>
          <cell r="E65" t="str">
            <v>EPS</v>
          </cell>
          <cell r="F65" t="str">
            <v>ANN</v>
          </cell>
          <cell r="G65">
            <v>1</v>
          </cell>
          <cell r="H65">
            <v>1</v>
          </cell>
          <cell r="I65">
            <v>0.09</v>
          </cell>
          <cell r="J65">
            <v>0.09</v>
          </cell>
          <cell r="K65">
            <v>0</v>
          </cell>
          <cell r="L65">
            <v>20001231</v>
          </cell>
          <cell r="M65">
            <v>0.38</v>
          </cell>
          <cell r="N65">
            <v>20010510</v>
          </cell>
        </row>
        <row r="66">
          <cell r="A66" t="str">
            <v>SO</v>
          </cell>
          <cell r="B66" t="str">
            <v>@SOM</v>
          </cell>
          <cell r="C66" t="str">
            <v>SOMMER-ALLIBERT</v>
          </cell>
          <cell r="D66">
            <v>20001214</v>
          </cell>
          <cell r="E66" t="str">
            <v>EPS</v>
          </cell>
          <cell r="F66" t="str">
            <v>ANN</v>
          </cell>
          <cell r="G66">
            <v>1</v>
          </cell>
          <cell r="H66">
            <v>12</v>
          </cell>
          <cell r="I66">
            <v>2.82</v>
          </cell>
          <cell r="J66">
            <v>2.85</v>
          </cell>
          <cell r="K66">
            <v>0</v>
          </cell>
          <cell r="L66">
            <v>20001231</v>
          </cell>
          <cell r="M66">
            <v>1.1499999999999999</v>
          </cell>
          <cell r="N66">
            <v>20011130</v>
          </cell>
        </row>
        <row r="67">
          <cell r="A67" t="str">
            <v>WEC</v>
          </cell>
          <cell r="B67" t="str">
            <v>@WE0</v>
          </cell>
          <cell r="C67" t="str">
            <v>WONG ENGINEER</v>
          </cell>
          <cell r="D67">
            <v>20001214</v>
          </cell>
          <cell r="E67" t="str">
            <v>EPS</v>
          </cell>
          <cell r="F67" t="str">
            <v>ANN</v>
          </cell>
          <cell r="G67">
            <v>1</v>
          </cell>
          <cell r="H67">
            <v>1</v>
          </cell>
          <cell r="I67">
            <v>7.6999999999999999E-2</v>
          </cell>
          <cell r="J67">
            <v>7.6999999999999999E-2</v>
          </cell>
          <cell r="K67">
            <v>0</v>
          </cell>
          <cell r="L67">
            <v>20001031</v>
          </cell>
          <cell r="M67">
            <v>7.5999999999999998E-2</v>
          </cell>
          <cell r="N67">
            <v>20010102</v>
          </cell>
        </row>
        <row r="68">
          <cell r="A68" t="str">
            <v>CMS</v>
          </cell>
          <cell r="B68" t="str">
            <v>@XJM</v>
          </cell>
          <cell r="C68" t="str">
            <v>COMMUNISIS PLC</v>
          </cell>
          <cell r="D68">
            <v>20001214</v>
          </cell>
          <cell r="E68" t="str">
            <v>EPS</v>
          </cell>
          <cell r="F68" t="str">
            <v>ANN</v>
          </cell>
          <cell r="G68">
            <v>1</v>
          </cell>
          <cell r="H68">
            <v>2</v>
          </cell>
          <cell r="I68">
            <v>5.09</v>
          </cell>
          <cell r="J68">
            <v>5.09</v>
          </cell>
          <cell r="K68">
            <v>0</v>
          </cell>
          <cell r="L68">
            <v>20001231</v>
          </cell>
          <cell r="M68">
            <v>7.9707999999999997</v>
          </cell>
          <cell r="N68">
            <v>20010307</v>
          </cell>
        </row>
        <row r="69">
          <cell r="A69" t="str">
            <v>CIN</v>
          </cell>
          <cell r="B69" t="str">
            <v>@YYN</v>
          </cell>
          <cell r="C69" t="str">
            <v>CIN</v>
          </cell>
          <cell r="D69">
            <v>20001214</v>
          </cell>
          <cell r="E69" t="str">
            <v>EPS</v>
          </cell>
          <cell r="F69" t="str">
            <v>ANN</v>
          </cell>
          <cell r="G69">
            <v>1</v>
          </cell>
          <cell r="H69">
            <v>7</v>
          </cell>
          <cell r="I69">
            <v>0.43</v>
          </cell>
          <cell r="J69">
            <v>0.42</v>
          </cell>
          <cell r="K69">
            <v>0</v>
          </cell>
          <cell r="L69">
            <v>20001231</v>
          </cell>
          <cell r="M69">
            <v>0.25940000000000002</v>
          </cell>
          <cell r="N69">
            <v>20010420</v>
          </cell>
        </row>
        <row r="70">
          <cell r="A70" t="str">
            <v>AVA</v>
          </cell>
          <cell r="B70" t="str">
            <v>@ZAV</v>
          </cell>
          <cell r="C70" t="str">
            <v>AVANTOR</v>
          </cell>
          <cell r="D70">
            <v>20001214</v>
          </cell>
          <cell r="E70" t="str">
            <v>EPS</v>
          </cell>
          <cell r="F70" t="str">
            <v>ANN</v>
          </cell>
          <cell r="G70">
            <v>1</v>
          </cell>
          <cell r="H70">
            <v>6</v>
          </cell>
          <cell r="I70">
            <v>1.65</v>
          </cell>
          <cell r="J70">
            <v>1.66</v>
          </cell>
          <cell r="K70">
            <v>0</v>
          </cell>
          <cell r="L70">
            <v>20001231</v>
          </cell>
          <cell r="M70">
            <v>17.8</v>
          </cell>
          <cell r="N70">
            <v>20011207</v>
          </cell>
        </row>
        <row r="71">
          <cell r="A71" t="str">
            <v>ALE</v>
          </cell>
          <cell r="B71" t="str">
            <v>ALE1</v>
          </cell>
          <cell r="C71" t="str">
            <v>SLEEMAN BREWS</v>
          </cell>
          <cell r="D71">
            <v>20001214</v>
          </cell>
          <cell r="E71" t="str">
            <v>EPS</v>
          </cell>
          <cell r="F71" t="str">
            <v>ANN</v>
          </cell>
          <cell r="G71">
            <v>1</v>
          </cell>
          <cell r="H71">
            <v>9</v>
          </cell>
          <cell r="I71">
            <v>0.61</v>
          </cell>
          <cell r="J71">
            <v>0.6</v>
          </cell>
          <cell r="K71">
            <v>0</v>
          </cell>
          <cell r="L71">
            <v>20001231</v>
          </cell>
          <cell r="M71">
            <v>0.56000000000000005</v>
          </cell>
          <cell r="N71">
            <v>20010305</v>
          </cell>
        </row>
        <row r="72">
          <cell r="A72" t="str">
            <v>CMS</v>
          </cell>
          <cell r="B72" t="str">
            <v>CMS1</v>
          </cell>
          <cell r="C72" t="str">
            <v>C-MAC</v>
          </cell>
          <cell r="D72">
            <v>20001214</v>
          </cell>
          <cell r="E72" t="str">
            <v>EPS</v>
          </cell>
          <cell r="F72" t="str">
            <v>ANN</v>
          </cell>
          <cell r="G72">
            <v>1</v>
          </cell>
          <cell r="H72">
            <v>13</v>
          </cell>
          <cell r="I72">
            <v>1.8</v>
          </cell>
          <cell r="J72">
            <v>1.79</v>
          </cell>
          <cell r="K72">
            <v>0</v>
          </cell>
          <cell r="L72">
            <v>20001231</v>
          </cell>
          <cell r="M72">
            <v>1.74</v>
          </cell>
          <cell r="N72">
            <v>20010131</v>
          </cell>
        </row>
        <row r="73">
          <cell r="A73" t="str">
            <v>NU</v>
          </cell>
          <cell r="B73" t="str">
            <v>NU1</v>
          </cell>
          <cell r="C73" t="str">
            <v>NU-GRO CORP</v>
          </cell>
          <cell r="D73">
            <v>20001214</v>
          </cell>
          <cell r="E73" t="str">
            <v>EPS</v>
          </cell>
          <cell r="F73" t="str">
            <v>ANN</v>
          </cell>
          <cell r="G73">
            <v>1</v>
          </cell>
          <cell r="H73">
            <v>1</v>
          </cell>
          <cell r="I73">
            <v>0.72</v>
          </cell>
          <cell r="J73">
            <v>0.72</v>
          </cell>
          <cell r="K73">
            <v>0</v>
          </cell>
          <cell r="L73">
            <v>20000930</v>
          </cell>
          <cell r="M73">
            <v>0.78</v>
          </cell>
          <cell r="N73">
            <v>20001115</v>
          </cell>
        </row>
      </sheetData>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RDS"/>
    </sheetNames>
    <sheetDataSet>
      <sheetData sheetId="0">
        <row r="1">
          <cell r="A1" t="str">
            <v>OFTIC</v>
          </cell>
          <cell r="B1" t="str">
            <v>IBES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USFIRM=0 if from .INT file and USFIRM=1 if from .US file</v>
          </cell>
          <cell r="M1" t="str">
            <v>Forecast Period End Date (SAS Format)</v>
          </cell>
          <cell r="N1" t="str">
            <v>Actual Value, from the Detail Actuals File</v>
          </cell>
          <cell r="O1" t="str">
            <v>Announce date of the Actual, from the Detail Actuals File</v>
          </cell>
        </row>
        <row r="2">
          <cell r="A2" t="str">
            <v>PNW</v>
          </cell>
          <cell r="B2" t="str">
            <v>AZP</v>
          </cell>
          <cell r="C2" t="str">
            <v>PINNACLE WST CAP</v>
          </cell>
          <cell r="D2">
            <v>20001214</v>
          </cell>
          <cell r="E2" t="str">
            <v>EPS</v>
          </cell>
          <cell r="F2" t="str">
            <v>LTG</v>
          </cell>
          <cell r="G2">
            <v>0</v>
          </cell>
          <cell r="H2">
            <v>9</v>
          </cell>
          <cell r="I2">
            <v>7</v>
          </cell>
          <cell r="J2">
            <v>6.8</v>
          </cell>
          <cell r="K2">
            <v>2.27</v>
          </cell>
          <cell r="L2">
            <v>1</v>
          </cell>
        </row>
        <row r="3">
          <cell r="A3" t="str">
            <v>CEG</v>
          </cell>
          <cell r="B3" t="str">
            <v>BGE</v>
          </cell>
          <cell r="C3" t="str">
            <v>CONSTELLATION EN</v>
          </cell>
          <cell r="D3">
            <v>20001214</v>
          </cell>
          <cell r="E3" t="str">
            <v>EPS</v>
          </cell>
          <cell r="F3" t="str">
            <v>LTG</v>
          </cell>
          <cell r="G3">
            <v>0</v>
          </cell>
          <cell r="H3">
            <v>10</v>
          </cell>
          <cell r="I3">
            <v>9</v>
          </cell>
          <cell r="J3">
            <v>8.3000000000000007</v>
          </cell>
          <cell r="K3">
            <v>4</v>
          </cell>
          <cell r="L3">
            <v>1</v>
          </cell>
        </row>
        <row r="4">
          <cell r="A4" t="str">
            <v>NST</v>
          </cell>
          <cell r="B4" t="str">
            <v>BSE</v>
          </cell>
          <cell r="C4" t="str">
            <v>NSTAR</v>
          </cell>
          <cell r="D4">
            <v>20001214</v>
          </cell>
          <cell r="E4" t="str">
            <v>EPS</v>
          </cell>
          <cell r="F4" t="str">
            <v>LTG</v>
          </cell>
          <cell r="G4">
            <v>0</v>
          </cell>
          <cell r="H4">
            <v>5</v>
          </cell>
          <cell r="I4">
            <v>5.7</v>
          </cell>
          <cell r="J4">
            <v>5.34</v>
          </cell>
          <cell r="K4">
            <v>2.29</v>
          </cell>
          <cell r="L4">
            <v>1</v>
          </cell>
        </row>
        <row r="5">
          <cell r="A5" t="str">
            <v>CIN</v>
          </cell>
          <cell r="B5" t="str">
            <v>CIN</v>
          </cell>
          <cell r="C5" t="str">
            <v>CINERGY CORP</v>
          </cell>
          <cell r="D5">
            <v>20001214</v>
          </cell>
          <cell r="E5" t="str">
            <v>EPS</v>
          </cell>
          <cell r="F5" t="str">
            <v>LTG</v>
          </cell>
          <cell r="G5">
            <v>0</v>
          </cell>
          <cell r="H5">
            <v>14</v>
          </cell>
          <cell r="I5">
            <v>4</v>
          </cell>
          <cell r="J5">
            <v>4.21</v>
          </cell>
          <cell r="K5">
            <v>0.89</v>
          </cell>
          <cell r="L5">
            <v>1</v>
          </cell>
        </row>
        <row r="6">
          <cell r="A6" t="str">
            <v>CMS</v>
          </cell>
          <cell r="B6" t="str">
            <v>CMS</v>
          </cell>
          <cell r="C6" t="str">
            <v>CMS ENERGY CORP</v>
          </cell>
          <cell r="D6">
            <v>20001214</v>
          </cell>
          <cell r="E6" t="str">
            <v>EPS</v>
          </cell>
          <cell r="F6" t="str">
            <v>LTG</v>
          </cell>
          <cell r="G6">
            <v>0</v>
          </cell>
          <cell r="H6">
            <v>14</v>
          </cell>
          <cell r="I6">
            <v>9</v>
          </cell>
          <cell r="J6">
            <v>9.07</v>
          </cell>
          <cell r="K6">
            <v>2.81</v>
          </cell>
          <cell r="L6">
            <v>1</v>
          </cell>
        </row>
        <row r="7">
          <cell r="A7" t="str">
            <v>CNL</v>
          </cell>
          <cell r="B7" t="str">
            <v>CNL</v>
          </cell>
          <cell r="C7" t="str">
            <v>CLECO CORP</v>
          </cell>
          <cell r="D7">
            <v>20001214</v>
          </cell>
          <cell r="E7" t="str">
            <v>EPS</v>
          </cell>
          <cell r="F7" t="str">
            <v>LTG</v>
          </cell>
          <cell r="G7">
            <v>0</v>
          </cell>
          <cell r="H7">
            <v>2</v>
          </cell>
          <cell r="I7">
            <v>9</v>
          </cell>
          <cell r="J7">
            <v>9</v>
          </cell>
          <cell r="K7">
            <v>1.41</v>
          </cell>
          <cell r="L7">
            <v>1</v>
          </cell>
        </row>
        <row r="8">
          <cell r="A8" t="str">
            <v>PGN</v>
          </cell>
          <cell r="B8" t="str">
            <v>CPL</v>
          </cell>
          <cell r="C8" t="str">
            <v>PROGRESS ENERGY</v>
          </cell>
          <cell r="D8">
            <v>20001214</v>
          </cell>
          <cell r="E8" t="str">
            <v>EPS</v>
          </cell>
          <cell r="F8" t="str">
            <v>LTG</v>
          </cell>
          <cell r="G8">
            <v>0</v>
          </cell>
          <cell r="H8">
            <v>13</v>
          </cell>
          <cell r="I8">
            <v>6</v>
          </cell>
          <cell r="J8">
            <v>5.77</v>
          </cell>
          <cell r="K8">
            <v>1.0900000000000001</v>
          </cell>
          <cell r="L8">
            <v>1</v>
          </cell>
        </row>
        <row r="9">
          <cell r="A9" t="str">
            <v>D</v>
          </cell>
          <cell r="B9" t="str">
            <v>D</v>
          </cell>
          <cell r="C9" t="str">
            <v>DOMINION RES INC</v>
          </cell>
          <cell r="D9">
            <v>20001214</v>
          </cell>
          <cell r="E9" t="str">
            <v>EPS</v>
          </cell>
          <cell r="F9" t="str">
            <v>LTG</v>
          </cell>
          <cell r="G9">
            <v>0</v>
          </cell>
          <cell r="H9">
            <v>14</v>
          </cell>
          <cell r="I9">
            <v>9</v>
          </cell>
          <cell r="J9">
            <v>8.2100000000000009</v>
          </cell>
          <cell r="K9">
            <v>2.52</v>
          </cell>
          <cell r="L9">
            <v>1</v>
          </cell>
        </row>
        <row r="10">
          <cell r="A10" t="str">
            <v>DPL</v>
          </cell>
          <cell r="B10" t="str">
            <v>DPL</v>
          </cell>
          <cell r="C10" t="str">
            <v>DPL INC</v>
          </cell>
          <cell r="D10">
            <v>20001214</v>
          </cell>
          <cell r="E10" t="str">
            <v>EPS</v>
          </cell>
          <cell r="F10" t="str">
            <v>LTG</v>
          </cell>
          <cell r="G10">
            <v>0</v>
          </cell>
          <cell r="H10">
            <v>13</v>
          </cell>
          <cell r="I10">
            <v>10</v>
          </cell>
          <cell r="J10">
            <v>8.2100000000000009</v>
          </cell>
          <cell r="K10">
            <v>3.47</v>
          </cell>
          <cell r="L10">
            <v>1</v>
          </cell>
        </row>
        <row r="11">
          <cell r="A11" t="str">
            <v>DTE</v>
          </cell>
          <cell r="B11" t="str">
            <v>DTE</v>
          </cell>
          <cell r="C11" t="str">
            <v>DTE ENERGY</v>
          </cell>
          <cell r="D11">
            <v>20001214</v>
          </cell>
          <cell r="E11" t="str">
            <v>EPS</v>
          </cell>
          <cell r="F11" t="str">
            <v>LTG</v>
          </cell>
          <cell r="G11">
            <v>0</v>
          </cell>
          <cell r="H11">
            <v>12</v>
          </cell>
          <cell r="I11">
            <v>5</v>
          </cell>
          <cell r="J11">
            <v>5.08</v>
          </cell>
          <cell r="K11">
            <v>1.24</v>
          </cell>
          <cell r="L11">
            <v>1</v>
          </cell>
        </row>
        <row r="12">
          <cell r="A12" t="str">
            <v>DUK</v>
          </cell>
          <cell r="B12" t="str">
            <v>DUK</v>
          </cell>
          <cell r="C12" t="str">
            <v>DUKE ENERGY CORP</v>
          </cell>
          <cell r="D12">
            <v>20001214</v>
          </cell>
          <cell r="E12" t="str">
            <v>EPS</v>
          </cell>
          <cell r="F12" t="str">
            <v>LTG</v>
          </cell>
          <cell r="G12">
            <v>0</v>
          </cell>
          <cell r="H12">
            <v>19</v>
          </cell>
          <cell r="I12">
            <v>9</v>
          </cell>
          <cell r="J12">
            <v>9.11</v>
          </cell>
          <cell r="K12">
            <v>2.06</v>
          </cell>
          <cell r="L12">
            <v>1</v>
          </cell>
        </row>
        <row r="13">
          <cell r="A13" t="str">
            <v>ED</v>
          </cell>
          <cell r="B13" t="str">
            <v>ED</v>
          </cell>
          <cell r="C13" t="str">
            <v>CONS EDISON INC</v>
          </cell>
          <cell r="D13">
            <v>20001214</v>
          </cell>
          <cell r="E13" t="str">
            <v>EPS</v>
          </cell>
          <cell r="F13" t="str">
            <v>LTG</v>
          </cell>
          <cell r="G13">
            <v>0</v>
          </cell>
          <cell r="H13">
            <v>9</v>
          </cell>
          <cell r="I13">
            <v>4</v>
          </cell>
          <cell r="J13">
            <v>3.83</v>
          </cell>
          <cell r="K13">
            <v>0.94</v>
          </cell>
          <cell r="L13">
            <v>1</v>
          </cell>
        </row>
        <row r="14">
          <cell r="A14" t="str">
            <v>FPL</v>
          </cell>
          <cell r="B14" t="str">
            <v>FPL</v>
          </cell>
          <cell r="C14" t="str">
            <v>FPL GROUP</v>
          </cell>
          <cell r="D14">
            <v>20001214</v>
          </cell>
          <cell r="E14" t="str">
            <v>EPS</v>
          </cell>
          <cell r="F14" t="str">
            <v>LTG</v>
          </cell>
          <cell r="G14">
            <v>0</v>
          </cell>
          <cell r="H14">
            <v>21</v>
          </cell>
          <cell r="I14">
            <v>7</v>
          </cell>
          <cell r="J14">
            <v>6.55</v>
          </cell>
          <cell r="K14">
            <v>1.53</v>
          </cell>
          <cell r="L14">
            <v>1</v>
          </cell>
        </row>
        <row r="15">
          <cell r="A15" t="str">
            <v>HE</v>
          </cell>
          <cell r="B15" t="str">
            <v>HE</v>
          </cell>
          <cell r="C15" t="str">
            <v>HAWAIIAN ELEC</v>
          </cell>
          <cell r="D15">
            <v>20001214</v>
          </cell>
          <cell r="E15" t="str">
            <v>EPS</v>
          </cell>
          <cell r="F15" t="str">
            <v>LTG</v>
          </cell>
          <cell r="G15">
            <v>0</v>
          </cell>
          <cell r="H15">
            <v>6</v>
          </cell>
          <cell r="I15">
            <v>2.5</v>
          </cell>
          <cell r="J15">
            <v>2.83</v>
          </cell>
          <cell r="K15">
            <v>1.47</v>
          </cell>
          <cell r="L15">
            <v>1</v>
          </cell>
        </row>
        <row r="16">
          <cell r="A16" t="str">
            <v>IDA</v>
          </cell>
          <cell r="B16" t="str">
            <v>IDA</v>
          </cell>
          <cell r="C16" t="str">
            <v>IDACORP INC.</v>
          </cell>
          <cell r="D16">
            <v>20001214</v>
          </cell>
          <cell r="E16" t="str">
            <v>EPS</v>
          </cell>
          <cell r="F16" t="str">
            <v>LTG</v>
          </cell>
          <cell r="G16">
            <v>0</v>
          </cell>
          <cell r="H16">
            <v>5</v>
          </cell>
          <cell r="I16">
            <v>4</v>
          </cell>
          <cell r="J16">
            <v>4.8</v>
          </cell>
          <cell r="K16">
            <v>3.03</v>
          </cell>
          <cell r="L16">
            <v>1</v>
          </cell>
        </row>
        <row r="17">
          <cell r="A17" t="str">
            <v>WR</v>
          </cell>
          <cell r="B17" t="str">
            <v>KAN</v>
          </cell>
          <cell r="C17" t="str">
            <v>WESTN RESOURCES</v>
          </cell>
          <cell r="D17">
            <v>20001214</v>
          </cell>
          <cell r="E17" t="str">
            <v>EPS</v>
          </cell>
          <cell r="F17" t="str">
            <v>LTG</v>
          </cell>
          <cell r="G17">
            <v>0</v>
          </cell>
          <cell r="H17">
            <v>6</v>
          </cell>
          <cell r="I17">
            <v>3.6</v>
          </cell>
          <cell r="J17">
            <v>4.53</v>
          </cell>
          <cell r="K17">
            <v>4.01</v>
          </cell>
          <cell r="L17">
            <v>1</v>
          </cell>
        </row>
        <row r="18">
          <cell r="A18" t="str">
            <v>ALE</v>
          </cell>
          <cell r="B18" t="str">
            <v>MPL</v>
          </cell>
          <cell r="C18" t="str">
            <v>ALLETE</v>
          </cell>
          <cell r="D18">
            <v>20001214</v>
          </cell>
          <cell r="E18" t="str">
            <v>EPS</v>
          </cell>
          <cell r="F18" t="str">
            <v>LTG</v>
          </cell>
          <cell r="G18">
            <v>0</v>
          </cell>
          <cell r="H18">
            <v>4</v>
          </cell>
          <cell r="I18">
            <v>6.25</v>
          </cell>
          <cell r="J18">
            <v>5.88</v>
          </cell>
          <cell r="K18">
            <v>1.44</v>
          </cell>
          <cell r="L18">
            <v>1</v>
          </cell>
        </row>
        <row r="19">
          <cell r="A19" t="str">
            <v>ETR</v>
          </cell>
          <cell r="B19" t="str">
            <v>MSU</v>
          </cell>
          <cell r="C19" t="str">
            <v>ENTERGY CP</v>
          </cell>
          <cell r="D19">
            <v>20001214</v>
          </cell>
          <cell r="E19" t="str">
            <v>EPS</v>
          </cell>
          <cell r="F19" t="str">
            <v>LTG</v>
          </cell>
          <cell r="G19">
            <v>0</v>
          </cell>
          <cell r="H19">
            <v>10</v>
          </cell>
          <cell r="I19">
            <v>8</v>
          </cell>
          <cell r="J19">
            <v>7.6</v>
          </cell>
          <cell r="K19">
            <v>2.5</v>
          </cell>
          <cell r="L19">
            <v>1</v>
          </cell>
        </row>
        <row r="20">
          <cell r="A20" t="str">
            <v>EAS</v>
          </cell>
          <cell r="B20" t="str">
            <v>NGE</v>
          </cell>
          <cell r="C20" t="str">
            <v>ENERGY EAST CORP</v>
          </cell>
          <cell r="D20">
            <v>20001214</v>
          </cell>
          <cell r="E20" t="str">
            <v>EPS</v>
          </cell>
          <cell r="F20" t="str">
            <v>LTG</v>
          </cell>
          <cell r="G20">
            <v>0</v>
          </cell>
          <cell r="H20">
            <v>7</v>
          </cell>
          <cell r="I20">
            <v>9</v>
          </cell>
          <cell r="J20">
            <v>9.5</v>
          </cell>
          <cell r="K20">
            <v>2.36</v>
          </cell>
          <cell r="L20">
            <v>1</v>
          </cell>
        </row>
        <row r="21">
          <cell r="A21" t="str">
            <v>XEL</v>
          </cell>
          <cell r="B21" t="str">
            <v>NSP</v>
          </cell>
          <cell r="C21" t="str">
            <v>XCEL ENERGY INC</v>
          </cell>
          <cell r="D21">
            <v>20001214</v>
          </cell>
          <cell r="E21" t="str">
            <v>EPS</v>
          </cell>
          <cell r="F21" t="str">
            <v>LTG</v>
          </cell>
          <cell r="G21">
            <v>0</v>
          </cell>
          <cell r="H21">
            <v>10</v>
          </cell>
          <cell r="I21">
            <v>6.5</v>
          </cell>
          <cell r="J21">
            <v>6.5</v>
          </cell>
          <cell r="K21">
            <v>1.72</v>
          </cell>
          <cell r="L21">
            <v>1</v>
          </cell>
        </row>
        <row r="22">
          <cell r="A22" t="str">
            <v>NU</v>
          </cell>
          <cell r="B22" t="str">
            <v>NU</v>
          </cell>
          <cell r="C22" t="str">
            <v>NORTHEAST UTILS</v>
          </cell>
          <cell r="D22">
            <v>20001214</v>
          </cell>
          <cell r="E22" t="str">
            <v>EPS</v>
          </cell>
          <cell r="F22" t="str">
            <v>LTG</v>
          </cell>
          <cell r="G22">
            <v>0</v>
          </cell>
          <cell r="H22">
            <v>5</v>
          </cell>
          <cell r="I22">
            <v>6</v>
          </cell>
          <cell r="J22">
            <v>7.6</v>
          </cell>
          <cell r="K22">
            <v>5.03</v>
          </cell>
          <cell r="L22">
            <v>1</v>
          </cell>
        </row>
        <row r="23">
          <cell r="A23" t="str">
            <v>FE</v>
          </cell>
          <cell r="B23" t="str">
            <v>OEC</v>
          </cell>
          <cell r="C23" t="str">
            <v>FIRSTENERGY CORP</v>
          </cell>
          <cell r="D23">
            <v>20001214</v>
          </cell>
          <cell r="E23" t="str">
            <v>EPS</v>
          </cell>
          <cell r="F23" t="str">
            <v>LTG</v>
          </cell>
          <cell r="G23">
            <v>0</v>
          </cell>
          <cell r="H23">
            <v>12</v>
          </cell>
          <cell r="I23">
            <v>5</v>
          </cell>
          <cell r="J23">
            <v>5.63</v>
          </cell>
          <cell r="K23">
            <v>2.06</v>
          </cell>
          <cell r="L23">
            <v>1</v>
          </cell>
        </row>
        <row r="24">
          <cell r="A24" t="str">
            <v>OGE</v>
          </cell>
          <cell r="B24" t="str">
            <v>OGE</v>
          </cell>
          <cell r="C24" t="str">
            <v>OGE ENERGY CORP</v>
          </cell>
          <cell r="D24">
            <v>20001214</v>
          </cell>
          <cell r="E24" t="str">
            <v>EPS</v>
          </cell>
          <cell r="F24" t="str">
            <v>LTG</v>
          </cell>
          <cell r="G24">
            <v>0</v>
          </cell>
          <cell r="H24">
            <v>6</v>
          </cell>
          <cell r="I24">
            <v>5.5</v>
          </cell>
          <cell r="J24">
            <v>5</v>
          </cell>
          <cell r="K24">
            <v>1.26</v>
          </cell>
          <cell r="L24">
            <v>1</v>
          </cell>
        </row>
        <row r="25">
          <cell r="A25" t="str">
            <v>OTTR</v>
          </cell>
          <cell r="B25" t="str">
            <v>OTTR</v>
          </cell>
          <cell r="C25" t="str">
            <v>OTTER TAIL PWR</v>
          </cell>
          <cell r="D25">
            <v>20001214</v>
          </cell>
          <cell r="E25" t="str">
            <v>EPS</v>
          </cell>
          <cell r="F25" t="str">
            <v>LTG</v>
          </cell>
          <cell r="G25">
            <v>0</v>
          </cell>
          <cell r="H25">
            <v>1</v>
          </cell>
          <cell r="I25">
            <v>5</v>
          </cell>
          <cell r="J25">
            <v>5</v>
          </cell>
          <cell r="L25">
            <v>1</v>
          </cell>
        </row>
        <row r="26">
          <cell r="A26" t="str">
            <v>PCG</v>
          </cell>
          <cell r="B26" t="str">
            <v>PCG</v>
          </cell>
          <cell r="C26" t="str">
            <v>P G &amp; E CORP</v>
          </cell>
          <cell r="D26">
            <v>20001214</v>
          </cell>
          <cell r="E26" t="str">
            <v>EPS</v>
          </cell>
          <cell r="F26" t="str">
            <v>LTG</v>
          </cell>
          <cell r="G26">
            <v>0</v>
          </cell>
          <cell r="H26">
            <v>12</v>
          </cell>
          <cell r="I26">
            <v>8</v>
          </cell>
          <cell r="J26">
            <v>7.43</v>
          </cell>
          <cell r="K26">
            <v>2.04</v>
          </cell>
          <cell r="L26">
            <v>1</v>
          </cell>
        </row>
        <row r="27">
          <cell r="A27" t="str">
            <v>EXC</v>
          </cell>
          <cell r="B27" t="str">
            <v>PE</v>
          </cell>
          <cell r="C27" t="str">
            <v>EXELON CORP</v>
          </cell>
          <cell r="D27">
            <v>20001214</v>
          </cell>
          <cell r="E27" t="str">
            <v>EPS</v>
          </cell>
          <cell r="F27" t="str">
            <v>LTG</v>
          </cell>
          <cell r="G27">
            <v>0</v>
          </cell>
          <cell r="H27">
            <v>15</v>
          </cell>
          <cell r="I27">
            <v>8</v>
          </cell>
          <cell r="J27">
            <v>8.34</v>
          </cell>
          <cell r="K27">
            <v>3.28</v>
          </cell>
          <cell r="L27">
            <v>1</v>
          </cell>
        </row>
        <row r="28">
          <cell r="A28" t="str">
            <v>PEG</v>
          </cell>
          <cell r="B28" t="str">
            <v>PEG</v>
          </cell>
          <cell r="C28" t="str">
            <v>PUB SVC ENTERS</v>
          </cell>
          <cell r="D28">
            <v>20001214</v>
          </cell>
          <cell r="E28" t="str">
            <v>EPS</v>
          </cell>
          <cell r="F28" t="str">
            <v>LTG</v>
          </cell>
          <cell r="G28">
            <v>0</v>
          </cell>
          <cell r="H28">
            <v>13</v>
          </cell>
          <cell r="I28">
            <v>5</v>
          </cell>
          <cell r="J28">
            <v>5.31</v>
          </cell>
          <cell r="K28">
            <v>2.29</v>
          </cell>
          <cell r="L28">
            <v>1</v>
          </cell>
        </row>
        <row r="29">
          <cell r="A29" t="str">
            <v>PNM</v>
          </cell>
          <cell r="B29" t="str">
            <v>PNM</v>
          </cell>
          <cell r="C29" t="str">
            <v>PUB SVC N MEX</v>
          </cell>
          <cell r="D29">
            <v>20001214</v>
          </cell>
          <cell r="E29" t="str">
            <v>EPS</v>
          </cell>
          <cell r="F29" t="str">
            <v>LTG</v>
          </cell>
          <cell r="G29">
            <v>0</v>
          </cell>
          <cell r="H29">
            <v>7</v>
          </cell>
          <cell r="I29">
            <v>5</v>
          </cell>
          <cell r="J29">
            <v>5.16</v>
          </cell>
          <cell r="K29">
            <v>3.32</v>
          </cell>
          <cell r="L29">
            <v>1</v>
          </cell>
        </row>
        <row r="30">
          <cell r="A30" t="str">
            <v>POM</v>
          </cell>
          <cell r="B30" t="str">
            <v>POM</v>
          </cell>
          <cell r="C30" t="str">
            <v>POTOMAC ELEC</v>
          </cell>
          <cell r="D30">
            <v>20001214</v>
          </cell>
          <cell r="E30" t="str">
            <v>EPS</v>
          </cell>
          <cell r="F30" t="str">
            <v>LTG</v>
          </cell>
          <cell r="G30">
            <v>0</v>
          </cell>
          <cell r="H30">
            <v>7</v>
          </cell>
          <cell r="I30">
            <v>5</v>
          </cell>
          <cell r="J30">
            <v>4.79</v>
          </cell>
          <cell r="K30">
            <v>2.5499999999999998</v>
          </cell>
          <cell r="L30">
            <v>1</v>
          </cell>
        </row>
        <row r="31">
          <cell r="A31" t="str">
            <v>PPL</v>
          </cell>
          <cell r="B31" t="str">
            <v>PPL</v>
          </cell>
          <cell r="C31" t="str">
            <v>PP&amp;L CORP</v>
          </cell>
          <cell r="D31">
            <v>20001214</v>
          </cell>
          <cell r="E31" t="str">
            <v>EPS</v>
          </cell>
          <cell r="F31" t="str">
            <v>LTG</v>
          </cell>
          <cell r="G31">
            <v>0</v>
          </cell>
          <cell r="H31">
            <v>8</v>
          </cell>
          <cell r="I31">
            <v>7.5</v>
          </cell>
          <cell r="J31">
            <v>7.25</v>
          </cell>
          <cell r="K31">
            <v>3.15</v>
          </cell>
          <cell r="L31">
            <v>1</v>
          </cell>
        </row>
        <row r="32">
          <cell r="A32" t="str">
            <v>PSD</v>
          </cell>
          <cell r="B32" t="str">
            <v>PSD</v>
          </cell>
          <cell r="C32" t="str">
            <v>PUGET SOUND ENGY</v>
          </cell>
          <cell r="D32">
            <v>20001214</v>
          </cell>
          <cell r="E32" t="str">
            <v>EPS</v>
          </cell>
          <cell r="F32" t="str">
            <v>LTG</v>
          </cell>
          <cell r="G32">
            <v>0</v>
          </cell>
          <cell r="H32">
            <v>5</v>
          </cell>
          <cell r="I32">
            <v>4</v>
          </cell>
          <cell r="J32">
            <v>4</v>
          </cell>
          <cell r="K32">
            <v>1.58</v>
          </cell>
          <cell r="L32">
            <v>1</v>
          </cell>
        </row>
        <row r="33">
          <cell r="A33" t="str">
            <v>EIX</v>
          </cell>
          <cell r="B33" t="str">
            <v>SCE</v>
          </cell>
          <cell r="C33" t="str">
            <v>EDISON INTL</v>
          </cell>
          <cell r="D33">
            <v>20001214</v>
          </cell>
          <cell r="E33" t="str">
            <v>EPS</v>
          </cell>
          <cell r="F33" t="str">
            <v>LTG</v>
          </cell>
          <cell r="G33">
            <v>0</v>
          </cell>
          <cell r="H33">
            <v>15</v>
          </cell>
          <cell r="I33">
            <v>9</v>
          </cell>
          <cell r="J33">
            <v>8.9700000000000006</v>
          </cell>
          <cell r="K33">
            <v>2.14</v>
          </cell>
          <cell r="L33">
            <v>1</v>
          </cell>
        </row>
        <row r="34">
          <cell r="A34" t="str">
            <v>SCG</v>
          </cell>
          <cell r="B34" t="str">
            <v>SCG</v>
          </cell>
          <cell r="C34" t="str">
            <v>SCANA CP</v>
          </cell>
          <cell r="D34">
            <v>20001214</v>
          </cell>
          <cell r="E34" t="str">
            <v>EPS</v>
          </cell>
          <cell r="F34" t="str">
            <v>LTG</v>
          </cell>
          <cell r="G34">
            <v>0</v>
          </cell>
          <cell r="H34">
            <v>8</v>
          </cell>
          <cell r="I34">
            <v>5</v>
          </cell>
          <cell r="J34">
            <v>4.8899999999999997</v>
          </cell>
          <cell r="K34">
            <v>1.79</v>
          </cell>
          <cell r="L34">
            <v>1</v>
          </cell>
        </row>
        <row r="35">
          <cell r="A35" t="str">
            <v>SRE</v>
          </cell>
          <cell r="B35" t="str">
            <v>SDO</v>
          </cell>
          <cell r="C35" t="str">
            <v>SEMPRA ENERGY</v>
          </cell>
          <cell r="D35">
            <v>20001214</v>
          </cell>
          <cell r="E35" t="str">
            <v>EPS</v>
          </cell>
          <cell r="F35" t="str">
            <v>LTG</v>
          </cell>
          <cell r="G35">
            <v>0</v>
          </cell>
          <cell r="H35">
            <v>8</v>
          </cell>
          <cell r="I35">
            <v>8.5</v>
          </cell>
          <cell r="J35">
            <v>7.69</v>
          </cell>
          <cell r="K35">
            <v>2.2200000000000002</v>
          </cell>
          <cell r="L35">
            <v>1</v>
          </cell>
        </row>
        <row r="36">
          <cell r="A36" t="str">
            <v>VVC</v>
          </cell>
          <cell r="B36" t="str">
            <v>SIG</v>
          </cell>
          <cell r="C36" t="str">
            <v>VECTREN CORP</v>
          </cell>
          <cell r="D36">
            <v>20001214</v>
          </cell>
          <cell r="E36" t="str">
            <v>EPS</v>
          </cell>
          <cell r="F36" t="str">
            <v>LTG</v>
          </cell>
          <cell r="G36">
            <v>0</v>
          </cell>
          <cell r="H36">
            <v>7</v>
          </cell>
          <cell r="I36">
            <v>8</v>
          </cell>
          <cell r="J36">
            <v>7.14</v>
          </cell>
          <cell r="K36">
            <v>2.19</v>
          </cell>
          <cell r="L36">
            <v>1</v>
          </cell>
        </row>
        <row r="37">
          <cell r="A37" t="str">
            <v>SO</v>
          </cell>
          <cell r="B37" t="str">
            <v>SO</v>
          </cell>
          <cell r="C37" t="str">
            <v>SOUTHN CO</v>
          </cell>
          <cell r="D37">
            <v>20001214</v>
          </cell>
          <cell r="E37" t="str">
            <v>EPS</v>
          </cell>
          <cell r="F37" t="str">
            <v>LTG</v>
          </cell>
          <cell r="G37">
            <v>0</v>
          </cell>
          <cell r="H37">
            <v>14</v>
          </cell>
          <cell r="I37">
            <v>6</v>
          </cell>
          <cell r="J37">
            <v>6.32</v>
          </cell>
          <cell r="K37">
            <v>1.68</v>
          </cell>
          <cell r="L37">
            <v>1</v>
          </cell>
        </row>
        <row r="38">
          <cell r="A38" t="str">
            <v>TE</v>
          </cell>
          <cell r="B38" t="str">
            <v>TE</v>
          </cell>
          <cell r="C38" t="str">
            <v>TECO ENERGY INC</v>
          </cell>
          <cell r="D38">
            <v>20001214</v>
          </cell>
          <cell r="E38" t="str">
            <v>EPS</v>
          </cell>
          <cell r="F38" t="str">
            <v>LTG</v>
          </cell>
          <cell r="G38">
            <v>0</v>
          </cell>
          <cell r="H38">
            <v>15</v>
          </cell>
          <cell r="I38">
            <v>5.4</v>
          </cell>
          <cell r="J38">
            <v>6.35</v>
          </cell>
          <cell r="K38">
            <v>2.17</v>
          </cell>
          <cell r="L38">
            <v>1</v>
          </cell>
        </row>
        <row r="39">
          <cell r="A39" t="str">
            <v>AEE</v>
          </cell>
          <cell r="B39" t="str">
            <v>UEP</v>
          </cell>
          <cell r="C39" t="str">
            <v>AMEREN CP</v>
          </cell>
          <cell r="D39">
            <v>20001214</v>
          </cell>
          <cell r="E39" t="str">
            <v>EPS</v>
          </cell>
          <cell r="F39" t="str">
            <v>LTG</v>
          </cell>
          <cell r="G39">
            <v>0</v>
          </cell>
          <cell r="H39">
            <v>10</v>
          </cell>
          <cell r="I39">
            <v>3</v>
          </cell>
          <cell r="J39">
            <v>3.5</v>
          </cell>
          <cell r="K39">
            <v>1.65</v>
          </cell>
          <cell r="L39">
            <v>1</v>
          </cell>
        </row>
        <row r="40">
          <cell r="A40" t="str">
            <v>UIL</v>
          </cell>
          <cell r="B40" t="str">
            <v>UIL</v>
          </cell>
          <cell r="C40" t="str">
            <v>UIL HOLDING CORP</v>
          </cell>
          <cell r="D40">
            <v>20001214</v>
          </cell>
          <cell r="E40" t="str">
            <v>EPS</v>
          </cell>
          <cell r="F40" t="str">
            <v>LTG</v>
          </cell>
          <cell r="G40">
            <v>0</v>
          </cell>
          <cell r="H40">
            <v>3</v>
          </cell>
          <cell r="I40">
            <v>2</v>
          </cell>
          <cell r="J40">
            <v>3.67</v>
          </cell>
          <cell r="K40">
            <v>2.89</v>
          </cell>
          <cell r="L40">
            <v>1</v>
          </cell>
        </row>
        <row r="41">
          <cell r="A41" t="str">
            <v>WEC</v>
          </cell>
          <cell r="B41" t="str">
            <v>WPC</v>
          </cell>
          <cell r="C41" t="str">
            <v>WISCONSIN ENERGY</v>
          </cell>
          <cell r="D41">
            <v>20001214</v>
          </cell>
          <cell r="E41" t="str">
            <v>EPS</v>
          </cell>
          <cell r="F41" t="str">
            <v>LTG</v>
          </cell>
          <cell r="G41">
            <v>0</v>
          </cell>
          <cell r="H41">
            <v>10</v>
          </cell>
          <cell r="I41">
            <v>4</v>
          </cell>
          <cell r="J41">
            <v>4.4000000000000004</v>
          </cell>
          <cell r="K41">
            <v>1.51</v>
          </cell>
          <cell r="L41">
            <v>1</v>
          </cell>
        </row>
        <row r="42">
          <cell r="A42" t="str">
            <v>LNT</v>
          </cell>
          <cell r="B42" t="str">
            <v>WPL</v>
          </cell>
          <cell r="C42" t="str">
            <v>ALLIANT ENER</v>
          </cell>
          <cell r="D42">
            <v>20001214</v>
          </cell>
          <cell r="E42" t="str">
            <v>EPS</v>
          </cell>
          <cell r="F42" t="str">
            <v>LTG</v>
          </cell>
          <cell r="G42">
            <v>0</v>
          </cell>
          <cell r="H42">
            <v>2</v>
          </cell>
          <cell r="I42">
            <v>3.5</v>
          </cell>
          <cell r="J42">
            <v>3.5</v>
          </cell>
          <cell r="K42">
            <v>2.12</v>
          </cell>
          <cell r="L42">
            <v>1</v>
          </cell>
        </row>
        <row r="43">
          <cell r="A43" t="str">
            <v>WPS</v>
          </cell>
          <cell r="B43" t="str">
            <v>WPS</v>
          </cell>
          <cell r="C43" t="str">
            <v>WPS RESOURCES CP</v>
          </cell>
          <cell r="D43">
            <v>20001214</v>
          </cell>
          <cell r="E43" t="str">
            <v>EPS</v>
          </cell>
          <cell r="F43" t="str">
            <v>LTG</v>
          </cell>
          <cell r="G43">
            <v>0</v>
          </cell>
          <cell r="H43">
            <v>1</v>
          </cell>
          <cell r="I43">
            <v>2</v>
          </cell>
          <cell r="J43">
            <v>2</v>
          </cell>
          <cell r="L43">
            <v>1</v>
          </cell>
        </row>
        <row r="44">
          <cell r="A44" t="str">
            <v>AVA</v>
          </cell>
          <cell r="B44" t="str">
            <v>WWP</v>
          </cell>
          <cell r="C44" t="str">
            <v>AVISTA CORP</v>
          </cell>
          <cell r="D44">
            <v>20001214</v>
          </cell>
          <cell r="E44" t="str">
            <v>EPS</v>
          </cell>
          <cell r="F44" t="str">
            <v>LTG</v>
          </cell>
          <cell r="G44">
            <v>0</v>
          </cell>
          <cell r="H44">
            <v>6</v>
          </cell>
          <cell r="I44">
            <v>3.5</v>
          </cell>
          <cell r="J44">
            <v>3.65</v>
          </cell>
          <cell r="K44">
            <v>0.78</v>
          </cell>
          <cell r="L44">
            <v>1</v>
          </cell>
        </row>
        <row r="45">
          <cell r="A45" t="str">
            <v>AGR</v>
          </cell>
          <cell r="B45" t="str">
            <v>@AGM</v>
          </cell>
          <cell r="C45" t="str">
            <v>AGROMAN</v>
          </cell>
          <cell r="D45">
            <v>20001214</v>
          </cell>
          <cell r="E45" t="str">
            <v>EPS</v>
          </cell>
          <cell r="F45" t="str">
            <v>LTG</v>
          </cell>
          <cell r="G45">
            <v>0</v>
          </cell>
          <cell r="H45">
            <v>1</v>
          </cell>
          <cell r="I45">
            <v>24</v>
          </cell>
          <cell r="J45">
            <v>24</v>
          </cell>
          <cell r="L45">
            <v>0</v>
          </cell>
        </row>
        <row r="46">
          <cell r="A46" t="str">
            <v>CNP</v>
          </cell>
          <cell r="B46" t="str">
            <v>@CN0</v>
          </cell>
          <cell r="C46" t="str">
            <v>CNP ASSURANCES</v>
          </cell>
          <cell r="D46">
            <v>20001214</v>
          </cell>
          <cell r="E46" t="str">
            <v>EPS</v>
          </cell>
          <cell r="F46" t="str">
            <v>LTG</v>
          </cell>
          <cell r="G46">
            <v>0</v>
          </cell>
          <cell r="H46">
            <v>2</v>
          </cell>
          <cell r="I46">
            <v>16.27</v>
          </cell>
          <cell r="J46">
            <v>16.27</v>
          </cell>
          <cell r="K46">
            <v>4.71</v>
          </cell>
          <cell r="L46">
            <v>0</v>
          </cell>
        </row>
        <row r="47">
          <cell r="A47" t="str">
            <v>DTE</v>
          </cell>
          <cell r="B47" t="str">
            <v>@DT</v>
          </cell>
          <cell r="C47" t="str">
            <v>DEUTSCHE TELEKOM</v>
          </cell>
          <cell r="D47">
            <v>20001214</v>
          </cell>
          <cell r="E47" t="str">
            <v>EPS</v>
          </cell>
          <cell r="F47" t="str">
            <v>LTG</v>
          </cell>
          <cell r="G47">
            <v>0</v>
          </cell>
          <cell r="H47">
            <v>1</v>
          </cell>
          <cell r="I47">
            <v>10</v>
          </cell>
          <cell r="J47">
            <v>10</v>
          </cell>
          <cell r="L47">
            <v>0</v>
          </cell>
        </row>
        <row r="48">
          <cell r="A48" t="str">
            <v>NST</v>
          </cell>
          <cell r="B48" t="str">
            <v>@NST</v>
          </cell>
          <cell r="C48" t="str">
            <v>NEW STRAITS TIME</v>
          </cell>
          <cell r="D48">
            <v>20001214</v>
          </cell>
          <cell r="E48" t="str">
            <v>EPS</v>
          </cell>
          <cell r="F48" t="str">
            <v>LTG</v>
          </cell>
          <cell r="G48">
            <v>0</v>
          </cell>
          <cell r="H48">
            <v>1</v>
          </cell>
          <cell r="I48">
            <v>21.6</v>
          </cell>
          <cell r="J48">
            <v>21.6</v>
          </cell>
          <cell r="L48">
            <v>0</v>
          </cell>
        </row>
        <row r="49">
          <cell r="A49" t="str">
            <v>POM</v>
          </cell>
          <cell r="B49" t="str">
            <v>@PO8</v>
          </cell>
          <cell r="C49" t="str">
            <v>PLASTIC OMNIUM</v>
          </cell>
          <cell r="D49">
            <v>20001214</v>
          </cell>
          <cell r="E49" t="str">
            <v>EPS</v>
          </cell>
          <cell r="F49" t="str">
            <v>LTG</v>
          </cell>
          <cell r="G49">
            <v>0</v>
          </cell>
          <cell r="H49">
            <v>1</v>
          </cell>
          <cell r="I49">
            <v>44.44</v>
          </cell>
          <cell r="J49">
            <v>44.44</v>
          </cell>
          <cell r="L49">
            <v>0</v>
          </cell>
        </row>
        <row r="50">
          <cell r="A50" t="str">
            <v>SO</v>
          </cell>
          <cell r="B50" t="str">
            <v>@SOM</v>
          </cell>
          <cell r="C50" t="str">
            <v>SOMMER-ALLIBERT</v>
          </cell>
          <cell r="D50">
            <v>20001214</v>
          </cell>
          <cell r="E50" t="str">
            <v>EPS</v>
          </cell>
          <cell r="F50" t="str">
            <v>LTG</v>
          </cell>
          <cell r="G50">
            <v>0</v>
          </cell>
          <cell r="H50">
            <v>2</v>
          </cell>
          <cell r="I50">
            <v>17.32</v>
          </cell>
          <cell r="J50">
            <v>17.32</v>
          </cell>
          <cell r="K50">
            <v>3.85</v>
          </cell>
          <cell r="L50">
            <v>0</v>
          </cell>
        </row>
        <row r="51">
          <cell r="A51" t="str">
            <v>CMS</v>
          </cell>
          <cell r="B51" t="str">
            <v>CMS1</v>
          </cell>
          <cell r="C51" t="str">
            <v>C-MAC</v>
          </cell>
          <cell r="D51">
            <v>20001214</v>
          </cell>
          <cell r="E51" t="str">
            <v>EPS</v>
          </cell>
          <cell r="F51" t="str">
            <v>LTG</v>
          </cell>
          <cell r="G51">
            <v>0</v>
          </cell>
          <cell r="H51">
            <v>2</v>
          </cell>
          <cell r="I51">
            <v>30</v>
          </cell>
          <cell r="J51">
            <v>30</v>
          </cell>
          <cell r="K51">
            <v>0</v>
          </cell>
          <cell r="L51">
            <v>0</v>
          </cell>
        </row>
      </sheetData>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trjr1hm9rgpjwwm"/>
    </sheetNames>
    <sheetDataSet>
      <sheetData sheetId="0">
        <row r="1">
          <cell r="B1" t="str">
            <v>Official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Forecast Period End Date (SAS Format)</v>
          </cell>
          <cell r="M1" t="str">
            <v>Actual Value, from the Detail Actuals File</v>
          </cell>
          <cell r="N1" t="str">
            <v>Announce date of the Actual, from the Detail Actuals File</v>
          </cell>
        </row>
        <row r="2">
          <cell r="B2" t="str">
            <v>ATG</v>
          </cell>
          <cell r="C2" t="str">
            <v>AGL RESOURCES</v>
          </cell>
          <cell r="D2">
            <v>36874</v>
          </cell>
          <cell r="E2" t="str">
            <v>EPS</v>
          </cell>
          <cell r="F2" t="str">
            <v>ANN</v>
          </cell>
          <cell r="G2" t="str">
            <v>1</v>
          </cell>
          <cell r="H2">
            <v>15</v>
          </cell>
          <cell r="I2">
            <v>1.34</v>
          </cell>
          <cell r="J2">
            <v>1.33</v>
          </cell>
          <cell r="K2">
            <v>0.04</v>
          </cell>
          <cell r="L2">
            <v>37164</v>
          </cell>
          <cell r="M2">
            <v>1.5</v>
          </cell>
          <cell r="N2">
            <v>37189</v>
          </cell>
        </row>
        <row r="3">
          <cell r="B3" t="str">
            <v>CGC</v>
          </cell>
          <cell r="C3" t="str">
            <v>CASCADE NAT GAS</v>
          </cell>
          <cell r="D3">
            <v>36874</v>
          </cell>
          <cell r="E3" t="str">
            <v>EPS</v>
          </cell>
          <cell r="F3" t="str">
            <v>ANN</v>
          </cell>
          <cell r="G3" t="str">
            <v>1</v>
          </cell>
          <cell r="H3">
            <v>5</v>
          </cell>
          <cell r="I3">
            <v>1.45</v>
          </cell>
          <cell r="J3">
            <v>1.45</v>
          </cell>
          <cell r="K3">
            <v>0.01</v>
          </cell>
          <cell r="L3">
            <v>37164</v>
          </cell>
          <cell r="M3">
            <v>-1.47</v>
          </cell>
          <cell r="N3">
            <v>37200</v>
          </cell>
        </row>
        <row r="4">
          <cell r="B4" t="str">
            <v>CPK</v>
          </cell>
          <cell r="C4" t="str">
            <v>CHESAPEAKE UTIL</v>
          </cell>
          <cell r="D4">
            <v>36874</v>
          </cell>
          <cell r="E4" t="str">
            <v>EPS</v>
          </cell>
          <cell r="F4" t="str">
            <v>ANN</v>
          </cell>
          <cell r="G4" t="str">
            <v>1</v>
          </cell>
          <cell r="H4">
            <v>2</v>
          </cell>
          <cell r="I4">
            <v>1.05</v>
          </cell>
          <cell r="J4">
            <v>1.05</v>
          </cell>
          <cell r="K4">
            <v>0.12</v>
          </cell>
          <cell r="L4">
            <v>36891</v>
          </cell>
          <cell r="M4">
            <v>0.92</v>
          </cell>
          <cell r="N4">
            <v>36948</v>
          </cell>
        </row>
        <row r="5">
          <cell r="B5" t="str">
            <v>ATO</v>
          </cell>
          <cell r="C5" t="str">
            <v>ATMOS ENERGY CP</v>
          </cell>
          <cell r="D5">
            <v>36874</v>
          </cell>
          <cell r="E5" t="str">
            <v>EPS</v>
          </cell>
          <cell r="F5" t="str">
            <v>ANN</v>
          </cell>
          <cell r="G5" t="str">
            <v>1</v>
          </cell>
          <cell r="H5">
            <v>8</v>
          </cell>
          <cell r="I5">
            <v>1.81</v>
          </cell>
          <cell r="J5">
            <v>1.83</v>
          </cell>
          <cell r="K5">
            <v>0.1</v>
          </cell>
          <cell r="L5">
            <v>37164</v>
          </cell>
          <cell r="M5">
            <v>1.47</v>
          </cell>
          <cell r="N5">
            <v>37203</v>
          </cell>
        </row>
        <row r="6">
          <cell r="B6" t="str">
            <v>GAS</v>
          </cell>
          <cell r="C6" t="str">
            <v>NICOR INC</v>
          </cell>
          <cell r="D6">
            <v>36874</v>
          </cell>
          <cell r="E6" t="str">
            <v>EPS</v>
          </cell>
          <cell r="F6" t="str">
            <v>ANN</v>
          </cell>
          <cell r="G6" t="str">
            <v>1</v>
          </cell>
          <cell r="H6">
            <v>12</v>
          </cell>
          <cell r="I6">
            <v>2.9</v>
          </cell>
          <cell r="J6">
            <v>2.9</v>
          </cell>
          <cell r="K6">
            <v>0.03</v>
          </cell>
          <cell r="L6">
            <v>36891</v>
          </cell>
          <cell r="M6">
            <v>2.94</v>
          </cell>
          <cell r="N6">
            <v>36915</v>
          </cell>
        </row>
        <row r="7">
          <cell r="B7" t="str">
            <v>LG</v>
          </cell>
          <cell r="C7" t="str">
            <v>LACLEDE GAS</v>
          </cell>
          <cell r="D7">
            <v>36874</v>
          </cell>
          <cell r="E7" t="str">
            <v>EPS</v>
          </cell>
          <cell r="F7" t="str">
            <v>ANN</v>
          </cell>
          <cell r="G7" t="str">
            <v>1</v>
          </cell>
          <cell r="H7">
            <v>4</v>
          </cell>
          <cell r="I7">
            <v>1.85</v>
          </cell>
          <cell r="J7">
            <v>1.85</v>
          </cell>
          <cell r="K7">
            <v>0</v>
          </cell>
          <cell r="L7">
            <v>37164</v>
          </cell>
          <cell r="M7">
            <v>1.61</v>
          </cell>
          <cell r="N7">
            <v>37189</v>
          </cell>
        </row>
        <row r="8">
          <cell r="B8" t="str">
            <v>KSE</v>
          </cell>
          <cell r="C8" t="str">
            <v>KEYSPAN CP</v>
          </cell>
          <cell r="D8">
            <v>36874</v>
          </cell>
          <cell r="E8" t="str">
            <v>EPS</v>
          </cell>
          <cell r="F8" t="str">
            <v>ANN</v>
          </cell>
          <cell r="G8" t="str">
            <v>1</v>
          </cell>
          <cell r="H8">
            <v>7</v>
          </cell>
          <cell r="I8">
            <v>2.4</v>
          </cell>
          <cell r="J8">
            <v>2.4</v>
          </cell>
          <cell r="K8">
            <v>0.01</v>
          </cell>
          <cell r="L8">
            <v>36891</v>
          </cell>
          <cell r="M8">
            <v>2.41</v>
          </cell>
          <cell r="N8">
            <v>36916</v>
          </cell>
        </row>
        <row r="9">
          <cell r="B9" t="str">
            <v>NI</v>
          </cell>
          <cell r="C9" t="str">
            <v>NISOURCE INC</v>
          </cell>
          <cell r="D9">
            <v>36874</v>
          </cell>
          <cell r="E9" t="str">
            <v>EPS</v>
          </cell>
          <cell r="F9" t="str">
            <v>ANN</v>
          </cell>
          <cell r="G9" t="str">
            <v>1</v>
          </cell>
          <cell r="H9">
            <v>16</v>
          </cell>
          <cell r="I9">
            <v>1.85</v>
          </cell>
          <cell r="J9">
            <v>1.84</v>
          </cell>
          <cell r="K9">
            <v>0.06</v>
          </cell>
          <cell r="L9">
            <v>36891</v>
          </cell>
          <cell r="M9">
            <v>1.88</v>
          </cell>
          <cell r="N9">
            <v>36921</v>
          </cell>
        </row>
        <row r="10">
          <cell r="B10" t="str">
            <v>NJR</v>
          </cell>
          <cell r="C10" t="str">
            <v>NEW JERSEY RES</v>
          </cell>
          <cell r="D10">
            <v>36874</v>
          </cell>
          <cell r="E10" t="str">
            <v>EPS</v>
          </cell>
          <cell r="F10" t="str">
            <v>ANN</v>
          </cell>
          <cell r="G10" t="str">
            <v>1</v>
          </cell>
          <cell r="H10">
            <v>9</v>
          </cell>
          <cell r="I10">
            <v>0.64</v>
          </cell>
          <cell r="J10">
            <v>0.64</v>
          </cell>
          <cell r="K10">
            <v>0.01</v>
          </cell>
          <cell r="L10">
            <v>37164</v>
          </cell>
          <cell r="M10">
            <v>0.65110000000000001</v>
          </cell>
          <cell r="N10">
            <v>37189</v>
          </cell>
        </row>
        <row r="11">
          <cell r="B11" t="str">
            <v>NWN</v>
          </cell>
          <cell r="C11" t="str">
            <v>NW NATURAL GAS</v>
          </cell>
          <cell r="D11">
            <v>36874</v>
          </cell>
          <cell r="E11" t="str">
            <v>EPS</v>
          </cell>
          <cell r="F11" t="str">
            <v>ANN</v>
          </cell>
          <cell r="G11" t="str">
            <v>1</v>
          </cell>
          <cell r="H11">
            <v>9</v>
          </cell>
          <cell r="I11">
            <v>1.7</v>
          </cell>
          <cell r="J11">
            <v>1.71</v>
          </cell>
          <cell r="K11">
            <v>0.02</v>
          </cell>
          <cell r="L11">
            <v>36891</v>
          </cell>
          <cell r="M11">
            <v>1.77</v>
          </cell>
          <cell r="N11">
            <v>36922</v>
          </cell>
        </row>
        <row r="12">
          <cell r="B12" t="str">
            <v>PNY</v>
          </cell>
          <cell r="C12" t="str">
            <v>PIEDMONT NAT GAS</v>
          </cell>
          <cell r="D12">
            <v>36874</v>
          </cell>
          <cell r="E12" t="str">
            <v>EPS</v>
          </cell>
          <cell r="F12" t="str">
            <v>ANN</v>
          </cell>
          <cell r="G12" t="str">
            <v>1</v>
          </cell>
          <cell r="H12">
            <v>9</v>
          </cell>
          <cell r="I12">
            <v>1.1000000000000001</v>
          </cell>
          <cell r="J12">
            <v>1.0900000000000001</v>
          </cell>
          <cell r="K12">
            <v>0.02</v>
          </cell>
          <cell r="L12">
            <v>37195</v>
          </cell>
          <cell r="M12">
            <v>1.01</v>
          </cell>
          <cell r="N12">
            <v>37232</v>
          </cell>
        </row>
        <row r="13">
          <cell r="B13" t="str">
            <v>SJI</v>
          </cell>
          <cell r="C13" t="str">
            <v>SO JERSEY INDS</v>
          </cell>
          <cell r="D13">
            <v>36874</v>
          </cell>
          <cell r="E13" t="str">
            <v>EPS</v>
          </cell>
          <cell r="F13" t="str">
            <v>ANN</v>
          </cell>
          <cell r="G13" t="str">
            <v>1</v>
          </cell>
          <cell r="H13">
            <v>7</v>
          </cell>
          <cell r="I13">
            <v>0.52</v>
          </cell>
          <cell r="J13">
            <v>0.52</v>
          </cell>
          <cell r="K13">
            <v>0</v>
          </cell>
          <cell r="L13">
            <v>36891</v>
          </cell>
          <cell r="M13">
            <v>0.54</v>
          </cell>
          <cell r="N13">
            <v>36921</v>
          </cell>
        </row>
        <row r="14">
          <cell r="B14" t="str">
            <v>SWX</v>
          </cell>
          <cell r="C14" t="str">
            <v>SOUTHWEST GAS</v>
          </cell>
          <cell r="D14">
            <v>36874</v>
          </cell>
          <cell r="E14" t="str">
            <v>EPS</v>
          </cell>
          <cell r="F14" t="str">
            <v>ANN</v>
          </cell>
          <cell r="G14" t="str">
            <v>1</v>
          </cell>
          <cell r="H14">
            <v>7</v>
          </cell>
          <cell r="I14">
            <v>1.1000000000000001</v>
          </cell>
          <cell r="J14">
            <v>1.1000000000000001</v>
          </cell>
          <cell r="K14">
            <v>7.0000000000000007E-2</v>
          </cell>
          <cell r="L14">
            <v>36891</v>
          </cell>
          <cell r="M14">
            <v>1.2</v>
          </cell>
          <cell r="N14">
            <v>36948</v>
          </cell>
        </row>
        <row r="15">
          <cell r="B15" t="str">
            <v>WGL</v>
          </cell>
          <cell r="C15" t="str">
            <v>WGL HOLDING INC</v>
          </cell>
          <cell r="D15">
            <v>36874</v>
          </cell>
          <cell r="E15" t="str">
            <v>EPS</v>
          </cell>
          <cell r="F15" t="str">
            <v>ANN</v>
          </cell>
          <cell r="G15" t="str">
            <v>1</v>
          </cell>
          <cell r="H15">
            <v>11</v>
          </cell>
          <cell r="I15">
            <v>2</v>
          </cell>
          <cell r="J15">
            <v>1.99</v>
          </cell>
          <cell r="K15">
            <v>0.03</v>
          </cell>
          <cell r="L15">
            <v>37164</v>
          </cell>
          <cell r="M15">
            <v>2.02</v>
          </cell>
          <cell r="N15">
            <v>37195</v>
          </cell>
        </row>
      </sheetData>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ruuxlvjovaiukxs"/>
    </sheetNames>
    <sheetDataSet>
      <sheetData sheetId="0">
        <row r="1">
          <cell r="B1" t="str">
            <v>Official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Forecast Period End Date (SAS Format)</v>
          </cell>
          <cell r="M1" t="str">
            <v>Actual Value, from the Detail Actuals File</v>
          </cell>
          <cell r="N1" t="str">
            <v>Announce date of the Actual, from the Detail Actuals File</v>
          </cell>
        </row>
        <row r="2">
          <cell r="B2" t="str">
            <v>ATG</v>
          </cell>
          <cell r="C2" t="str">
            <v>AGL RESOURCES</v>
          </cell>
          <cell r="D2">
            <v>36874</v>
          </cell>
          <cell r="E2" t="str">
            <v>EPS</v>
          </cell>
          <cell r="F2" t="str">
            <v>LTG</v>
          </cell>
          <cell r="G2" t="str">
            <v>0</v>
          </cell>
          <cell r="H2">
            <v>8</v>
          </cell>
          <cell r="I2">
            <v>5.3</v>
          </cell>
          <cell r="J2">
            <v>5.95</v>
          </cell>
          <cell r="K2">
            <v>1.42</v>
          </cell>
        </row>
        <row r="3">
          <cell r="B3" t="str">
            <v>CGC</v>
          </cell>
          <cell r="C3" t="str">
            <v>CASCADE NAT GAS</v>
          </cell>
          <cell r="D3">
            <v>36874</v>
          </cell>
          <cell r="E3" t="str">
            <v>EPS</v>
          </cell>
          <cell r="F3" t="str">
            <v>LTG</v>
          </cell>
          <cell r="G3" t="str">
            <v>0</v>
          </cell>
          <cell r="H3">
            <v>4</v>
          </cell>
          <cell r="I3">
            <v>4.5</v>
          </cell>
          <cell r="J3">
            <v>4.2</v>
          </cell>
          <cell r="K3">
            <v>1.05</v>
          </cell>
        </row>
        <row r="4">
          <cell r="B4" t="str">
            <v>CPK</v>
          </cell>
          <cell r="C4" t="str">
            <v>CHESAPEAKE UTIL</v>
          </cell>
          <cell r="D4">
            <v>36874</v>
          </cell>
          <cell r="E4" t="str">
            <v>EPS</v>
          </cell>
          <cell r="F4" t="str">
            <v>LTG</v>
          </cell>
          <cell r="G4" t="str">
            <v>0</v>
          </cell>
          <cell r="H4">
            <v>1</v>
          </cell>
          <cell r="I4">
            <v>6</v>
          </cell>
          <cell r="J4">
            <v>6</v>
          </cell>
        </row>
        <row r="5">
          <cell r="B5" t="str">
            <v>ATO</v>
          </cell>
          <cell r="C5" t="str">
            <v>ATMOS ENERGY CP</v>
          </cell>
          <cell r="D5">
            <v>36874</v>
          </cell>
          <cell r="E5" t="str">
            <v>EPS</v>
          </cell>
          <cell r="F5" t="str">
            <v>LTG</v>
          </cell>
          <cell r="G5" t="str">
            <v>0</v>
          </cell>
          <cell r="H5">
            <v>5</v>
          </cell>
          <cell r="I5">
            <v>7</v>
          </cell>
          <cell r="J5">
            <v>6.34</v>
          </cell>
          <cell r="K5">
            <v>1.54</v>
          </cell>
        </row>
        <row r="6">
          <cell r="B6" t="str">
            <v>GAS</v>
          </cell>
          <cell r="C6" t="str">
            <v>NICOR INC</v>
          </cell>
          <cell r="D6">
            <v>36874</v>
          </cell>
          <cell r="E6" t="str">
            <v>EPS</v>
          </cell>
          <cell r="F6" t="str">
            <v>LTG</v>
          </cell>
          <cell r="G6" t="str">
            <v>0</v>
          </cell>
          <cell r="H6">
            <v>7</v>
          </cell>
          <cell r="I6">
            <v>6</v>
          </cell>
          <cell r="J6">
            <v>6.13</v>
          </cell>
          <cell r="K6">
            <v>1.34</v>
          </cell>
        </row>
        <row r="7">
          <cell r="B7" t="str">
            <v>LG</v>
          </cell>
          <cell r="C7" t="str">
            <v>LACLEDE GAS</v>
          </cell>
          <cell r="D7">
            <v>36874</v>
          </cell>
          <cell r="E7" t="str">
            <v>EPS</v>
          </cell>
          <cell r="F7" t="str">
            <v>LTG</v>
          </cell>
          <cell r="G7" t="str">
            <v>0</v>
          </cell>
          <cell r="H7">
            <v>3</v>
          </cell>
          <cell r="I7">
            <v>4</v>
          </cell>
          <cell r="J7">
            <v>3.67</v>
          </cell>
          <cell r="K7">
            <v>0.57999999999999996</v>
          </cell>
        </row>
        <row r="8">
          <cell r="B8" t="str">
            <v>KSE</v>
          </cell>
          <cell r="C8" t="str">
            <v>KEYSPAN CP</v>
          </cell>
          <cell r="D8">
            <v>36874</v>
          </cell>
          <cell r="E8" t="str">
            <v>EPS</v>
          </cell>
          <cell r="F8" t="str">
            <v>LTG</v>
          </cell>
          <cell r="G8" t="str">
            <v>0</v>
          </cell>
          <cell r="H8">
            <v>8</v>
          </cell>
          <cell r="I8">
            <v>10</v>
          </cell>
          <cell r="J8">
            <v>9.64</v>
          </cell>
          <cell r="K8">
            <v>1.53</v>
          </cell>
        </row>
        <row r="9">
          <cell r="B9" t="str">
            <v>NI</v>
          </cell>
          <cell r="C9" t="str">
            <v>NISOURCE INC</v>
          </cell>
          <cell r="D9">
            <v>36874</v>
          </cell>
          <cell r="E9" t="str">
            <v>EPS</v>
          </cell>
          <cell r="F9" t="str">
            <v>LTG</v>
          </cell>
          <cell r="G9" t="str">
            <v>0</v>
          </cell>
          <cell r="H9">
            <v>7</v>
          </cell>
          <cell r="I9">
            <v>10</v>
          </cell>
          <cell r="J9">
            <v>9.6</v>
          </cell>
          <cell r="K9">
            <v>2.74</v>
          </cell>
        </row>
        <row r="10">
          <cell r="B10" t="str">
            <v>NJR</v>
          </cell>
          <cell r="C10" t="str">
            <v>NEW JERSEY RES</v>
          </cell>
          <cell r="D10">
            <v>36874</v>
          </cell>
          <cell r="E10" t="str">
            <v>EPS</v>
          </cell>
          <cell r="F10" t="str">
            <v>LTG</v>
          </cell>
          <cell r="G10" t="str">
            <v>0</v>
          </cell>
          <cell r="H10">
            <v>3</v>
          </cell>
          <cell r="I10">
            <v>6.5</v>
          </cell>
          <cell r="J10">
            <v>6.5</v>
          </cell>
          <cell r="K10">
            <v>0.5</v>
          </cell>
        </row>
        <row r="11">
          <cell r="B11" t="str">
            <v>NWN</v>
          </cell>
          <cell r="C11" t="str">
            <v>NW NATURAL GAS</v>
          </cell>
          <cell r="D11">
            <v>36874</v>
          </cell>
          <cell r="E11" t="str">
            <v>EPS</v>
          </cell>
          <cell r="F11" t="str">
            <v>LTG</v>
          </cell>
          <cell r="G11" t="str">
            <v>0</v>
          </cell>
          <cell r="H11">
            <v>5</v>
          </cell>
          <cell r="I11">
            <v>5</v>
          </cell>
          <cell r="J11">
            <v>4.42</v>
          </cell>
          <cell r="K11">
            <v>0.91</v>
          </cell>
        </row>
        <row r="12">
          <cell r="B12" t="str">
            <v>PNY</v>
          </cell>
          <cell r="C12" t="str">
            <v>PIEDMONT NAT GAS</v>
          </cell>
          <cell r="D12">
            <v>36874</v>
          </cell>
          <cell r="E12" t="str">
            <v>EPS</v>
          </cell>
          <cell r="F12" t="str">
            <v>LTG</v>
          </cell>
          <cell r="G12" t="str">
            <v>0</v>
          </cell>
          <cell r="H12">
            <v>6</v>
          </cell>
          <cell r="I12">
            <v>5.5</v>
          </cell>
          <cell r="J12">
            <v>5.67</v>
          </cell>
          <cell r="K12">
            <v>0.82</v>
          </cell>
        </row>
        <row r="13">
          <cell r="B13" t="str">
            <v>SJI</v>
          </cell>
          <cell r="C13" t="str">
            <v>SO JERSEY INDS</v>
          </cell>
          <cell r="D13">
            <v>36874</v>
          </cell>
          <cell r="E13" t="str">
            <v>EPS</v>
          </cell>
          <cell r="F13" t="str">
            <v>LTG</v>
          </cell>
          <cell r="G13" t="str">
            <v>0</v>
          </cell>
          <cell r="H13">
            <v>4</v>
          </cell>
          <cell r="I13">
            <v>5</v>
          </cell>
          <cell r="J13">
            <v>5.25</v>
          </cell>
          <cell r="K13">
            <v>0.5</v>
          </cell>
        </row>
        <row r="14">
          <cell r="B14" t="str">
            <v>SWX</v>
          </cell>
          <cell r="C14" t="str">
            <v>SOUTHWEST GAS</v>
          </cell>
          <cell r="D14">
            <v>36874</v>
          </cell>
          <cell r="E14" t="str">
            <v>EPS</v>
          </cell>
          <cell r="F14" t="str">
            <v>LTG</v>
          </cell>
          <cell r="G14" t="str">
            <v>0</v>
          </cell>
          <cell r="H14">
            <v>4</v>
          </cell>
          <cell r="I14">
            <v>4.5</v>
          </cell>
          <cell r="J14">
            <v>4.75</v>
          </cell>
          <cell r="K14">
            <v>0.96</v>
          </cell>
        </row>
        <row r="15">
          <cell r="B15" t="str">
            <v>WGL</v>
          </cell>
          <cell r="C15" t="str">
            <v>WGL HOLDING INC</v>
          </cell>
          <cell r="D15">
            <v>36874</v>
          </cell>
          <cell r="E15" t="str">
            <v>EPS</v>
          </cell>
          <cell r="F15" t="str">
            <v>LTG</v>
          </cell>
          <cell r="G15" t="str">
            <v>0</v>
          </cell>
          <cell r="H15">
            <v>6</v>
          </cell>
          <cell r="I15">
            <v>4.75</v>
          </cell>
          <cell r="J15">
            <v>4.5</v>
          </cell>
          <cell r="K15">
            <v>1.48</v>
          </cell>
        </row>
      </sheetData>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RDS"/>
    </sheetNames>
    <sheetDataSet>
      <sheetData sheetId="0">
        <row r="1">
          <cell r="A1" t="str">
            <v>OFTIC</v>
          </cell>
          <cell r="B1" t="str">
            <v>IBES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USFIRM=0 if from .INT file and USFIRM=1 if from .US file</v>
          </cell>
          <cell r="L1" t="str">
            <v>Forecast Period End Date (SAS Format)</v>
          </cell>
          <cell r="M1" t="str">
            <v>Actual Value, from the Detail Actuals File</v>
          </cell>
          <cell r="N1" t="str">
            <v>Announce date of the Actual, from the Detail Actuals File</v>
          </cell>
        </row>
        <row r="2">
          <cell r="A2" t="str">
            <v>AGR</v>
          </cell>
          <cell r="B2" t="str">
            <v>AGR2</v>
          </cell>
          <cell r="C2" t="str">
            <v>ARGENTARIA</v>
          </cell>
          <cell r="D2">
            <v>19991216</v>
          </cell>
          <cell r="E2" t="str">
            <v>EPS</v>
          </cell>
          <cell r="F2" t="str">
            <v>ANN</v>
          </cell>
          <cell r="G2">
            <v>1</v>
          </cell>
          <cell r="H2">
            <v>3</v>
          </cell>
          <cell r="I2">
            <v>2.13</v>
          </cell>
          <cell r="J2">
            <v>2.1800000000000002</v>
          </cell>
          <cell r="K2">
            <v>1</v>
          </cell>
          <cell r="L2">
            <v>19991231</v>
          </cell>
        </row>
        <row r="3">
          <cell r="A3" t="str">
            <v>PNW</v>
          </cell>
          <cell r="B3" t="str">
            <v>AZP</v>
          </cell>
          <cell r="C3" t="str">
            <v>PINNACLE WST CAP</v>
          </cell>
          <cell r="D3">
            <v>19991216</v>
          </cell>
          <cell r="E3" t="str">
            <v>EPS</v>
          </cell>
          <cell r="F3" t="str">
            <v>ANN</v>
          </cell>
          <cell r="G3">
            <v>1</v>
          </cell>
          <cell r="H3">
            <v>17</v>
          </cell>
          <cell r="I3">
            <v>3.05</v>
          </cell>
          <cell r="J3">
            <v>3.05</v>
          </cell>
          <cell r="K3">
            <v>1</v>
          </cell>
          <cell r="L3">
            <v>19991231</v>
          </cell>
          <cell r="M3">
            <v>3.17</v>
          </cell>
          <cell r="N3">
            <v>20000119</v>
          </cell>
        </row>
        <row r="4">
          <cell r="A4" t="str">
            <v>CEG</v>
          </cell>
          <cell r="B4" t="str">
            <v>BGE</v>
          </cell>
          <cell r="C4" t="str">
            <v>CONSTELLATION EN</v>
          </cell>
          <cell r="D4">
            <v>19991216</v>
          </cell>
          <cell r="E4" t="str">
            <v>EPS</v>
          </cell>
          <cell r="F4" t="str">
            <v>ANN</v>
          </cell>
          <cell r="G4">
            <v>1</v>
          </cell>
          <cell r="H4">
            <v>20</v>
          </cell>
          <cell r="I4">
            <v>2.35</v>
          </cell>
          <cell r="J4">
            <v>2.38</v>
          </cell>
          <cell r="K4">
            <v>1</v>
          </cell>
          <cell r="L4">
            <v>19991231</v>
          </cell>
          <cell r="M4">
            <v>2.46</v>
          </cell>
          <cell r="N4">
            <v>20000121</v>
          </cell>
        </row>
        <row r="5">
          <cell r="A5" t="str">
            <v>BKH</v>
          </cell>
          <cell r="B5" t="str">
            <v>BHP</v>
          </cell>
          <cell r="C5" t="str">
            <v>BLACK HILLS CP</v>
          </cell>
          <cell r="D5">
            <v>19991216</v>
          </cell>
          <cell r="E5" t="str">
            <v>EPS</v>
          </cell>
          <cell r="F5" t="str">
            <v>ANN</v>
          </cell>
          <cell r="G5">
            <v>1</v>
          </cell>
          <cell r="H5">
            <v>2</v>
          </cell>
          <cell r="I5">
            <v>1.66</v>
          </cell>
          <cell r="J5">
            <v>1.66</v>
          </cell>
          <cell r="K5">
            <v>1</v>
          </cell>
          <cell r="L5">
            <v>19991231</v>
          </cell>
          <cell r="M5">
            <v>1.83</v>
          </cell>
          <cell r="N5">
            <v>20000128</v>
          </cell>
        </row>
        <row r="6">
          <cell r="A6" t="str">
            <v>NST</v>
          </cell>
          <cell r="B6" t="str">
            <v>BSE</v>
          </cell>
          <cell r="C6" t="str">
            <v>NSTAR</v>
          </cell>
          <cell r="D6">
            <v>19991216</v>
          </cell>
          <cell r="E6" t="str">
            <v>EPS</v>
          </cell>
          <cell r="F6" t="str">
            <v>ANN</v>
          </cell>
          <cell r="G6">
            <v>1</v>
          </cell>
          <cell r="H6">
            <v>14</v>
          </cell>
          <cell r="I6">
            <v>1.48</v>
          </cell>
          <cell r="J6">
            <v>1.47</v>
          </cell>
          <cell r="K6">
            <v>1</v>
          </cell>
          <cell r="L6">
            <v>19991231</v>
          </cell>
          <cell r="M6">
            <v>1.4</v>
          </cell>
          <cell r="N6">
            <v>20000127</v>
          </cell>
        </row>
        <row r="7">
          <cell r="A7" t="str">
            <v>CIN</v>
          </cell>
          <cell r="B7" t="str">
            <v>CIN</v>
          </cell>
          <cell r="C7" t="str">
            <v>CINERGY CORP</v>
          </cell>
          <cell r="D7">
            <v>19991216</v>
          </cell>
          <cell r="E7" t="str">
            <v>EPS</v>
          </cell>
          <cell r="F7" t="str">
            <v>ANN</v>
          </cell>
          <cell r="G7">
            <v>1</v>
          </cell>
          <cell r="H7">
            <v>19</v>
          </cell>
          <cell r="I7">
            <v>2.2000000000000002</v>
          </cell>
          <cell r="J7">
            <v>2.2000000000000002</v>
          </cell>
          <cell r="K7">
            <v>1</v>
          </cell>
          <cell r="L7">
            <v>19991231</v>
          </cell>
          <cell r="M7">
            <v>2.1</v>
          </cell>
          <cell r="N7">
            <v>20000127</v>
          </cell>
        </row>
        <row r="8">
          <cell r="A8" t="str">
            <v>CMS</v>
          </cell>
          <cell r="B8" t="str">
            <v>CMS</v>
          </cell>
          <cell r="C8" t="str">
            <v>CMS ENERGY CORP</v>
          </cell>
          <cell r="D8">
            <v>19991216</v>
          </cell>
          <cell r="E8" t="str">
            <v>EPS</v>
          </cell>
          <cell r="F8" t="str">
            <v>ANN</v>
          </cell>
          <cell r="G8">
            <v>1</v>
          </cell>
          <cell r="H8">
            <v>24</v>
          </cell>
          <cell r="I8">
            <v>3</v>
          </cell>
          <cell r="J8">
            <v>3.01</v>
          </cell>
          <cell r="K8">
            <v>1</v>
          </cell>
          <cell r="L8">
            <v>19991231</v>
          </cell>
          <cell r="M8">
            <v>2.88</v>
          </cell>
          <cell r="N8">
            <v>20000131</v>
          </cell>
        </row>
        <row r="9">
          <cell r="A9" t="str">
            <v>CNL</v>
          </cell>
          <cell r="B9" t="str">
            <v>CNL</v>
          </cell>
          <cell r="C9" t="str">
            <v>CLECO CORP</v>
          </cell>
          <cell r="D9">
            <v>19991216</v>
          </cell>
          <cell r="E9" t="str">
            <v>EPS</v>
          </cell>
          <cell r="F9" t="str">
            <v>ANN</v>
          </cell>
          <cell r="G9">
            <v>1</v>
          </cell>
          <cell r="H9">
            <v>4</v>
          </cell>
          <cell r="I9">
            <v>1.2</v>
          </cell>
          <cell r="J9">
            <v>1.19</v>
          </cell>
          <cell r="K9">
            <v>1</v>
          </cell>
          <cell r="L9">
            <v>19991231</v>
          </cell>
          <cell r="M9">
            <v>1.18</v>
          </cell>
          <cell r="N9">
            <v>20000202</v>
          </cell>
        </row>
        <row r="10">
          <cell r="A10" t="str">
            <v>D</v>
          </cell>
          <cell r="B10" t="str">
            <v>D</v>
          </cell>
          <cell r="C10" t="str">
            <v>DOMINION RES INC</v>
          </cell>
          <cell r="D10">
            <v>19991216</v>
          </cell>
          <cell r="E10" t="str">
            <v>EPS</v>
          </cell>
          <cell r="F10" t="str">
            <v>ANN</v>
          </cell>
          <cell r="G10">
            <v>1</v>
          </cell>
          <cell r="H10">
            <v>27</v>
          </cell>
          <cell r="I10">
            <v>1.5</v>
          </cell>
          <cell r="J10">
            <v>1.5</v>
          </cell>
          <cell r="K10">
            <v>1</v>
          </cell>
          <cell r="L10">
            <v>19991231</v>
          </cell>
          <cell r="M10">
            <v>1.5049999999999999</v>
          </cell>
          <cell r="N10">
            <v>20000128</v>
          </cell>
        </row>
        <row r="11">
          <cell r="A11" t="str">
            <v>DPL</v>
          </cell>
          <cell r="B11" t="str">
            <v>DPL</v>
          </cell>
          <cell r="C11" t="str">
            <v>DPL INC</v>
          </cell>
          <cell r="D11">
            <v>19991216</v>
          </cell>
          <cell r="E11" t="str">
            <v>EPS</v>
          </cell>
          <cell r="F11" t="str">
            <v>ANN</v>
          </cell>
          <cell r="G11">
            <v>1</v>
          </cell>
          <cell r="H11">
            <v>19</v>
          </cell>
          <cell r="I11">
            <v>1.35</v>
          </cell>
          <cell r="J11">
            <v>1.34</v>
          </cell>
          <cell r="K11">
            <v>1</v>
          </cell>
          <cell r="L11">
            <v>19991231</v>
          </cell>
          <cell r="M11">
            <v>1.35</v>
          </cell>
          <cell r="N11">
            <v>20000125</v>
          </cell>
        </row>
        <row r="12">
          <cell r="A12" t="str">
            <v>DTE</v>
          </cell>
          <cell r="B12" t="str">
            <v>DTE</v>
          </cell>
          <cell r="C12" t="str">
            <v>DTE ENERGY</v>
          </cell>
          <cell r="D12">
            <v>19991216</v>
          </cell>
          <cell r="E12" t="str">
            <v>EPS</v>
          </cell>
          <cell r="F12" t="str">
            <v>ANN</v>
          </cell>
          <cell r="G12">
            <v>1</v>
          </cell>
          <cell r="H12">
            <v>19</v>
          </cell>
          <cell r="I12">
            <v>3.25</v>
          </cell>
          <cell r="J12">
            <v>3.27</v>
          </cell>
          <cell r="K12">
            <v>1</v>
          </cell>
          <cell r="L12">
            <v>19991231</v>
          </cell>
          <cell r="M12">
            <v>3.33</v>
          </cell>
          <cell r="N12">
            <v>20000126</v>
          </cell>
        </row>
        <row r="13">
          <cell r="A13" t="str">
            <v>DUK</v>
          </cell>
          <cell r="B13" t="str">
            <v>DUK</v>
          </cell>
          <cell r="C13" t="str">
            <v>DUKE ENERGY CORP</v>
          </cell>
          <cell r="D13">
            <v>19991216</v>
          </cell>
          <cell r="E13" t="str">
            <v>EPS</v>
          </cell>
          <cell r="F13" t="str">
            <v>ANN</v>
          </cell>
          <cell r="G13">
            <v>1</v>
          </cell>
          <cell r="H13">
            <v>30</v>
          </cell>
          <cell r="I13">
            <v>5.33</v>
          </cell>
          <cell r="J13">
            <v>5.33</v>
          </cell>
          <cell r="K13">
            <v>1</v>
          </cell>
          <cell r="L13">
            <v>19991231</v>
          </cell>
          <cell r="M13">
            <v>5.4</v>
          </cell>
          <cell r="N13">
            <v>20000120</v>
          </cell>
        </row>
        <row r="14">
          <cell r="A14" t="str">
            <v>ED</v>
          </cell>
          <cell r="B14" t="str">
            <v>ED</v>
          </cell>
          <cell r="C14" t="str">
            <v>CONS EDISON INC</v>
          </cell>
          <cell r="D14">
            <v>19991216</v>
          </cell>
          <cell r="E14" t="str">
            <v>EPS</v>
          </cell>
          <cell r="F14" t="str">
            <v>ANN</v>
          </cell>
          <cell r="G14">
            <v>1</v>
          </cell>
          <cell r="H14">
            <v>19</v>
          </cell>
          <cell r="I14">
            <v>3.15</v>
          </cell>
          <cell r="J14">
            <v>3.15</v>
          </cell>
          <cell r="K14">
            <v>1</v>
          </cell>
          <cell r="L14">
            <v>19991231</v>
          </cell>
          <cell r="M14">
            <v>3.13</v>
          </cell>
          <cell r="N14">
            <v>20000120</v>
          </cell>
        </row>
        <row r="15">
          <cell r="A15" t="str">
            <v>EDE</v>
          </cell>
          <cell r="B15" t="str">
            <v>EDE</v>
          </cell>
          <cell r="C15" t="str">
            <v>EMPIRE DIST ELEC</v>
          </cell>
          <cell r="D15">
            <v>19991216</v>
          </cell>
          <cell r="E15" t="str">
            <v>EPS</v>
          </cell>
          <cell r="F15" t="str">
            <v>ANN</v>
          </cell>
          <cell r="G15">
            <v>1</v>
          </cell>
          <cell r="H15">
            <v>2</v>
          </cell>
          <cell r="I15">
            <v>1.48</v>
          </cell>
          <cell r="J15">
            <v>1.48</v>
          </cell>
          <cell r="K15">
            <v>1</v>
          </cell>
          <cell r="L15">
            <v>19991231</v>
          </cell>
          <cell r="M15">
            <v>1.46</v>
          </cell>
          <cell r="N15">
            <v>20000204</v>
          </cell>
        </row>
        <row r="16">
          <cell r="A16" t="str">
            <v>FPL</v>
          </cell>
          <cell r="B16" t="str">
            <v>FPL</v>
          </cell>
          <cell r="C16" t="str">
            <v>FPL GROUP</v>
          </cell>
          <cell r="D16">
            <v>19991216</v>
          </cell>
          <cell r="E16" t="str">
            <v>EPS</v>
          </cell>
          <cell r="F16" t="str">
            <v>ANN</v>
          </cell>
          <cell r="G16">
            <v>1</v>
          </cell>
          <cell r="H16">
            <v>31</v>
          </cell>
          <cell r="I16">
            <v>0.5</v>
          </cell>
          <cell r="J16">
            <v>0.5</v>
          </cell>
          <cell r="K16">
            <v>1</v>
          </cell>
          <cell r="L16">
            <v>19991231</v>
          </cell>
          <cell r="M16">
            <v>0.49880000000000002</v>
          </cell>
          <cell r="N16">
            <v>20000121</v>
          </cell>
        </row>
        <row r="17">
          <cell r="A17" t="str">
            <v>HE</v>
          </cell>
          <cell r="B17" t="str">
            <v>HE</v>
          </cell>
          <cell r="C17" t="str">
            <v>HAWAIIAN ELEC</v>
          </cell>
          <cell r="D17">
            <v>19991216</v>
          </cell>
          <cell r="E17" t="str">
            <v>EPS</v>
          </cell>
          <cell r="F17" t="str">
            <v>ANN</v>
          </cell>
          <cell r="G17">
            <v>1</v>
          </cell>
          <cell r="H17">
            <v>8</v>
          </cell>
          <cell r="I17">
            <v>1.38</v>
          </cell>
          <cell r="J17">
            <v>1.4</v>
          </cell>
          <cell r="K17">
            <v>1</v>
          </cell>
          <cell r="L17">
            <v>19991231</v>
          </cell>
          <cell r="M17">
            <v>1.4450000000000001</v>
          </cell>
          <cell r="N17">
            <v>20000124</v>
          </cell>
        </row>
        <row r="18">
          <cell r="A18" t="str">
            <v>IDA</v>
          </cell>
          <cell r="B18" t="str">
            <v>IDA</v>
          </cell>
          <cell r="C18" t="str">
            <v>IDACORP INC.</v>
          </cell>
          <cell r="D18">
            <v>19991216</v>
          </cell>
          <cell r="E18" t="str">
            <v>EPS</v>
          </cell>
          <cell r="F18" t="str">
            <v>ANN</v>
          </cell>
          <cell r="G18">
            <v>1</v>
          </cell>
          <cell r="H18">
            <v>8</v>
          </cell>
          <cell r="I18">
            <v>2.44</v>
          </cell>
          <cell r="J18">
            <v>2.44</v>
          </cell>
          <cell r="K18">
            <v>1</v>
          </cell>
          <cell r="L18">
            <v>19991231</v>
          </cell>
          <cell r="M18">
            <v>2.42</v>
          </cell>
          <cell r="N18">
            <v>20000201</v>
          </cell>
        </row>
        <row r="19">
          <cell r="A19" t="str">
            <v>WR</v>
          </cell>
          <cell r="B19" t="str">
            <v>KAN</v>
          </cell>
          <cell r="C19" t="str">
            <v>WESTN RESOURCES</v>
          </cell>
          <cell r="D19">
            <v>19991216</v>
          </cell>
          <cell r="E19" t="str">
            <v>EPS</v>
          </cell>
          <cell r="F19" t="str">
            <v>ANN</v>
          </cell>
          <cell r="G19">
            <v>1</v>
          </cell>
          <cell r="H19">
            <v>11</v>
          </cell>
          <cell r="I19">
            <v>1.95</v>
          </cell>
          <cell r="J19">
            <v>1.87</v>
          </cell>
          <cell r="K19">
            <v>1</v>
          </cell>
          <cell r="L19">
            <v>19991231</v>
          </cell>
          <cell r="M19">
            <v>0.48</v>
          </cell>
          <cell r="N19">
            <v>20000328</v>
          </cell>
        </row>
        <row r="20">
          <cell r="A20" t="str">
            <v>ETR</v>
          </cell>
          <cell r="B20" t="str">
            <v>MSU</v>
          </cell>
          <cell r="C20" t="str">
            <v>ENTERGY CP</v>
          </cell>
          <cell r="D20">
            <v>19991216</v>
          </cell>
          <cell r="E20" t="str">
            <v>EPS</v>
          </cell>
          <cell r="F20" t="str">
            <v>ANN</v>
          </cell>
          <cell r="G20">
            <v>1</v>
          </cell>
          <cell r="H20">
            <v>20</v>
          </cell>
          <cell r="I20">
            <v>2.14</v>
          </cell>
          <cell r="J20">
            <v>2.11</v>
          </cell>
          <cell r="K20">
            <v>1</v>
          </cell>
          <cell r="L20">
            <v>19991231</v>
          </cell>
          <cell r="M20">
            <v>2.29</v>
          </cell>
          <cell r="N20">
            <v>20000217</v>
          </cell>
        </row>
        <row r="21">
          <cell r="A21" t="str">
            <v>NU</v>
          </cell>
          <cell r="B21" t="str">
            <v>NU</v>
          </cell>
          <cell r="C21" t="str">
            <v>NORTHEAST UTILS</v>
          </cell>
          <cell r="D21">
            <v>19991216</v>
          </cell>
          <cell r="E21" t="str">
            <v>EPS</v>
          </cell>
          <cell r="F21" t="str">
            <v>ANN</v>
          </cell>
          <cell r="G21">
            <v>1</v>
          </cell>
          <cell r="H21">
            <v>11</v>
          </cell>
          <cell r="I21">
            <v>0.65</v>
          </cell>
          <cell r="J21">
            <v>0.69</v>
          </cell>
          <cell r="K21">
            <v>1</v>
          </cell>
          <cell r="L21">
            <v>19991231</v>
          </cell>
          <cell r="M21">
            <v>0.81</v>
          </cell>
          <cell r="N21">
            <v>20000125</v>
          </cell>
        </row>
        <row r="22">
          <cell r="A22" t="str">
            <v>FE</v>
          </cell>
          <cell r="B22" t="str">
            <v>OEC</v>
          </cell>
          <cell r="C22" t="str">
            <v>FIRSTENERGY CORP</v>
          </cell>
          <cell r="D22">
            <v>19991216</v>
          </cell>
          <cell r="E22" t="str">
            <v>EPS</v>
          </cell>
          <cell r="F22" t="str">
            <v>ANN</v>
          </cell>
          <cell r="G22">
            <v>1</v>
          </cell>
          <cell r="H22">
            <v>19</v>
          </cell>
          <cell r="I22">
            <v>2.46</v>
          </cell>
          <cell r="J22">
            <v>2.4700000000000002</v>
          </cell>
          <cell r="K22">
            <v>1</v>
          </cell>
          <cell r="L22">
            <v>19991231</v>
          </cell>
          <cell r="M22">
            <v>2.5</v>
          </cell>
          <cell r="N22">
            <v>20000118</v>
          </cell>
        </row>
        <row r="23">
          <cell r="A23" t="str">
            <v>OGE</v>
          </cell>
          <cell r="B23" t="str">
            <v>OGE</v>
          </cell>
          <cell r="C23" t="str">
            <v>OGE ENERGY CORP</v>
          </cell>
          <cell r="D23">
            <v>19991216</v>
          </cell>
          <cell r="E23" t="str">
            <v>EPS</v>
          </cell>
          <cell r="F23" t="str">
            <v>ANN</v>
          </cell>
          <cell r="G23">
            <v>1</v>
          </cell>
          <cell r="H23">
            <v>14</v>
          </cell>
          <cell r="I23">
            <v>0.95</v>
          </cell>
          <cell r="J23">
            <v>0.95</v>
          </cell>
          <cell r="K23">
            <v>1</v>
          </cell>
          <cell r="L23">
            <v>19991231</v>
          </cell>
          <cell r="M23">
            <v>0.97499999999999998</v>
          </cell>
          <cell r="N23">
            <v>20000124</v>
          </cell>
        </row>
        <row r="24">
          <cell r="A24" t="str">
            <v>OTTR</v>
          </cell>
          <cell r="B24" t="str">
            <v>OTTR</v>
          </cell>
          <cell r="C24" t="str">
            <v>OTTER TAIL PWR</v>
          </cell>
          <cell r="D24">
            <v>19991216</v>
          </cell>
          <cell r="E24" t="str">
            <v>EPS</v>
          </cell>
          <cell r="F24" t="str">
            <v>ANN</v>
          </cell>
          <cell r="G24">
            <v>1</v>
          </cell>
          <cell r="H24">
            <v>3</v>
          </cell>
          <cell r="I24">
            <v>1.44</v>
          </cell>
          <cell r="J24">
            <v>1.42</v>
          </cell>
          <cell r="K24">
            <v>1</v>
          </cell>
          <cell r="L24">
            <v>19991231</v>
          </cell>
          <cell r="M24">
            <v>1.4550000000000001</v>
          </cell>
          <cell r="N24">
            <v>20000131</v>
          </cell>
        </row>
        <row r="25">
          <cell r="A25" t="str">
            <v>PCG</v>
          </cell>
          <cell r="B25" t="str">
            <v>PCG</v>
          </cell>
          <cell r="C25" t="str">
            <v>P G &amp; E CORP</v>
          </cell>
          <cell r="D25">
            <v>19991216</v>
          </cell>
          <cell r="E25" t="str">
            <v>EPS</v>
          </cell>
          <cell r="F25" t="str">
            <v>ANN</v>
          </cell>
          <cell r="G25">
            <v>1</v>
          </cell>
          <cell r="H25">
            <v>19</v>
          </cell>
          <cell r="I25">
            <v>1.85</v>
          </cell>
          <cell r="J25">
            <v>1.84</v>
          </cell>
          <cell r="K25">
            <v>1</v>
          </cell>
          <cell r="L25">
            <v>19991231</v>
          </cell>
          <cell r="M25">
            <v>2.14</v>
          </cell>
          <cell r="N25">
            <v>20000302</v>
          </cell>
        </row>
        <row r="26">
          <cell r="A26" t="str">
            <v>PEG</v>
          </cell>
          <cell r="B26" t="str">
            <v>PEG</v>
          </cell>
          <cell r="C26" t="str">
            <v>PUB SVC ENTERS</v>
          </cell>
          <cell r="D26">
            <v>19991216</v>
          </cell>
          <cell r="E26" t="str">
            <v>EPS</v>
          </cell>
          <cell r="F26" t="str">
            <v>ANN</v>
          </cell>
          <cell r="G26">
            <v>1</v>
          </cell>
          <cell r="H26">
            <v>15</v>
          </cell>
          <cell r="I26">
            <v>1.63</v>
          </cell>
          <cell r="J26">
            <v>1.62</v>
          </cell>
          <cell r="K26">
            <v>1</v>
          </cell>
          <cell r="L26">
            <v>19991231</v>
          </cell>
          <cell r="M26">
            <v>1.65</v>
          </cell>
          <cell r="N26">
            <v>20000119</v>
          </cell>
        </row>
        <row r="27">
          <cell r="A27" t="str">
            <v>PNM</v>
          </cell>
          <cell r="B27" t="str">
            <v>PNM</v>
          </cell>
          <cell r="C27" t="str">
            <v>PUB SVC N MEX</v>
          </cell>
          <cell r="D27">
            <v>19991216</v>
          </cell>
          <cell r="E27" t="str">
            <v>EPS</v>
          </cell>
          <cell r="F27" t="str">
            <v>ANN</v>
          </cell>
          <cell r="G27">
            <v>1</v>
          </cell>
          <cell r="H27">
            <v>9</v>
          </cell>
          <cell r="I27">
            <v>1.27</v>
          </cell>
          <cell r="J27">
            <v>1.27</v>
          </cell>
          <cell r="K27">
            <v>1</v>
          </cell>
          <cell r="L27">
            <v>19991231</v>
          </cell>
          <cell r="M27">
            <v>1.2733000000000001</v>
          </cell>
          <cell r="N27">
            <v>20000127</v>
          </cell>
        </row>
        <row r="28">
          <cell r="A28" t="str">
            <v>POM</v>
          </cell>
          <cell r="B28" t="str">
            <v>POM</v>
          </cell>
          <cell r="C28" t="str">
            <v>POTOMAC ELEC</v>
          </cell>
          <cell r="D28">
            <v>19991216</v>
          </cell>
          <cell r="E28" t="str">
            <v>EPS</v>
          </cell>
          <cell r="F28" t="str">
            <v>ANN</v>
          </cell>
          <cell r="G28">
            <v>1</v>
          </cell>
          <cell r="H28">
            <v>19</v>
          </cell>
          <cell r="I28">
            <v>1.9</v>
          </cell>
          <cell r="J28">
            <v>1.92</v>
          </cell>
          <cell r="K28">
            <v>1</v>
          </cell>
          <cell r="L28">
            <v>19991231</v>
          </cell>
          <cell r="M28">
            <v>1.86</v>
          </cell>
          <cell r="N28">
            <v>20000127</v>
          </cell>
        </row>
        <row r="29">
          <cell r="A29" t="str">
            <v>PPL</v>
          </cell>
          <cell r="B29" t="str">
            <v>PPL</v>
          </cell>
          <cell r="C29" t="str">
            <v>PP&amp;L RESOURCES</v>
          </cell>
          <cell r="D29">
            <v>19991216</v>
          </cell>
          <cell r="E29" t="str">
            <v>EPS</v>
          </cell>
          <cell r="F29" t="str">
            <v>ANN</v>
          </cell>
          <cell r="G29">
            <v>1</v>
          </cell>
          <cell r="H29">
            <v>16</v>
          </cell>
          <cell r="I29">
            <v>1.08</v>
          </cell>
          <cell r="J29">
            <v>1.07</v>
          </cell>
          <cell r="K29">
            <v>1</v>
          </cell>
          <cell r="L29">
            <v>19991231</v>
          </cell>
          <cell r="M29">
            <v>1.1599999999999999</v>
          </cell>
          <cell r="N29">
            <v>20000126</v>
          </cell>
        </row>
        <row r="30">
          <cell r="A30" t="str">
            <v>PSD</v>
          </cell>
          <cell r="B30" t="str">
            <v>PSD</v>
          </cell>
          <cell r="C30" t="str">
            <v>PUGET SOUND ENGY</v>
          </cell>
          <cell r="D30">
            <v>19991216</v>
          </cell>
          <cell r="E30" t="str">
            <v>EPS</v>
          </cell>
          <cell r="F30" t="str">
            <v>ANN</v>
          </cell>
          <cell r="G30">
            <v>1</v>
          </cell>
          <cell r="H30">
            <v>9</v>
          </cell>
          <cell r="I30">
            <v>1.9</v>
          </cell>
          <cell r="J30">
            <v>1.89</v>
          </cell>
          <cell r="K30">
            <v>1</v>
          </cell>
          <cell r="L30">
            <v>19991231</v>
          </cell>
          <cell r="M30">
            <v>2.0099999999999998</v>
          </cell>
          <cell r="N30">
            <v>20000210</v>
          </cell>
        </row>
        <row r="31">
          <cell r="A31" t="str">
            <v>EIX</v>
          </cell>
          <cell r="B31" t="str">
            <v>SCE</v>
          </cell>
          <cell r="C31" t="str">
            <v>EDISON INTL</v>
          </cell>
          <cell r="D31">
            <v>19991216</v>
          </cell>
          <cell r="E31" t="str">
            <v>EPS</v>
          </cell>
          <cell r="F31" t="str">
            <v>ANN</v>
          </cell>
          <cell r="G31">
            <v>1</v>
          </cell>
          <cell r="H31">
            <v>21</v>
          </cell>
          <cell r="I31">
            <v>2</v>
          </cell>
          <cell r="J31">
            <v>2.0099999999999998</v>
          </cell>
          <cell r="K31">
            <v>1</v>
          </cell>
          <cell r="L31">
            <v>19991231</v>
          </cell>
          <cell r="M31">
            <v>2.04</v>
          </cell>
          <cell r="N31">
            <v>20000118</v>
          </cell>
        </row>
        <row r="32">
          <cell r="A32" t="str">
            <v>SCG</v>
          </cell>
          <cell r="B32" t="str">
            <v>SCG</v>
          </cell>
          <cell r="C32" t="str">
            <v>SCANA CP</v>
          </cell>
          <cell r="D32">
            <v>19991216</v>
          </cell>
          <cell r="E32" t="str">
            <v>EPS</v>
          </cell>
          <cell r="F32" t="str">
            <v>ANN</v>
          </cell>
          <cell r="G32">
            <v>1</v>
          </cell>
          <cell r="H32">
            <v>14</v>
          </cell>
          <cell r="I32">
            <v>1.56</v>
          </cell>
          <cell r="J32">
            <v>1.59</v>
          </cell>
          <cell r="K32">
            <v>1</v>
          </cell>
          <cell r="L32">
            <v>19991231</v>
          </cell>
          <cell r="M32">
            <v>1.39</v>
          </cell>
          <cell r="N32">
            <v>20000211</v>
          </cell>
        </row>
        <row r="33">
          <cell r="A33" t="str">
            <v>SRE</v>
          </cell>
          <cell r="B33" t="str">
            <v>SDO</v>
          </cell>
          <cell r="C33" t="str">
            <v>SEMPRA ENERGY</v>
          </cell>
          <cell r="D33">
            <v>19991216</v>
          </cell>
          <cell r="E33" t="str">
            <v>EPS</v>
          </cell>
          <cell r="F33" t="str">
            <v>ANN</v>
          </cell>
          <cell r="G33">
            <v>1</v>
          </cell>
          <cell r="H33">
            <v>16</v>
          </cell>
          <cell r="I33">
            <v>1.7</v>
          </cell>
          <cell r="J33">
            <v>1.71</v>
          </cell>
          <cell r="K33">
            <v>1</v>
          </cell>
          <cell r="L33">
            <v>19991231</v>
          </cell>
          <cell r="M33">
            <v>1.71</v>
          </cell>
          <cell r="N33">
            <v>20000126</v>
          </cell>
        </row>
        <row r="34">
          <cell r="A34" t="str">
            <v>SO</v>
          </cell>
          <cell r="B34" t="str">
            <v>SO</v>
          </cell>
          <cell r="C34" t="str">
            <v>SOUTHN CO</v>
          </cell>
          <cell r="D34">
            <v>19991216</v>
          </cell>
          <cell r="E34" t="str">
            <v>EPS</v>
          </cell>
          <cell r="F34" t="str">
            <v>ANN</v>
          </cell>
          <cell r="G34">
            <v>1</v>
          </cell>
          <cell r="H34">
            <v>29</v>
          </cell>
          <cell r="I34">
            <v>1.88</v>
          </cell>
          <cell r="J34">
            <v>1.88</v>
          </cell>
          <cell r="K34">
            <v>1</v>
          </cell>
          <cell r="L34">
            <v>19991231</v>
          </cell>
          <cell r="M34">
            <v>1.78</v>
          </cell>
          <cell r="N34">
            <v>20000120</v>
          </cell>
        </row>
        <row r="35">
          <cell r="A35" t="str">
            <v>TE</v>
          </cell>
          <cell r="B35" t="str">
            <v>TE</v>
          </cell>
          <cell r="C35" t="str">
            <v>TECO ENERGY INC</v>
          </cell>
          <cell r="D35">
            <v>19991216</v>
          </cell>
          <cell r="E35" t="str">
            <v>EPS</v>
          </cell>
          <cell r="F35" t="str">
            <v>ANN</v>
          </cell>
          <cell r="G35">
            <v>1</v>
          </cell>
          <cell r="H35">
            <v>20</v>
          </cell>
          <cell r="I35">
            <v>1.68</v>
          </cell>
          <cell r="J35">
            <v>1.67</v>
          </cell>
          <cell r="K35">
            <v>1</v>
          </cell>
          <cell r="L35">
            <v>19991231</v>
          </cell>
          <cell r="M35">
            <v>1.53</v>
          </cell>
          <cell r="N35">
            <v>20000120</v>
          </cell>
        </row>
        <row r="36">
          <cell r="A36" t="str">
            <v>AEE</v>
          </cell>
          <cell r="B36" t="str">
            <v>UEP</v>
          </cell>
          <cell r="C36" t="str">
            <v>AMEREN CP</v>
          </cell>
          <cell r="D36">
            <v>19991216</v>
          </cell>
          <cell r="E36" t="str">
            <v>EPS</v>
          </cell>
          <cell r="F36" t="str">
            <v>ANN</v>
          </cell>
          <cell r="G36">
            <v>1</v>
          </cell>
          <cell r="H36">
            <v>16</v>
          </cell>
          <cell r="I36">
            <v>2.98</v>
          </cell>
          <cell r="J36">
            <v>2.95</v>
          </cell>
          <cell r="K36">
            <v>1</v>
          </cell>
          <cell r="L36">
            <v>19991231</v>
          </cell>
          <cell r="M36">
            <v>2.91</v>
          </cell>
          <cell r="N36">
            <v>20000203</v>
          </cell>
        </row>
        <row r="37">
          <cell r="A37" t="str">
            <v>UIL</v>
          </cell>
          <cell r="B37" t="str">
            <v>UIL</v>
          </cell>
          <cell r="C37" t="str">
            <v>UTD ILLUM COO</v>
          </cell>
          <cell r="D37">
            <v>19991216</v>
          </cell>
          <cell r="E37" t="str">
            <v>EPS</v>
          </cell>
          <cell r="F37" t="str">
            <v>ANN</v>
          </cell>
          <cell r="G37">
            <v>1</v>
          </cell>
          <cell r="H37">
            <v>7</v>
          </cell>
          <cell r="I37">
            <v>2.16</v>
          </cell>
          <cell r="J37">
            <v>2.16</v>
          </cell>
          <cell r="K37">
            <v>1</v>
          </cell>
          <cell r="L37">
            <v>19991231</v>
          </cell>
          <cell r="M37">
            <v>2.202</v>
          </cell>
          <cell r="N37">
            <v>20000124</v>
          </cell>
        </row>
        <row r="38">
          <cell r="A38" t="str">
            <v>WEC</v>
          </cell>
          <cell r="B38" t="str">
            <v>WPC</v>
          </cell>
          <cell r="C38" t="str">
            <v>WISCONSIN ENERGY</v>
          </cell>
          <cell r="D38">
            <v>19991216</v>
          </cell>
          <cell r="E38" t="str">
            <v>EPS</v>
          </cell>
          <cell r="F38" t="str">
            <v>ANN</v>
          </cell>
          <cell r="G38">
            <v>1</v>
          </cell>
          <cell r="H38">
            <v>17</v>
          </cell>
          <cell r="I38">
            <v>0.97</v>
          </cell>
          <cell r="J38">
            <v>0.98</v>
          </cell>
          <cell r="K38">
            <v>1</v>
          </cell>
          <cell r="L38">
            <v>19991231</v>
          </cell>
          <cell r="M38">
            <v>0.94</v>
          </cell>
          <cell r="N38">
            <v>20000125</v>
          </cell>
        </row>
        <row r="39">
          <cell r="A39" t="str">
            <v>LNT</v>
          </cell>
          <cell r="B39" t="str">
            <v>WPL</v>
          </cell>
          <cell r="C39" t="str">
            <v>ALLIANT ENER</v>
          </cell>
          <cell r="D39">
            <v>19991216</v>
          </cell>
          <cell r="E39" t="str">
            <v>EPS</v>
          </cell>
          <cell r="F39" t="str">
            <v>ANN</v>
          </cell>
          <cell r="G39">
            <v>1</v>
          </cell>
          <cell r="H39">
            <v>6</v>
          </cell>
          <cell r="I39">
            <v>1.1100000000000001</v>
          </cell>
          <cell r="J39">
            <v>1.1000000000000001</v>
          </cell>
          <cell r="K39">
            <v>1</v>
          </cell>
          <cell r="L39">
            <v>19991231</v>
          </cell>
          <cell r="M39">
            <v>1.1200000000000001</v>
          </cell>
          <cell r="N39">
            <v>20000201</v>
          </cell>
        </row>
        <row r="40">
          <cell r="A40" t="str">
            <v>WPS</v>
          </cell>
          <cell r="B40" t="str">
            <v>WPS</v>
          </cell>
          <cell r="C40" t="str">
            <v>WPS RESOURCES CP</v>
          </cell>
          <cell r="D40">
            <v>19991216</v>
          </cell>
          <cell r="E40" t="str">
            <v>EPS</v>
          </cell>
          <cell r="F40" t="str">
            <v>ANN</v>
          </cell>
          <cell r="G40">
            <v>1</v>
          </cell>
          <cell r="H40">
            <v>7</v>
          </cell>
          <cell r="I40">
            <v>2.25</v>
          </cell>
          <cell r="J40">
            <v>2.2799999999999998</v>
          </cell>
          <cell r="K40">
            <v>1</v>
          </cell>
          <cell r="L40">
            <v>19991231</v>
          </cell>
          <cell r="M40">
            <v>2.2400000000000002</v>
          </cell>
          <cell r="N40">
            <v>20000128</v>
          </cell>
        </row>
        <row r="41">
          <cell r="A41" t="str">
            <v>AVA</v>
          </cell>
          <cell r="B41" t="str">
            <v>WWP</v>
          </cell>
          <cell r="C41" t="str">
            <v>AVISTA CORP</v>
          </cell>
          <cell r="D41">
            <v>19991216</v>
          </cell>
          <cell r="E41" t="str">
            <v>EPS</v>
          </cell>
          <cell r="F41" t="str">
            <v>ANN</v>
          </cell>
          <cell r="G41">
            <v>1</v>
          </cell>
          <cell r="H41">
            <v>8</v>
          </cell>
          <cell r="I41">
            <v>1.1000000000000001</v>
          </cell>
          <cell r="J41">
            <v>1.07</v>
          </cell>
          <cell r="K41">
            <v>1</v>
          </cell>
          <cell r="L41">
            <v>19991231</v>
          </cell>
          <cell r="M41">
            <v>1.01</v>
          </cell>
          <cell r="N41">
            <v>20000127</v>
          </cell>
        </row>
        <row r="42">
          <cell r="A42" t="str">
            <v>DPL</v>
          </cell>
          <cell r="B42" t="str">
            <v>@3DK</v>
          </cell>
          <cell r="C42" t="str">
            <v>DANKOTUWA PORC.</v>
          </cell>
          <cell r="D42">
            <v>19991216</v>
          </cell>
          <cell r="E42" t="str">
            <v>EPS</v>
          </cell>
          <cell r="F42" t="str">
            <v>ANN</v>
          </cell>
          <cell r="G42">
            <v>1</v>
          </cell>
          <cell r="H42">
            <v>1</v>
          </cell>
          <cell r="I42">
            <v>2.5</v>
          </cell>
          <cell r="J42">
            <v>2.5</v>
          </cell>
          <cell r="K42">
            <v>0</v>
          </cell>
          <cell r="L42">
            <v>19981231</v>
          </cell>
          <cell r="M42">
            <v>2.5024999999999999</v>
          </cell>
          <cell r="N42">
            <v>20000225</v>
          </cell>
        </row>
        <row r="43">
          <cell r="A43" t="str">
            <v>AGR</v>
          </cell>
          <cell r="B43" t="str">
            <v>@5CD</v>
          </cell>
          <cell r="C43" t="str">
            <v>A M MOOLLA GROUP</v>
          </cell>
          <cell r="D43">
            <v>19991216</v>
          </cell>
          <cell r="E43" t="str">
            <v>EPS</v>
          </cell>
          <cell r="F43" t="str">
            <v>ANN</v>
          </cell>
          <cell r="G43">
            <v>1</v>
          </cell>
          <cell r="H43">
            <v>1</v>
          </cell>
          <cell r="I43">
            <v>3.16</v>
          </cell>
          <cell r="J43">
            <v>3.16</v>
          </cell>
          <cell r="K43">
            <v>0</v>
          </cell>
          <cell r="L43">
            <v>20000229</v>
          </cell>
        </row>
        <row r="44">
          <cell r="A44" t="str">
            <v>AGR</v>
          </cell>
          <cell r="B44" t="str">
            <v>@A7S</v>
          </cell>
          <cell r="C44" t="str">
            <v>AGROB ST</v>
          </cell>
          <cell r="D44">
            <v>19991216</v>
          </cell>
          <cell r="E44" t="str">
            <v>EPS</v>
          </cell>
          <cell r="F44" t="str">
            <v>ANN</v>
          </cell>
          <cell r="G44">
            <v>1</v>
          </cell>
          <cell r="H44">
            <v>1</v>
          </cell>
          <cell r="I44">
            <v>0.1</v>
          </cell>
          <cell r="J44">
            <v>0.1</v>
          </cell>
          <cell r="K44">
            <v>0</v>
          </cell>
          <cell r="L44">
            <v>19991231</v>
          </cell>
          <cell r="M44">
            <v>1.4999999999999999E-2</v>
          </cell>
          <cell r="N44">
            <v>20031027</v>
          </cell>
        </row>
        <row r="45">
          <cell r="A45" t="str">
            <v>AGR</v>
          </cell>
          <cell r="B45" t="str">
            <v>@AG6</v>
          </cell>
          <cell r="C45" t="str">
            <v>AGRESSO GROUP</v>
          </cell>
          <cell r="D45">
            <v>19991216</v>
          </cell>
          <cell r="E45" t="str">
            <v>EPS</v>
          </cell>
          <cell r="F45" t="str">
            <v>ANN</v>
          </cell>
          <cell r="G45">
            <v>1</v>
          </cell>
          <cell r="H45">
            <v>3</v>
          </cell>
          <cell r="I45">
            <v>-1.2</v>
          </cell>
          <cell r="J45">
            <v>-1.3</v>
          </cell>
          <cell r="K45">
            <v>0</v>
          </cell>
          <cell r="L45">
            <v>19991231</v>
          </cell>
          <cell r="M45">
            <v>-1.86</v>
          </cell>
          <cell r="N45">
            <v>20000203</v>
          </cell>
        </row>
        <row r="46">
          <cell r="A46" t="str">
            <v>AGR</v>
          </cell>
          <cell r="B46" t="str">
            <v>@AGM</v>
          </cell>
          <cell r="C46" t="str">
            <v>AGROMAN</v>
          </cell>
          <cell r="D46">
            <v>19991216</v>
          </cell>
          <cell r="E46" t="str">
            <v>EPS</v>
          </cell>
          <cell r="F46" t="str">
            <v>ANN</v>
          </cell>
          <cell r="G46">
            <v>1</v>
          </cell>
          <cell r="H46">
            <v>7</v>
          </cell>
          <cell r="I46">
            <v>0.35</v>
          </cell>
          <cell r="J46">
            <v>0.36</v>
          </cell>
          <cell r="K46">
            <v>0</v>
          </cell>
          <cell r="L46">
            <v>19991231</v>
          </cell>
          <cell r="M46">
            <v>0.4</v>
          </cell>
          <cell r="N46">
            <v>20000413</v>
          </cell>
        </row>
        <row r="47">
          <cell r="A47" t="str">
            <v>AVA</v>
          </cell>
          <cell r="B47" t="str">
            <v>@AHV</v>
          </cell>
          <cell r="C47" t="str">
            <v>AVA</v>
          </cell>
          <cell r="D47">
            <v>19991216</v>
          </cell>
          <cell r="E47" t="str">
            <v>EPS</v>
          </cell>
          <cell r="F47" t="str">
            <v>ANN</v>
          </cell>
          <cell r="G47">
            <v>1</v>
          </cell>
          <cell r="H47">
            <v>23</v>
          </cell>
          <cell r="I47">
            <v>1.2</v>
          </cell>
          <cell r="J47">
            <v>1.2</v>
          </cell>
          <cell r="K47">
            <v>0</v>
          </cell>
          <cell r="L47">
            <v>19991231</v>
          </cell>
          <cell r="M47">
            <v>1.5009999999999999</v>
          </cell>
          <cell r="N47">
            <v>20000718</v>
          </cell>
        </row>
        <row r="48">
          <cell r="A48" t="str">
            <v>CNP</v>
          </cell>
          <cell r="B48" t="str">
            <v>@C3I</v>
          </cell>
          <cell r="C48" t="str">
            <v>CRITERION PROP</v>
          </cell>
          <cell r="D48">
            <v>19991216</v>
          </cell>
          <cell r="E48" t="str">
            <v>EPS</v>
          </cell>
          <cell r="F48" t="str">
            <v>ANN</v>
          </cell>
          <cell r="G48">
            <v>1</v>
          </cell>
          <cell r="H48">
            <v>1</v>
          </cell>
          <cell r="I48">
            <v>13.7</v>
          </cell>
          <cell r="J48">
            <v>13.7</v>
          </cell>
          <cell r="K48">
            <v>0</v>
          </cell>
          <cell r="L48">
            <v>20000331</v>
          </cell>
        </row>
        <row r="49">
          <cell r="A49" t="str">
            <v>CNP</v>
          </cell>
          <cell r="B49" t="str">
            <v>@CN0</v>
          </cell>
          <cell r="C49" t="str">
            <v>CNP ASSURANCES</v>
          </cell>
          <cell r="D49">
            <v>19991216</v>
          </cell>
          <cell r="E49" t="str">
            <v>EPS</v>
          </cell>
          <cell r="F49" t="str">
            <v>ANN</v>
          </cell>
          <cell r="G49">
            <v>1</v>
          </cell>
          <cell r="H49">
            <v>15</v>
          </cell>
          <cell r="I49">
            <v>0.56999999999999995</v>
          </cell>
          <cell r="J49">
            <v>0.56000000000000005</v>
          </cell>
          <cell r="K49">
            <v>0</v>
          </cell>
          <cell r="L49">
            <v>19991231</v>
          </cell>
          <cell r="M49">
            <v>0.62690000000000001</v>
          </cell>
          <cell r="N49">
            <v>20000407</v>
          </cell>
        </row>
        <row r="50">
          <cell r="A50" t="str">
            <v>CIN</v>
          </cell>
          <cell r="B50" t="str">
            <v>@CUW</v>
          </cell>
          <cell r="C50" t="str">
            <v>CITY OF LOND PR</v>
          </cell>
          <cell r="D50">
            <v>19991216</v>
          </cell>
          <cell r="E50" t="str">
            <v>EPS</v>
          </cell>
          <cell r="F50" t="str">
            <v>ANN</v>
          </cell>
          <cell r="G50">
            <v>1</v>
          </cell>
          <cell r="H50">
            <v>1</v>
          </cell>
          <cell r="I50">
            <v>154.01</v>
          </cell>
          <cell r="J50">
            <v>154.01</v>
          </cell>
          <cell r="K50">
            <v>0</v>
          </cell>
          <cell r="L50">
            <v>20000331</v>
          </cell>
          <cell r="M50">
            <v>156.15289999999999</v>
          </cell>
          <cell r="N50">
            <v>20000530</v>
          </cell>
        </row>
        <row r="51">
          <cell r="A51" t="str">
            <v>D</v>
          </cell>
          <cell r="B51" t="str">
            <v>@DLM</v>
          </cell>
          <cell r="C51" t="str">
            <v>DALMINE</v>
          </cell>
          <cell r="D51">
            <v>19991216</v>
          </cell>
          <cell r="E51" t="str">
            <v>EPS</v>
          </cell>
          <cell r="F51" t="str">
            <v>ANN</v>
          </cell>
          <cell r="G51">
            <v>1</v>
          </cell>
          <cell r="H51">
            <v>7</v>
          </cell>
          <cell r="I51">
            <v>0.02</v>
          </cell>
          <cell r="J51">
            <v>0.01</v>
          </cell>
          <cell r="K51">
            <v>0</v>
          </cell>
          <cell r="L51">
            <v>19991231</v>
          </cell>
          <cell r="M51">
            <v>-0.02</v>
          </cell>
          <cell r="N51">
            <v>20000322</v>
          </cell>
        </row>
        <row r="52">
          <cell r="A52" t="str">
            <v>DTE</v>
          </cell>
          <cell r="B52" t="str">
            <v>@DT</v>
          </cell>
          <cell r="C52" t="str">
            <v>DEUTSCHE TELEKOM</v>
          </cell>
          <cell r="D52">
            <v>19991216</v>
          </cell>
          <cell r="E52" t="str">
            <v>EPS</v>
          </cell>
          <cell r="F52" t="str">
            <v>ANN</v>
          </cell>
          <cell r="G52">
            <v>1</v>
          </cell>
          <cell r="H52">
            <v>42</v>
          </cell>
          <cell r="I52">
            <v>0.67</v>
          </cell>
          <cell r="J52">
            <v>0.65</v>
          </cell>
          <cell r="K52">
            <v>0</v>
          </cell>
          <cell r="L52">
            <v>19991231</v>
          </cell>
          <cell r="M52">
            <v>0.4</v>
          </cell>
          <cell r="N52">
            <v>20000523</v>
          </cell>
        </row>
        <row r="53">
          <cell r="A53" t="str">
            <v>EXC</v>
          </cell>
          <cell r="B53" t="str">
            <v>@ECH</v>
          </cell>
          <cell r="C53" t="str">
            <v>EX-CELL-O-HLDG</v>
          </cell>
          <cell r="D53">
            <v>19991216</v>
          </cell>
          <cell r="E53" t="str">
            <v>EPS</v>
          </cell>
          <cell r="F53" t="str">
            <v>ANN</v>
          </cell>
          <cell r="G53">
            <v>1</v>
          </cell>
          <cell r="H53">
            <v>1</v>
          </cell>
          <cell r="I53">
            <v>5.75</v>
          </cell>
          <cell r="J53">
            <v>5.75</v>
          </cell>
          <cell r="K53">
            <v>0</v>
          </cell>
          <cell r="L53">
            <v>19991231</v>
          </cell>
          <cell r="M53">
            <v>4.97</v>
          </cell>
          <cell r="N53">
            <v>20000505</v>
          </cell>
        </row>
        <row r="54">
          <cell r="A54" t="str">
            <v>DUK</v>
          </cell>
          <cell r="B54" t="str">
            <v>@IKR</v>
          </cell>
          <cell r="C54" t="str">
            <v>DUIKER MINING</v>
          </cell>
          <cell r="D54">
            <v>19991216</v>
          </cell>
          <cell r="E54" t="str">
            <v>EPS</v>
          </cell>
          <cell r="F54" t="str">
            <v>ANN</v>
          </cell>
          <cell r="G54">
            <v>1</v>
          </cell>
          <cell r="H54">
            <v>10</v>
          </cell>
          <cell r="I54">
            <v>0.55000000000000004</v>
          </cell>
          <cell r="J54">
            <v>0.56999999999999995</v>
          </cell>
          <cell r="K54">
            <v>0</v>
          </cell>
          <cell r="L54">
            <v>19990930</v>
          </cell>
          <cell r="M54">
            <v>0.53800000000000003</v>
          </cell>
          <cell r="N54">
            <v>20000106</v>
          </cell>
        </row>
        <row r="55">
          <cell r="A55" t="str">
            <v>ETR</v>
          </cell>
          <cell r="B55" t="str">
            <v>@NPD</v>
          </cell>
          <cell r="C55" t="str">
            <v>ETRADE AUSTRALIA</v>
          </cell>
          <cell r="D55">
            <v>19991216</v>
          </cell>
          <cell r="E55" t="str">
            <v>EPS</v>
          </cell>
          <cell r="F55" t="str">
            <v>ANN</v>
          </cell>
          <cell r="G55">
            <v>1</v>
          </cell>
          <cell r="H55">
            <v>3</v>
          </cell>
          <cell r="I55">
            <v>-3.3000000000000002E-2</v>
          </cell>
          <cell r="J55">
            <v>-3.5000000000000003E-2</v>
          </cell>
          <cell r="K55">
            <v>0</v>
          </cell>
          <cell r="L55">
            <v>20000630</v>
          </cell>
          <cell r="M55">
            <v>-0.19839999999999999</v>
          </cell>
          <cell r="N55">
            <v>20000904</v>
          </cell>
        </row>
        <row r="56">
          <cell r="A56" t="str">
            <v>NST</v>
          </cell>
          <cell r="B56" t="str">
            <v>@NST</v>
          </cell>
          <cell r="C56" t="str">
            <v>N. S. TIMES</v>
          </cell>
          <cell r="D56">
            <v>19991216</v>
          </cell>
          <cell r="E56" t="str">
            <v>EPS</v>
          </cell>
          <cell r="F56" t="str">
            <v>ANN</v>
          </cell>
          <cell r="G56">
            <v>1</v>
          </cell>
          <cell r="H56">
            <v>23</v>
          </cell>
          <cell r="I56">
            <v>0.223</v>
          </cell>
          <cell r="J56">
            <v>1.0229999999999999</v>
          </cell>
          <cell r="K56">
            <v>0</v>
          </cell>
          <cell r="L56">
            <v>20000831</v>
          </cell>
          <cell r="M56">
            <v>7.2999999999999995E-2</v>
          </cell>
          <cell r="N56">
            <v>20001101</v>
          </cell>
        </row>
        <row r="57">
          <cell r="A57" t="str">
            <v>NST</v>
          </cell>
          <cell r="B57" t="str">
            <v>@NSZ</v>
          </cell>
          <cell r="C57" t="str">
            <v>NORDDEUTSCHE STE</v>
          </cell>
          <cell r="D57">
            <v>19991216</v>
          </cell>
          <cell r="E57" t="str">
            <v>EPS</v>
          </cell>
          <cell r="F57" t="str">
            <v>ANN</v>
          </cell>
          <cell r="G57">
            <v>1</v>
          </cell>
          <cell r="H57">
            <v>1</v>
          </cell>
          <cell r="I57">
            <v>0.5</v>
          </cell>
          <cell r="J57">
            <v>0.5</v>
          </cell>
          <cell r="K57">
            <v>0</v>
          </cell>
          <cell r="L57">
            <v>19991231</v>
          </cell>
        </row>
        <row r="58">
          <cell r="A58" t="str">
            <v>POM</v>
          </cell>
          <cell r="B58" t="str">
            <v>@PO8</v>
          </cell>
          <cell r="C58" t="str">
            <v>PLASTIC OMNIUM</v>
          </cell>
          <cell r="D58">
            <v>19991216</v>
          </cell>
          <cell r="E58" t="str">
            <v>EPS</v>
          </cell>
          <cell r="F58" t="str">
            <v>ANN</v>
          </cell>
          <cell r="G58">
            <v>1</v>
          </cell>
          <cell r="H58">
            <v>11</v>
          </cell>
          <cell r="I58">
            <v>0.14000000000000001</v>
          </cell>
          <cell r="J58">
            <v>0.15</v>
          </cell>
          <cell r="K58">
            <v>0</v>
          </cell>
          <cell r="L58">
            <v>19991231</v>
          </cell>
          <cell r="M58">
            <v>0.18129999999999999</v>
          </cell>
          <cell r="N58">
            <v>20000322</v>
          </cell>
        </row>
        <row r="59">
          <cell r="A59" t="str">
            <v>PSD</v>
          </cell>
          <cell r="B59" t="str">
            <v>@PS8</v>
          </cell>
          <cell r="C59" t="str">
            <v>PSD GROUP</v>
          </cell>
          <cell r="D59">
            <v>19991216</v>
          </cell>
          <cell r="E59" t="str">
            <v>EPS</v>
          </cell>
          <cell r="F59" t="str">
            <v>ANN</v>
          </cell>
          <cell r="G59">
            <v>1</v>
          </cell>
          <cell r="H59">
            <v>4</v>
          </cell>
          <cell r="I59">
            <v>41.6</v>
          </cell>
          <cell r="J59">
            <v>41.74</v>
          </cell>
          <cell r="K59">
            <v>0</v>
          </cell>
          <cell r="L59">
            <v>19991231</v>
          </cell>
          <cell r="M59">
            <v>47.7</v>
          </cell>
          <cell r="N59">
            <v>20000427</v>
          </cell>
        </row>
        <row r="60">
          <cell r="A60" t="str">
            <v>SCG</v>
          </cell>
          <cell r="B60" t="str">
            <v>@RRA</v>
          </cell>
          <cell r="C60" t="str">
            <v>SCHARRIGHUISEN</v>
          </cell>
          <cell r="D60">
            <v>19991216</v>
          </cell>
          <cell r="E60" t="str">
            <v>EPS</v>
          </cell>
          <cell r="F60" t="str">
            <v>ANN</v>
          </cell>
          <cell r="G60">
            <v>1</v>
          </cell>
          <cell r="H60">
            <v>1</v>
          </cell>
          <cell r="I60">
            <v>0.34</v>
          </cell>
          <cell r="J60">
            <v>0.34</v>
          </cell>
          <cell r="K60">
            <v>0</v>
          </cell>
          <cell r="L60">
            <v>20000331</v>
          </cell>
        </row>
        <row r="61">
          <cell r="A61" t="str">
            <v>SO</v>
          </cell>
          <cell r="B61" t="str">
            <v>@SOM</v>
          </cell>
          <cell r="C61" t="str">
            <v>SOMMER-ALLIBERT</v>
          </cell>
          <cell r="D61">
            <v>19991216</v>
          </cell>
          <cell r="E61" t="str">
            <v>EPS</v>
          </cell>
          <cell r="F61" t="str">
            <v>ANN</v>
          </cell>
          <cell r="G61">
            <v>1</v>
          </cell>
          <cell r="H61">
            <v>8</v>
          </cell>
          <cell r="I61">
            <v>1.93</v>
          </cell>
          <cell r="J61">
            <v>2.02</v>
          </cell>
          <cell r="K61">
            <v>0</v>
          </cell>
          <cell r="L61">
            <v>19991231</v>
          </cell>
          <cell r="M61">
            <v>2.12</v>
          </cell>
          <cell r="N61">
            <v>20000407</v>
          </cell>
        </row>
        <row r="62">
          <cell r="A62" t="str">
            <v>AVA</v>
          </cell>
          <cell r="B62" t="str">
            <v>@VX</v>
          </cell>
          <cell r="C62" t="str">
            <v>AVALIX</v>
          </cell>
          <cell r="D62">
            <v>19991216</v>
          </cell>
          <cell r="E62" t="str">
            <v>EPS</v>
          </cell>
          <cell r="F62" t="str">
            <v>ANN</v>
          </cell>
          <cell r="G62">
            <v>1</v>
          </cell>
          <cell r="H62">
            <v>4</v>
          </cell>
          <cell r="I62">
            <v>0.39</v>
          </cell>
          <cell r="J62">
            <v>0.42</v>
          </cell>
          <cell r="K62">
            <v>0</v>
          </cell>
          <cell r="L62">
            <v>19991231</v>
          </cell>
          <cell r="M62">
            <v>0.39</v>
          </cell>
          <cell r="N62">
            <v>20000229</v>
          </cell>
        </row>
        <row r="63">
          <cell r="A63" t="str">
            <v>EXC</v>
          </cell>
          <cell r="B63" t="str">
            <v>@XEH</v>
          </cell>
          <cell r="C63" t="str">
            <v>EXCHANGE HOLDING</v>
          </cell>
          <cell r="D63">
            <v>19991216</v>
          </cell>
          <cell r="E63" t="str">
            <v>EPS</v>
          </cell>
          <cell r="F63" t="str">
            <v>ANN</v>
          </cell>
          <cell r="G63">
            <v>1</v>
          </cell>
          <cell r="H63">
            <v>1</v>
          </cell>
          <cell r="I63">
            <v>-6.99</v>
          </cell>
          <cell r="J63">
            <v>-6.99</v>
          </cell>
          <cell r="K63">
            <v>0</v>
          </cell>
          <cell r="L63">
            <v>19991231</v>
          </cell>
          <cell r="M63">
            <v>-6.98</v>
          </cell>
          <cell r="N63">
            <v>20000228</v>
          </cell>
        </row>
        <row r="64">
          <cell r="A64" t="str">
            <v>CIN</v>
          </cell>
          <cell r="B64" t="str">
            <v>@YYN</v>
          </cell>
          <cell r="C64" t="str">
            <v>CIN</v>
          </cell>
          <cell r="D64">
            <v>19991216</v>
          </cell>
          <cell r="E64" t="str">
            <v>EPS</v>
          </cell>
          <cell r="F64" t="str">
            <v>ANN</v>
          </cell>
          <cell r="G64">
            <v>1</v>
          </cell>
          <cell r="H64">
            <v>10</v>
          </cell>
          <cell r="I64">
            <v>0.44</v>
          </cell>
          <cell r="J64">
            <v>0.46</v>
          </cell>
          <cell r="K64">
            <v>0</v>
          </cell>
          <cell r="L64">
            <v>19991231</v>
          </cell>
          <cell r="M64">
            <v>0.39</v>
          </cell>
          <cell r="N64">
            <v>20000714</v>
          </cell>
        </row>
        <row r="65">
          <cell r="A65" t="str">
            <v>AVA</v>
          </cell>
          <cell r="B65" t="str">
            <v>@ZAV</v>
          </cell>
          <cell r="C65" t="str">
            <v>AVANTOR</v>
          </cell>
          <cell r="D65">
            <v>19991216</v>
          </cell>
          <cell r="E65" t="str">
            <v>EPS</v>
          </cell>
          <cell r="F65" t="str">
            <v>ANN</v>
          </cell>
          <cell r="G65">
            <v>1</v>
          </cell>
          <cell r="H65">
            <v>5</v>
          </cell>
          <cell r="I65">
            <v>1.7</v>
          </cell>
          <cell r="J65">
            <v>1.71</v>
          </cell>
          <cell r="K65">
            <v>0</v>
          </cell>
          <cell r="L65">
            <v>19991231</v>
          </cell>
          <cell r="M65">
            <v>-1.89</v>
          </cell>
          <cell r="N65">
            <v>20000210</v>
          </cell>
        </row>
        <row r="66">
          <cell r="A66" t="str">
            <v>AGR</v>
          </cell>
          <cell r="B66" t="str">
            <v>AGR1</v>
          </cell>
          <cell r="C66" t="str">
            <v>AGRA INC</v>
          </cell>
          <cell r="D66">
            <v>19991216</v>
          </cell>
          <cell r="E66" t="str">
            <v>EPS</v>
          </cell>
          <cell r="F66" t="str">
            <v>ANN</v>
          </cell>
          <cell r="G66">
            <v>1</v>
          </cell>
          <cell r="H66">
            <v>6</v>
          </cell>
          <cell r="I66">
            <v>1.24</v>
          </cell>
          <cell r="J66">
            <v>1.26</v>
          </cell>
          <cell r="K66">
            <v>0</v>
          </cell>
          <cell r="L66">
            <v>20000731</v>
          </cell>
        </row>
        <row r="67">
          <cell r="A67" t="str">
            <v>ALE</v>
          </cell>
          <cell r="B67" t="str">
            <v>ALE1</v>
          </cell>
          <cell r="C67" t="str">
            <v>SLEEMAN BREWS</v>
          </cell>
          <cell r="D67">
            <v>19991216</v>
          </cell>
          <cell r="E67" t="str">
            <v>EPS</v>
          </cell>
          <cell r="F67" t="str">
            <v>ANN</v>
          </cell>
          <cell r="G67">
            <v>1</v>
          </cell>
          <cell r="H67">
            <v>8</v>
          </cell>
          <cell r="I67">
            <v>0.47</v>
          </cell>
          <cell r="J67">
            <v>0.48</v>
          </cell>
          <cell r="K67">
            <v>0</v>
          </cell>
          <cell r="L67">
            <v>19991231</v>
          </cell>
          <cell r="M67">
            <v>0.46</v>
          </cell>
          <cell r="N67">
            <v>20000307</v>
          </cell>
        </row>
        <row r="68">
          <cell r="A68" t="str">
            <v>CMS</v>
          </cell>
          <cell r="B68" t="str">
            <v>CMS1</v>
          </cell>
          <cell r="C68" t="str">
            <v>C-MAC</v>
          </cell>
          <cell r="D68">
            <v>19991216</v>
          </cell>
          <cell r="E68" t="str">
            <v>EPS</v>
          </cell>
          <cell r="F68" t="str">
            <v>ANN</v>
          </cell>
          <cell r="G68">
            <v>1</v>
          </cell>
          <cell r="H68">
            <v>7</v>
          </cell>
          <cell r="I68">
            <v>0.68</v>
          </cell>
          <cell r="J68">
            <v>0.7</v>
          </cell>
          <cell r="K68">
            <v>0</v>
          </cell>
          <cell r="L68">
            <v>19991231</v>
          </cell>
          <cell r="M68">
            <v>0.77500000000000002</v>
          </cell>
          <cell r="N68">
            <v>20000204</v>
          </cell>
        </row>
        <row r="69">
          <cell r="A69" t="str">
            <v>D</v>
          </cell>
          <cell r="B69" t="str">
            <v>D2</v>
          </cell>
          <cell r="C69" t="str">
            <v>DUNDEE REALTY CP</v>
          </cell>
          <cell r="D69">
            <v>19991216</v>
          </cell>
          <cell r="E69" t="str">
            <v>EPS</v>
          </cell>
          <cell r="F69" t="str">
            <v>ANN</v>
          </cell>
          <cell r="G69">
            <v>1</v>
          </cell>
          <cell r="H69">
            <v>2</v>
          </cell>
          <cell r="I69">
            <v>1.32</v>
          </cell>
          <cell r="J69">
            <v>1.32</v>
          </cell>
          <cell r="K69">
            <v>0</v>
          </cell>
          <cell r="L69">
            <v>19991231</v>
          </cell>
          <cell r="M69">
            <v>-0.24</v>
          </cell>
          <cell r="N69">
            <v>20000324</v>
          </cell>
        </row>
        <row r="70">
          <cell r="A70" t="str">
            <v>FPL</v>
          </cell>
          <cell r="B70" t="str">
            <v>FPI1</v>
          </cell>
          <cell r="C70" t="str">
            <v>FPI LTD</v>
          </cell>
          <cell r="D70">
            <v>19991216</v>
          </cell>
          <cell r="E70" t="str">
            <v>EPS</v>
          </cell>
          <cell r="F70" t="str">
            <v>ANN</v>
          </cell>
          <cell r="G70">
            <v>1</v>
          </cell>
          <cell r="H70">
            <v>1</v>
          </cell>
          <cell r="I70">
            <v>0.66</v>
          </cell>
          <cell r="J70">
            <v>0.66</v>
          </cell>
          <cell r="K70">
            <v>0</v>
          </cell>
          <cell r="L70">
            <v>19991231</v>
          </cell>
          <cell r="M70">
            <v>0.66</v>
          </cell>
          <cell r="N70">
            <v>20000222</v>
          </cell>
        </row>
        <row r="71">
          <cell r="A71" t="str">
            <v>NU</v>
          </cell>
          <cell r="B71" t="str">
            <v>NU1</v>
          </cell>
          <cell r="C71" t="str">
            <v>NU-GRO CORP</v>
          </cell>
          <cell r="D71">
            <v>19991216</v>
          </cell>
          <cell r="E71" t="str">
            <v>EPS</v>
          </cell>
          <cell r="F71" t="str">
            <v>ANN</v>
          </cell>
          <cell r="G71">
            <v>1</v>
          </cell>
          <cell r="H71">
            <v>3</v>
          </cell>
          <cell r="I71">
            <v>0.77</v>
          </cell>
          <cell r="J71">
            <v>0.77</v>
          </cell>
          <cell r="K71">
            <v>0</v>
          </cell>
          <cell r="L71">
            <v>20000930</v>
          </cell>
          <cell r="M71">
            <v>0.78</v>
          </cell>
          <cell r="N71">
            <v>20001115</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gkc8bf4suny5q4w"/>
    </sheetNames>
    <sheetDataSet>
      <sheetData sheetId="0">
        <row r="2">
          <cell r="B2" t="str">
            <v>CPK</v>
          </cell>
          <cell r="C2" t="str">
            <v>CHESAPEAKE US</v>
          </cell>
          <cell r="D2">
            <v>44182</v>
          </cell>
          <cell r="E2" t="str">
            <v>EPS</v>
          </cell>
          <cell r="F2" t="str">
            <v>ANN</v>
          </cell>
          <cell r="G2" t="str">
            <v>1</v>
          </cell>
          <cell r="H2">
            <v>6</v>
          </cell>
          <cell r="I2">
            <v>4.08</v>
          </cell>
          <cell r="J2">
            <v>4.0999999999999996</v>
          </cell>
          <cell r="K2">
            <v>0.05</v>
          </cell>
          <cell r="L2">
            <v>44196</v>
          </cell>
          <cell r="M2">
            <v>4.21</v>
          </cell>
          <cell r="N2">
            <v>44251</v>
          </cell>
        </row>
        <row r="3">
          <cell r="B3" t="str">
            <v>ATO</v>
          </cell>
          <cell r="C3" t="str">
            <v>ATMOS ENERGY CP</v>
          </cell>
          <cell r="D3">
            <v>44182</v>
          </cell>
          <cell r="E3" t="str">
            <v>EPS</v>
          </cell>
          <cell r="F3" t="str">
            <v>ANN</v>
          </cell>
          <cell r="G3" t="str">
            <v>1</v>
          </cell>
          <cell r="H3">
            <v>10</v>
          </cell>
          <cell r="I3">
            <v>5.03</v>
          </cell>
          <cell r="J3">
            <v>5.04</v>
          </cell>
          <cell r="K3">
            <v>0.03</v>
          </cell>
          <cell r="L3">
            <v>44469</v>
          </cell>
          <cell r="M3">
            <v>5.13</v>
          </cell>
        </row>
        <row r="4">
          <cell r="B4" t="str">
            <v>SR</v>
          </cell>
          <cell r="C4" t="str">
            <v>SPIRE INC</v>
          </cell>
          <cell r="D4">
            <v>44182</v>
          </cell>
          <cell r="E4" t="str">
            <v>EPS</v>
          </cell>
          <cell r="F4" t="str">
            <v>ANN</v>
          </cell>
          <cell r="G4" t="str">
            <v>1</v>
          </cell>
          <cell r="H4">
            <v>9</v>
          </cell>
          <cell r="I4">
            <v>4.09</v>
          </cell>
          <cell r="J4">
            <v>4.08</v>
          </cell>
          <cell r="K4">
            <v>0.03</v>
          </cell>
          <cell r="L4">
            <v>44469</v>
          </cell>
          <cell r="M4">
            <v>1.85</v>
          </cell>
        </row>
        <row r="5">
          <cell r="B5" t="str">
            <v>NI</v>
          </cell>
          <cell r="C5" t="str">
            <v>NISOURCE</v>
          </cell>
          <cell r="D5">
            <v>44182</v>
          </cell>
          <cell r="E5" t="str">
            <v>EPS</v>
          </cell>
          <cell r="F5" t="str">
            <v>ANN</v>
          </cell>
          <cell r="G5" t="str">
            <v>1</v>
          </cell>
          <cell r="H5">
            <v>15</v>
          </cell>
          <cell r="I5">
            <v>1.3</v>
          </cell>
          <cell r="J5">
            <v>1.3</v>
          </cell>
          <cell r="K5">
            <v>0.03</v>
          </cell>
          <cell r="L5">
            <v>44196</v>
          </cell>
          <cell r="M5">
            <v>1.32</v>
          </cell>
          <cell r="N5">
            <v>44244</v>
          </cell>
        </row>
        <row r="6">
          <cell r="B6" t="str">
            <v>NJR</v>
          </cell>
          <cell r="C6" t="str">
            <v>NEW JERSEY RES</v>
          </cell>
          <cell r="D6">
            <v>44182</v>
          </cell>
          <cell r="E6" t="str">
            <v>EPS</v>
          </cell>
          <cell r="F6" t="str">
            <v>ANN</v>
          </cell>
          <cell r="G6" t="str">
            <v>1</v>
          </cell>
          <cell r="H6">
            <v>5</v>
          </cell>
          <cell r="I6">
            <v>1.6</v>
          </cell>
          <cell r="J6">
            <v>1.6</v>
          </cell>
          <cell r="K6">
            <v>0.02</v>
          </cell>
          <cell r="L6">
            <v>44469</v>
          </cell>
          <cell r="M6">
            <v>2.06</v>
          </cell>
        </row>
        <row r="7">
          <cell r="B7" t="str">
            <v>NWN</v>
          </cell>
          <cell r="C7" t="str">
            <v>NORTHWEST NATRL</v>
          </cell>
          <cell r="D7">
            <v>44182</v>
          </cell>
          <cell r="E7" t="str">
            <v>EPS</v>
          </cell>
          <cell r="F7" t="str">
            <v>ANN</v>
          </cell>
          <cell r="G7" t="str">
            <v>1</v>
          </cell>
          <cell r="H7">
            <v>8</v>
          </cell>
          <cell r="I7">
            <v>2.27</v>
          </cell>
          <cell r="J7">
            <v>2.27</v>
          </cell>
          <cell r="K7">
            <v>0.02</v>
          </cell>
          <cell r="L7">
            <v>44196</v>
          </cell>
          <cell r="M7">
            <v>2.5099999999999998</v>
          </cell>
          <cell r="N7">
            <v>44253</v>
          </cell>
        </row>
        <row r="8">
          <cell r="B8" t="str">
            <v>OGS</v>
          </cell>
          <cell r="C8" t="str">
            <v>ONE GAS INC</v>
          </cell>
          <cell r="D8">
            <v>44182</v>
          </cell>
          <cell r="E8" t="str">
            <v>EPS</v>
          </cell>
          <cell r="F8" t="str">
            <v>ANN</v>
          </cell>
          <cell r="G8" t="str">
            <v>1</v>
          </cell>
          <cell r="H8">
            <v>9</v>
          </cell>
          <cell r="I8">
            <v>3.6</v>
          </cell>
          <cell r="J8">
            <v>3.61</v>
          </cell>
          <cell r="K8">
            <v>0.03</v>
          </cell>
          <cell r="L8">
            <v>44196</v>
          </cell>
          <cell r="M8">
            <v>3.68</v>
          </cell>
          <cell r="N8">
            <v>44252</v>
          </cell>
        </row>
        <row r="9">
          <cell r="B9" t="str">
            <v>SJI</v>
          </cell>
          <cell r="C9" t="str">
            <v>SO JERSEY INDS</v>
          </cell>
          <cell r="D9">
            <v>44182</v>
          </cell>
          <cell r="E9" t="str">
            <v>EPS</v>
          </cell>
          <cell r="F9" t="str">
            <v>ANN</v>
          </cell>
          <cell r="G9" t="str">
            <v>1</v>
          </cell>
          <cell r="H9">
            <v>9</v>
          </cell>
          <cell r="I9">
            <v>1.58</v>
          </cell>
          <cell r="J9">
            <v>1.57</v>
          </cell>
          <cell r="K9">
            <v>0.02</v>
          </cell>
          <cell r="L9">
            <v>44196</v>
          </cell>
          <cell r="M9">
            <v>1.68</v>
          </cell>
          <cell r="N9">
            <v>44251</v>
          </cell>
        </row>
        <row r="10">
          <cell r="B10" t="str">
            <v>SWX</v>
          </cell>
          <cell r="C10" t="str">
            <v>SOUTHWEST HOLDG</v>
          </cell>
          <cell r="D10">
            <v>44182</v>
          </cell>
          <cell r="E10" t="str">
            <v>EPS</v>
          </cell>
          <cell r="F10" t="str">
            <v>ANN</v>
          </cell>
          <cell r="G10" t="str">
            <v>1</v>
          </cell>
          <cell r="H10">
            <v>7</v>
          </cell>
          <cell r="I10">
            <v>3.89</v>
          </cell>
          <cell r="J10">
            <v>3.9</v>
          </cell>
          <cell r="K10">
            <v>0.06</v>
          </cell>
          <cell r="L10">
            <v>44196</v>
          </cell>
          <cell r="M10">
            <v>4.1399999999999997</v>
          </cell>
          <cell r="N10">
            <v>44252</v>
          </cell>
        </row>
      </sheetData>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RDS"/>
    </sheetNames>
    <sheetDataSet>
      <sheetData sheetId="0">
        <row r="1">
          <cell r="A1" t="str">
            <v>OFTIC</v>
          </cell>
          <cell r="B1" t="str">
            <v>IBES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USFIRM=0 if from .INT file and USFIRM=1 if from .US file</v>
          </cell>
          <cell r="M1" t="str">
            <v>Forecast Period End Date (SAS Format)</v>
          </cell>
          <cell r="N1" t="str">
            <v>Actual Value, from the Detail Actuals File</v>
          </cell>
          <cell r="O1" t="str">
            <v>Announce date of the Actual, from the Detail Actuals File</v>
          </cell>
        </row>
        <row r="2">
          <cell r="A2" t="str">
            <v>AGR</v>
          </cell>
          <cell r="B2" t="str">
            <v>AGR2</v>
          </cell>
          <cell r="C2" t="str">
            <v>ARGENTARIA</v>
          </cell>
          <cell r="D2">
            <v>19991216</v>
          </cell>
          <cell r="E2" t="str">
            <v>EPS</v>
          </cell>
          <cell r="F2" t="str">
            <v>LTG</v>
          </cell>
          <cell r="G2">
            <v>0</v>
          </cell>
          <cell r="H2">
            <v>1</v>
          </cell>
          <cell r="I2">
            <v>1.9</v>
          </cell>
          <cell r="J2">
            <v>1.9</v>
          </cell>
          <cell r="L2">
            <v>1</v>
          </cell>
        </row>
        <row r="3">
          <cell r="A3" t="str">
            <v>PNW</v>
          </cell>
          <cell r="B3" t="str">
            <v>AZP</v>
          </cell>
          <cell r="C3" t="str">
            <v>PINNACLE WST CAP</v>
          </cell>
          <cell r="D3">
            <v>19991216</v>
          </cell>
          <cell r="E3" t="str">
            <v>EPS</v>
          </cell>
          <cell r="F3" t="str">
            <v>LTG</v>
          </cell>
          <cell r="G3">
            <v>0</v>
          </cell>
          <cell r="H3">
            <v>11</v>
          </cell>
          <cell r="I3">
            <v>6</v>
          </cell>
          <cell r="J3">
            <v>6.01</v>
          </cell>
          <cell r="K3">
            <v>1.26</v>
          </cell>
          <cell r="L3">
            <v>1</v>
          </cell>
        </row>
        <row r="4">
          <cell r="A4" t="str">
            <v>CEG</v>
          </cell>
          <cell r="B4" t="str">
            <v>BGE</v>
          </cell>
          <cell r="C4" t="str">
            <v>CONSTELLATION EN</v>
          </cell>
          <cell r="D4">
            <v>19991216</v>
          </cell>
          <cell r="E4" t="str">
            <v>EPS</v>
          </cell>
          <cell r="F4" t="str">
            <v>LTG</v>
          </cell>
          <cell r="G4">
            <v>0</v>
          </cell>
          <cell r="H4">
            <v>11</v>
          </cell>
          <cell r="I4">
            <v>5</v>
          </cell>
          <cell r="J4">
            <v>5.32</v>
          </cell>
          <cell r="K4">
            <v>2.63</v>
          </cell>
          <cell r="L4">
            <v>1</v>
          </cell>
        </row>
        <row r="5">
          <cell r="A5" t="str">
            <v>BKH</v>
          </cell>
          <cell r="B5" t="str">
            <v>BHP</v>
          </cell>
          <cell r="C5" t="str">
            <v>BLACK HILLS CP</v>
          </cell>
          <cell r="D5">
            <v>19991216</v>
          </cell>
          <cell r="E5" t="str">
            <v>EPS</v>
          </cell>
          <cell r="F5" t="str">
            <v>LTG</v>
          </cell>
          <cell r="G5">
            <v>0</v>
          </cell>
          <cell r="H5">
            <v>1</v>
          </cell>
          <cell r="I5">
            <v>4</v>
          </cell>
          <cell r="J5">
            <v>4</v>
          </cell>
          <cell r="L5">
            <v>1</v>
          </cell>
        </row>
        <row r="6">
          <cell r="A6" t="str">
            <v>NST</v>
          </cell>
          <cell r="B6" t="str">
            <v>BSE</v>
          </cell>
          <cell r="C6" t="str">
            <v>NSTAR</v>
          </cell>
          <cell r="D6">
            <v>19991216</v>
          </cell>
          <cell r="E6" t="str">
            <v>EPS</v>
          </cell>
          <cell r="F6" t="str">
            <v>LTG</v>
          </cell>
          <cell r="G6">
            <v>0</v>
          </cell>
          <cell r="H6">
            <v>8</v>
          </cell>
          <cell r="I6">
            <v>4</v>
          </cell>
          <cell r="J6">
            <v>4.46</v>
          </cell>
          <cell r="K6">
            <v>2.37</v>
          </cell>
          <cell r="L6">
            <v>1</v>
          </cell>
        </row>
        <row r="7">
          <cell r="A7" t="str">
            <v>CIN</v>
          </cell>
          <cell r="B7" t="str">
            <v>CIN</v>
          </cell>
          <cell r="C7" t="str">
            <v>CINERGY CORP</v>
          </cell>
          <cell r="D7">
            <v>19991216</v>
          </cell>
          <cell r="E7" t="str">
            <v>EPS</v>
          </cell>
          <cell r="F7" t="str">
            <v>LTG</v>
          </cell>
          <cell r="G7">
            <v>0</v>
          </cell>
          <cell r="H7">
            <v>15</v>
          </cell>
          <cell r="I7">
            <v>4</v>
          </cell>
          <cell r="J7">
            <v>4</v>
          </cell>
          <cell r="K7">
            <v>1.36</v>
          </cell>
          <cell r="L7">
            <v>1</v>
          </cell>
        </row>
        <row r="8">
          <cell r="A8" t="str">
            <v>CMS</v>
          </cell>
          <cell r="B8" t="str">
            <v>CMS</v>
          </cell>
          <cell r="C8" t="str">
            <v>CMS ENERGY CORP</v>
          </cell>
          <cell r="D8">
            <v>19991216</v>
          </cell>
          <cell r="E8" t="str">
            <v>EPS</v>
          </cell>
          <cell r="F8" t="str">
            <v>LTG</v>
          </cell>
          <cell r="G8">
            <v>0</v>
          </cell>
          <cell r="H8">
            <v>15</v>
          </cell>
          <cell r="I8">
            <v>10</v>
          </cell>
          <cell r="J8">
            <v>9.93</v>
          </cell>
          <cell r="K8">
            <v>2.02</v>
          </cell>
          <cell r="L8">
            <v>1</v>
          </cell>
        </row>
        <row r="9">
          <cell r="A9" t="str">
            <v>CNL</v>
          </cell>
          <cell r="B9" t="str">
            <v>CNL</v>
          </cell>
          <cell r="C9" t="str">
            <v>CLECO CORP</v>
          </cell>
          <cell r="D9">
            <v>19991216</v>
          </cell>
          <cell r="E9" t="str">
            <v>EPS</v>
          </cell>
          <cell r="F9" t="str">
            <v>LTG</v>
          </cell>
          <cell r="G9">
            <v>0</v>
          </cell>
          <cell r="H9">
            <v>3</v>
          </cell>
          <cell r="I9">
            <v>4</v>
          </cell>
          <cell r="J9">
            <v>5.3</v>
          </cell>
          <cell r="K9">
            <v>3.16</v>
          </cell>
          <cell r="L9">
            <v>1</v>
          </cell>
        </row>
        <row r="10">
          <cell r="A10" t="str">
            <v>D</v>
          </cell>
          <cell r="B10" t="str">
            <v>D</v>
          </cell>
          <cell r="C10" t="str">
            <v>DOMINION RES INC</v>
          </cell>
          <cell r="D10">
            <v>19991216</v>
          </cell>
          <cell r="E10" t="str">
            <v>EPS</v>
          </cell>
          <cell r="F10" t="str">
            <v>LTG</v>
          </cell>
          <cell r="G10">
            <v>0</v>
          </cell>
          <cell r="H10">
            <v>16</v>
          </cell>
          <cell r="I10">
            <v>5.5</v>
          </cell>
          <cell r="J10">
            <v>5.81</v>
          </cell>
          <cell r="K10">
            <v>2.99</v>
          </cell>
          <cell r="L10">
            <v>1</v>
          </cell>
        </row>
        <row r="11">
          <cell r="A11" t="str">
            <v>DPL</v>
          </cell>
          <cell r="B11" t="str">
            <v>DPL</v>
          </cell>
          <cell r="C11" t="str">
            <v>DPL INC</v>
          </cell>
          <cell r="D11">
            <v>19991216</v>
          </cell>
          <cell r="E11" t="str">
            <v>EPS</v>
          </cell>
          <cell r="F11" t="str">
            <v>LTG</v>
          </cell>
          <cell r="G11">
            <v>0</v>
          </cell>
          <cell r="H11">
            <v>14</v>
          </cell>
          <cell r="I11">
            <v>4.5</v>
          </cell>
          <cell r="J11">
            <v>6.22</v>
          </cell>
          <cell r="K11">
            <v>2.84</v>
          </cell>
          <cell r="L11">
            <v>1</v>
          </cell>
        </row>
        <row r="12">
          <cell r="A12" t="str">
            <v>DTE</v>
          </cell>
          <cell r="B12" t="str">
            <v>DTE</v>
          </cell>
          <cell r="C12" t="str">
            <v>DTE ENERGY</v>
          </cell>
          <cell r="D12">
            <v>19991216</v>
          </cell>
          <cell r="E12" t="str">
            <v>EPS</v>
          </cell>
          <cell r="F12" t="str">
            <v>LTG</v>
          </cell>
          <cell r="G12">
            <v>0</v>
          </cell>
          <cell r="H12">
            <v>12</v>
          </cell>
          <cell r="I12">
            <v>5</v>
          </cell>
          <cell r="J12">
            <v>4.29</v>
          </cell>
          <cell r="K12">
            <v>1.86</v>
          </cell>
          <cell r="L12">
            <v>1</v>
          </cell>
        </row>
        <row r="13">
          <cell r="A13" t="str">
            <v>DUK</v>
          </cell>
          <cell r="B13" t="str">
            <v>DUK</v>
          </cell>
          <cell r="C13" t="str">
            <v>DUKE ENERGY CORP</v>
          </cell>
          <cell r="D13">
            <v>19991216</v>
          </cell>
          <cell r="E13" t="str">
            <v>EPS</v>
          </cell>
          <cell r="F13" t="str">
            <v>LTG</v>
          </cell>
          <cell r="G13">
            <v>0</v>
          </cell>
          <cell r="H13">
            <v>21</v>
          </cell>
          <cell r="I13">
            <v>8</v>
          </cell>
          <cell r="J13">
            <v>8.32</v>
          </cell>
          <cell r="K13">
            <v>1.32</v>
          </cell>
          <cell r="L13">
            <v>1</v>
          </cell>
        </row>
        <row r="14">
          <cell r="A14" t="str">
            <v>ED</v>
          </cell>
          <cell r="B14" t="str">
            <v>ED</v>
          </cell>
          <cell r="C14" t="str">
            <v>CONS EDISON INC</v>
          </cell>
          <cell r="D14">
            <v>19991216</v>
          </cell>
          <cell r="E14" t="str">
            <v>EPS</v>
          </cell>
          <cell r="F14" t="str">
            <v>LTG</v>
          </cell>
          <cell r="G14">
            <v>0</v>
          </cell>
          <cell r="H14">
            <v>11</v>
          </cell>
          <cell r="I14">
            <v>3.5</v>
          </cell>
          <cell r="J14">
            <v>3.45</v>
          </cell>
          <cell r="K14">
            <v>1.1100000000000001</v>
          </cell>
          <cell r="L14">
            <v>1</v>
          </cell>
        </row>
        <row r="15">
          <cell r="A15" t="str">
            <v>EDE</v>
          </cell>
          <cell r="B15" t="str">
            <v>EDE</v>
          </cell>
          <cell r="C15" t="str">
            <v>EMPIRE DIST ELEC</v>
          </cell>
          <cell r="D15">
            <v>19991216</v>
          </cell>
          <cell r="E15" t="str">
            <v>EPS</v>
          </cell>
          <cell r="F15" t="str">
            <v>LTG</v>
          </cell>
          <cell r="G15">
            <v>0</v>
          </cell>
          <cell r="H15">
            <v>1</v>
          </cell>
          <cell r="I15">
            <v>41</v>
          </cell>
          <cell r="J15">
            <v>41</v>
          </cell>
          <cell r="L15">
            <v>1</v>
          </cell>
        </row>
        <row r="16">
          <cell r="A16" t="str">
            <v>FPL</v>
          </cell>
          <cell r="B16" t="str">
            <v>FPL</v>
          </cell>
          <cell r="C16" t="str">
            <v>FPL GROUP</v>
          </cell>
          <cell r="D16">
            <v>19991216</v>
          </cell>
          <cell r="E16" t="str">
            <v>EPS</v>
          </cell>
          <cell r="F16" t="str">
            <v>LTG</v>
          </cell>
          <cell r="G16">
            <v>0</v>
          </cell>
          <cell r="H16">
            <v>22</v>
          </cell>
          <cell r="I16">
            <v>6</v>
          </cell>
          <cell r="J16">
            <v>5.87</v>
          </cell>
          <cell r="K16">
            <v>0.81</v>
          </cell>
          <cell r="L16">
            <v>1</v>
          </cell>
        </row>
        <row r="17">
          <cell r="A17" t="str">
            <v>HE</v>
          </cell>
          <cell r="B17" t="str">
            <v>HE</v>
          </cell>
          <cell r="C17" t="str">
            <v>HAWAIIAN ELEC</v>
          </cell>
          <cell r="D17">
            <v>19991216</v>
          </cell>
          <cell r="E17" t="str">
            <v>EPS</v>
          </cell>
          <cell r="F17" t="str">
            <v>LTG</v>
          </cell>
          <cell r="G17">
            <v>0</v>
          </cell>
          <cell r="H17">
            <v>7</v>
          </cell>
          <cell r="I17">
            <v>3</v>
          </cell>
          <cell r="J17">
            <v>3.23</v>
          </cell>
          <cell r="K17">
            <v>1.7</v>
          </cell>
          <cell r="L17">
            <v>1</v>
          </cell>
        </row>
        <row r="18">
          <cell r="A18" t="str">
            <v>IDA</v>
          </cell>
          <cell r="B18" t="str">
            <v>IDA</v>
          </cell>
          <cell r="C18" t="str">
            <v>IDACORP INC.</v>
          </cell>
          <cell r="D18">
            <v>19991216</v>
          </cell>
          <cell r="E18" t="str">
            <v>EPS</v>
          </cell>
          <cell r="F18" t="str">
            <v>LTG</v>
          </cell>
          <cell r="G18">
            <v>0</v>
          </cell>
          <cell r="H18">
            <v>5</v>
          </cell>
          <cell r="I18">
            <v>4</v>
          </cell>
          <cell r="J18">
            <v>3.6</v>
          </cell>
          <cell r="K18">
            <v>1.52</v>
          </cell>
          <cell r="L18">
            <v>1</v>
          </cell>
        </row>
        <row r="19">
          <cell r="A19" t="str">
            <v>WR</v>
          </cell>
          <cell r="B19" t="str">
            <v>KAN</v>
          </cell>
          <cell r="C19" t="str">
            <v>WESTN RESOURCES</v>
          </cell>
          <cell r="D19">
            <v>19991216</v>
          </cell>
          <cell r="E19" t="str">
            <v>EPS</v>
          </cell>
          <cell r="F19" t="str">
            <v>LTG</v>
          </cell>
          <cell r="G19">
            <v>0</v>
          </cell>
          <cell r="H19">
            <v>9</v>
          </cell>
          <cell r="I19">
            <v>2</v>
          </cell>
          <cell r="J19">
            <v>2.8</v>
          </cell>
          <cell r="K19">
            <v>1.63</v>
          </cell>
          <cell r="L19">
            <v>1</v>
          </cell>
        </row>
        <row r="20">
          <cell r="A20" t="str">
            <v>ETR</v>
          </cell>
          <cell r="B20" t="str">
            <v>MSU</v>
          </cell>
          <cell r="C20" t="str">
            <v>ENTERGY CP</v>
          </cell>
          <cell r="D20">
            <v>19991216</v>
          </cell>
          <cell r="E20" t="str">
            <v>EPS</v>
          </cell>
          <cell r="F20" t="str">
            <v>LTG</v>
          </cell>
          <cell r="G20">
            <v>0</v>
          </cell>
          <cell r="H20">
            <v>13</v>
          </cell>
          <cell r="I20">
            <v>5</v>
          </cell>
          <cell r="J20">
            <v>5.15</v>
          </cell>
          <cell r="K20">
            <v>2.48</v>
          </cell>
          <cell r="L20">
            <v>1</v>
          </cell>
        </row>
        <row r="21">
          <cell r="A21" t="str">
            <v>NU</v>
          </cell>
          <cell r="B21" t="str">
            <v>NU</v>
          </cell>
          <cell r="C21" t="str">
            <v>NORTHEAST UTILS</v>
          </cell>
          <cell r="D21">
            <v>19991216</v>
          </cell>
          <cell r="E21" t="str">
            <v>EPS</v>
          </cell>
          <cell r="F21" t="str">
            <v>LTG</v>
          </cell>
          <cell r="G21">
            <v>0</v>
          </cell>
          <cell r="H21">
            <v>6</v>
          </cell>
          <cell r="I21">
            <v>5</v>
          </cell>
          <cell r="J21">
            <v>5</v>
          </cell>
          <cell r="K21">
            <v>2.97</v>
          </cell>
          <cell r="L21">
            <v>1</v>
          </cell>
        </row>
        <row r="22">
          <cell r="A22" t="str">
            <v>FE</v>
          </cell>
          <cell r="B22" t="str">
            <v>OEC</v>
          </cell>
          <cell r="C22" t="str">
            <v>FIRSTENERGY CORP</v>
          </cell>
          <cell r="D22">
            <v>19991216</v>
          </cell>
          <cell r="E22" t="str">
            <v>EPS</v>
          </cell>
          <cell r="F22" t="str">
            <v>LTG</v>
          </cell>
          <cell r="G22">
            <v>0</v>
          </cell>
          <cell r="H22">
            <v>13</v>
          </cell>
          <cell r="I22">
            <v>5</v>
          </cell>
          <cell r="J22">
            <v>4.8499999999999996</v>
          </cell>
          <cell r="K22">
            <v>2.34</v>
          </cell>
          <cell r="L22">
            <v>1</v>
          </cell>
        </row>
        <row r="23">
          <cell r="A23" t="str">
            <v>OGE</v>
          </cell>
          <cell r="B23" t="str">
            <v>OGE</v>
          </cell>
          <cell r="C23" t="str">
            <v>OGE ENERGY CORP</v>
          </cell>
          <cell r="D23">
            <v>19991216</v>
          </cell>
          <cell r="E23" t="str">
            <v>EPS</v>
          </cell>
          <cell r="F23" t="str">
            <v>LTG</v>
          </cell>
          <cell r="G23">
            <v>0</v>
          </cell>
          <cell r="H23">
            <v>8</v>
          </cell>
          <cell r="I23">
            <v>4.5</v>
          </cell>
          <cell r="J23">
            <v>4.38</v>
          </cell>
          <cell r="K23">
            <v>1.6</v>
          </cell>
          <cell r="L23">
            <v>1</v>
          </cell>
        </row>
        <row r="24">
          <cell r="A24" t="str">
            <v>OTTR</v>
          </cell>
          <cell r="B24" t="str">
            <v>OTTR</v>
          </cell>
          <cell r="C24" t="str">
            <v>OTTER TAIL PWR</v>
          </cell>
          <cell r="D24">
            <v>19991216</v>
          </cell>
          <cell r="E24" t="str">
            <v>EPS</v>
          </cell>
          <cell r="F24" t="str">
            <v>LTG</v>
          </cell>
          <cell r="G24">
            <v>0</v>
          </cell>
          <cell r="H24">
            <v>1</v>
          </cell>
          <cell r="I24">
            <v>5</v>
          </cell>
          <cell r="J24">
            <v>5</v>
          </cell>
          <cell r="L24">
            <v>1</v>
          </cell>
        </row>
        <row r="25">
          <cell r="A25" t="str">
            <v>PCG</v>
          </cell>
          <cell r="B25" t="str">
            <v>PCG</v>
          </cell>
          <cell r="C25" t="str">
            <v>P G &amp; E CORP</v>
          </cell>
          <cell r="D25">
            <v>19991216</v>
          </cell>
          <cell r="E25" t="str">
            <v>EPS</v>
          </cell>
          <cell r="F25" t="str">
            <v>LTG</v>
          </cell>
          <cell r="G25">
            <v>0</v>
          </cell>
          <cell r="H25">
            <v>15</v>
          </cell>
          <cell r="I25">
            <v>5</v>
          </cell>
          <cell r="J25">
            <v>5.75</v>
          </cell>
          <cell r="K25">
            <v>2.4300000000000002</v>
          </cell>
          <cell r="L25">
            <v>1</v>
          </cell>
        </row>
        <row r="26">
          <cell r="A26" t="str">
            <v>PEG</v>
          </cell>
          <cell r="B26" t="str">
            <v>PEG</v>
          </cell>
          <cell r="C26" t="str">
            <v>PUB SVC ENTERS</v>
          </cell>
          <cell r="D26">
            <v>19991216</v>
          </cell>
          <cell r="E26" t="str">
            <v>EPS</v>
          </cell>
          <cell r="F26" t="str">
            <v>LTG</v>
          </cell>
          <cell r="G26">
            <v>0</v>
          </cell>
          <cell r="H26">
            <v>14</v>
          </cell>
          <cell r="I26">
            <v>4.5</v>
          </cell>
          <cell r="J26">
            <v>4.6399999999999997</v>
          </cell>
          <cell r="K26">
            <v>3.1</v>
          </cell>
          <cell r="L26">
            <v>1</v>
          </cell>
        </row>
        <row r="27">
          <cell r="A27" t="str">
            <v>PNM</v>
          </cell>
          <cell r="B27" t="str">
            <v>PNM</v>
          </cell>
          <cell r="C27" t="str">
            <v>PUB SVC N MEX</v>
          </cell>
          <cell r="D27">
            <v>19991216</v>
          </cell>
          <cell r="E27" t="str">
            <v>EPS</v>
          </cell>
          <cell r="F27" t="str">
            <v>LTG</v>
          </cell>
          <cell r="G27">
            <v>0</v>
          </cell>
          <cell r="H27">
            <v>7</v>
          </cell>
          <cell r="I27">
            <v>3.9</v>
          </cell>
          <cell r="J27">
            <v>4.2699999999999996</v>
          </cell>
          <cell r="K27">
            <v>2.57</v>
          </cell>
          <cell r="L27">
            <v>1</v>
          </cell>
        </row>
        <row r="28">
          <cell r="A28" t="str">
            <v>POM</v>
          </cell>
          <cell r="B28" t="str">
            <v>POM</v>
          </cell>
          <cell r="C28" t="str">
            <v>POTOMAC ELEC</v>
          </cell>
          <cell r="D28">
            <v>19991216</v>
          </cell>
          <cell r="E28" t="str">
            <v>EPS</v>
          </cell>
          <cell r="F28" t="str">
            <v>LTG</v>
          </cell>
          <cell r="G28">
            <v>0</v>
          </cell>
          <cell r="H28">
            <v>9</v>
          </cell>
          <cell r="I28">
            <v>2.1</v>
          </cell>
          <cell r="J28">
            <v>3.12</v>
          </cell>
          <cell r="K28">
            <v>2.2999999999999998</v>
          </cell>
          <cell r="L28">
            <v>1</v>
          </cell>
        </row>
        <row r="29">
          <cell r="A29" t="str">
            <v>PPL</v>
          </cell>
          <cell r="B29" t="str">
            <v>PPL</v>
          </cell>
          <cell r="C29" t="str">
            <v>PP&amp;L RESOURCES</v>
          </cell>
          <cell r="D29">
            <v>19991216</v>
          </cell>
          <cell r="E29" t="str">
            <v>EPS</v>
          </cell>
          <cell r="F29" t="str">
            <v>LTG</v>
          </cell>
          <cell r="G29">
            <v>0</v>
          </cell>
          <cell r="H29">
            <v>8</v>
          </cell>
          <cell r="I29">
            <v>4.5</v>
          </cell>
          <cell r="J29">
            <v>4.25</v>
          </cell>
          <cell r="K29">
            <v>2.4300000000000002</v>
          </cell>
          <cell r="L29">
            <v>1</v>
          </cell>
        </row>
        <row r="30">
          <cell r="A30" t="str">
            <v>PSD</v>
          </cell>
          <cell r="B30" t="str">
            <v>PSD</v>
          </cell>
          <cell r="C30" t="str">
            <v>PUGET SOUND ENGY</v>
          </cell>
          <cell r="D30">
            <v>19991216</v>
          </cell>
          <cell r="E30" t="str">
            <v>EPS</v>
          </cell>
          <cell r="F30" t="str">
            <v>LTG</v>
          </cell>
          <cell r="G30">
            <v>0</v>
          </cell>
          <cell r="H30">
            <v>5</v>
          </cell>
          <cell r="I30">
            <v>3</v>
          </cell>
          <cell r="J30">
            <v>3.58</v>
          </cell>
          <cell r="K30">
            <v>0.88</v>
          </cell>
          <cell r="L30">
            <v>1</v>
          </cell>
        </row>
        <row r="31">
          <cell r="A31" t="str">
            <v>EIX</v>
          </cell>
          <cell r="B31" t="str">
            <v>SCE</v>
          </cell>
          <cell r="C31" t="str">
            <v>EDISON INTL</v>
          </cell>
          <cell r="D31">
            <v>19991216</v>
          </cell>
          <cell r="E31" t="str">
            <v>EPS</v>
          </cell>
          <cell r="F31" t="str">
            <v>LTG</v>
          </cell>
          <cell r="G31">
            <v>0</v>
          </cell>
          <cell r="H31">
            <v>16</v>
          </cell>
          <cell r="I31">
            <v>9</v>
          </cell>
          <cell r="J31">
            <v>8.7200000000000006</v>
          </cell>
          <cell r="K31">
            <v>2.52</v>
          </cell>
          <cell r="L31">
            <v>1</v>
          </cell>
        </row>
        <row r="32">
          <cell r="A32" t="str">
            <v>SCG</v>
          </cell>
          <cell r="B32" t="str">
            <v>SCG</v>
          </cell>
          <cell r="C32" t="str">
            <v>SCANA CP</v>
          </cell>
          <cell r="D32">
            <v>19991216</v>
          </cell>
          <cell r="E32" t="str">
            <v>EPS</v>
          </cell>
          <cell r="F32" t="str">
            <v>LTG</v>
          </cell>
          <cell r="G32">
            <v>0</v>
          </cell>
          <cell r="H32">
            <v>9</v>
          </cell>
          <cell r="I32">
            <v>4</v>
          </cell>
          <cell r="J32">
            <v>3.9</v>
          </cell>
          <cell r="K32">
            <v>1.03</v>
          </cell>
          <cell r="L32">
            <v>1</v>
          </cell>
        </row>
        <row r="33">
          <cell r="A33" t="str">
            <v>SRE</v>
          </cell>
          <cell r="B33" t="str">
            <v>SDO</v>
          </cell>
          <cell r="C33" t="str">
            <v>SEMPRA ENERGY</v>
          </cell>
          <cell r="D33">
            <v>19991216</v>
          </cell>
          <cell r="E33" t="str">
            <v>EPS</v>
          </cell>
          <cell r="F33" t="str">
            <v>LTG</v>
          </cell>
          <cell r="G33">
            <v>0</v>
          </cell>
          <cell r="H33">
            <v>8</v>
          </cell>
          <cell r="I33">
            <v>5</v>
          </cell>
          <cell r="J33">
            <v>4.97</v>
          </cell>
          <cell r="K33">
            <v>1.37</v>
          </cell>
          <cell r="L33">
            <v>1</v>
          </cell>
        </row>
        <row r="34">
          <cell r="A34" t="str">
            <v>SO</v>
          </cell>
          <cell r="B34" t="str">
            <v>SO</v>
          </cell>
          <cell r="C34" t="str">
            <v>SOUTHN CO</v>
          </cell>
          <cell r="D34">
            <v>19991216</v>
          </cell>
          <cell r="E34" t="str">
            <v>EPS</v>
          </cell>
          <cell r="F34" t="str">
            <v>LTG</v>
          </cell>
          <cell r="G34">
            <v>0</v>
          </cell>
          <cell r="H34">
            <v>19</v>
          </cell>
          <cell r="I34">
            <v>6</v>
          </cell>
          <cell r="J34">
            <v>5.97</v>
          </cell>
          <cell r="K34">
            <v>1.79</v>
          </cell>
          <cell r="L34">
            <v>1</v>
          </cell>
        </row>
        <row r="35">
          <cell r="A35" t="str">
            <v>TE</v>
          </cell>
          <cell r="B35" t="str">
            <v>TE</v>
          </cell>
          <cell r="C35" t="str">
            <v>TECO ENERGY INC</v>
          </cell>
          <cell r="D35">
            <v>19991216</v>
          </cell>
          <cell r="E35" t="str">
            <v>EPS</v>
          </cell>
          <cell r="F35" t="str">
            <v>LTG</v>
          </cell>
          <cell r="G35">
            <v>0</v>
          </cell>
          <cell r="H35">
            <v>14</v>
          </cell>
          <cell r="I35">
            <v>4.8499999999999996</v>
          </cell>
          <cell r="J35">
            <v>4.7699999999999996</v>
          </cell>
          <cell r="K35">
            <v>1.1200000000000001</v>
          </cell>
          <cell r="L35">
            <v>1</v>
          </cell>
        </row>
        <row r="36">
          <cell r="A36" t="str">
            <v>AEE</v>
          </cell>
          <cell r="B36" t="str">
            <v>UEP</v>
          </cell>
          <cell r="C36" t="str">
            <v>AMEREN CP</v>
          </cell>
          <cell r="D36">
            <v>19991216</v>
          </cell>
          <cell r="E36" t="str">
            <v>EPS</v>
          </cell>
          <cell r="F36" t="str">
            <v>LTG</v>
          </cell>
          <cell r="G36">
            <v>0</v>
          </cell>
          <cell r="H36">
            <v>10</v>
          </cell>
          <cell r="I36">
            <v>3</v>
          </cell>
          <cell r="J36">
            <v>2.9</v>
          </cell>
          <cell r="K36">
            <v>0.99</v>
          </cell>
          <cell r="L36">
            <v>1</v>
          </cell>
        </row>
        <row r="37">
          <cell r="A37" t="str">
            <v>UIL</v>
          </cell>
          <cell r="B37" t="str">
            <v>UIL</v>
          </cell>
          <cell r="C37" t="str">
            <v>UTD ILLUM COO</v>
          </cell>
          <cell r="D37">
            <v>19991216</v>
          </cell>
          <cell r="E37" t="str">
            <v>EPS</v>
          </cell>
          <cell r="F37" t="str">
            <v>LTG</v>
          </cell>
          <cell r="G37">
            <v>0</v>
          </cell>
          <cell r="H37">
            <v>4</v>
          </cell>
          <cell r="I37">
            <v>2.5</v>
          </cell>
          <cell r="J37">
            <v>2.5</v>
          </cell>
          <cell r="K37">
            <v>0.57999999999999996</v>
          </cell>
          <cell r="L37">
            <v>1</v>
          </cell>
        </row>
        <row r="38">
          <cell r="A38" t="str">
            <v>WEC</v>
          </cell>
          <cell r="B38" t="str">
            <v>WPC</v>
          </cell>
          <cell r="C38" t="str">
            <v>WISCONSIN ENERGY</v>
          </cell>
          <cell r="D38">
            <v>19991216</v>
          </cell>
          <cell r="E38" t="str">
            <v>EPS</v>
          </cell>
          <cell r="F38" t="str">
            <v>LTG</v>
          </cell>
          <cell r="G38">
            <v>0</v>
          </cell>
          <cell r="H38">
            <v>12</v>
          </cell>
          <cell r="I38">
            <v>3.95</v>
          </cell>
          <cell r="J38">
            <v>3.49</v>
          </cell>
          <cell r="K38">
            <v>1.56</v>
          </cell>
          <cell r="L38">
            <v>1</v>
          </cell>
        </row>
        <row r="39">
          <cell r="A39" t="str">
            <v>LNT</v>
          </cell>
          <cell r="B39" t="str">
            <v>WPL</v>
          </cell>
          <cell r="C39" t="str">
            <v>ALLIANT ENER</v>
          </cell>
          <cell r="D39">
            <v>19991216</v>
          </cell>
          <cell r="E39" t="str">
            <v>EPS</v>
          </cell>
          <cell r="F39" t="str">
            <v>LTG</v>
          </cell>
          <cell r="G39">
            <v>0</v>
          </cell>
          <cell r="H39">
            <v>4</v>
          </cell>
          <cell r="I39">
            <v>2</v>
          </cell>
          <cell r="J39">
            <v>2.13</v>
          </cell>
          <cell r="K39">
            <v>0.25</v>
          </cell>
          <cell r="L39">
            <v>1</v>
          </cell>
        </row>
        <row r="40">
          <cell r="A40" t="str">
            <v>WPS</v>
          </cell>
          <cell r="B40" t="str">
            <v>WPS</v>
          </cell>
          <cell r="C40" t="str">
            <v>WPS RESOURCES CP</v>
          </cell>
          <cell r="D40">
            <v>19991216</v>
          </cell>
          <cell r="E40" t="str">
            <v>EPS</v>
          </cell>
          <cell r="F40" t="str">
            <v>LTG</v>
          </cell>
          <cell r="G40">
            <v>0</v>
          </cell>
          <cell r="H40">
            <v>4</v>
          </cell>
          <cell r="I40">
            <v>2.8</v>
          </cell>
          <cell r="J40">
            <v>2.9</v>
          </cell>
          <cell r="K40">
            <v>1.05</v>
          </cell>
          <cell r="L40">
            <v>1</v>
          </cell>
        </row>
        <row r="41">
          <cell r="A41" t="str">
            <v>AVA</v>
          </cell>
          <cell r="B41" t="str">
            <v>WWP</v>
          </cell>
          <cell r="C41" t="str">
            <v>AVISTA CORP</v>
          </cell>
          <cell r="D41">
            <v>19991216</v>
          </cell>
          <cell r="E41" t="str">
            <v>EPS</v>
          </cell>
          <cell r="F41" t="str">
            <v>LTG</v>
          </cell>
          <cell r="G41">
            <v>0</v>
          </cell>
          <cell r="H41">
            <v>7</v>
          </cell>
          <cell r="I41">
            <v>3</v>
          </cell>
          <cell r="J41">
            <v>3.56</v>
          </cell>
          <cell r="K41">
            <v>0.76</v>
          </cell>
          <cell r="L41">
            <v>1</v>
          </cell>
        </row>
        <row r="42">
          <cell r="A42" t="str">
            <v>AGR</v>
          </cell>
          <cell r="B42" t="str">
            <v>@AGM</v>
          </cell>
          <cell r="C42" t="str">
            <v>AGROMAN</v>
          </cell>
          <cell r="D42">
            <v>19991216</v>
          </cell>
          <cell r="E42" t="str">
            <v>EPS</v>
          </cell>
          <cell r="F42" t="str">
            <v>LTG</v>
          </cell>
          <cell r="G42">
            <v>0</v>
          </cell>
          <cell r="H42">
            <v>2</v>
          </cell>
          <cell r="I42">
            <v>38.75</v>
          </cell>
          <cell r="J42">
            <v>38.75</v>
          </cell>
          <cell r="K42">
            <v>20.86</v>
          </cell>
          <cell r="L42">
            <v>0</v>
          </cell>
        </row>
        <row r="43">
          <cell r="A43" t="str">
            <v>AVA</v>
          </cell>
          <cell r="B43" t="str">
            <v>@AHV</v>
          </cell>
          <cell r="C43" t="str">
            <v>AVA</v>
          </cell>
          <cell r="D43">
            <v>19991216</v>
          </cell>
          <cell r="E43" t="str">
            <v>EPS</v>
          </cell>
          <cell r="F43" t="str">
            <v>LTG</v>
          </cell>
          <cell r="G43">
            <v>0</v>
          </cell>
          <cell r="H43">
            <v>1</v>
          </cell>
          <cell r="I43">
            <v>13</v>
          </cell>
          <cell r="J43">
            <v>13</v>
          </cell>
          <cell r="L43">
            <v>0</v>
          </cell>
        </row>
        <row r="44">
          <cell r="A44" t="str">
            <v>CNP</v>
          </cell>
          <cell r="B44" t="str">
            <v>@CN0</v>
          </cell>
          <cell r="C44" t="str">
            <v>CNP ASSURANCES</v>
          </cell>
          <cell r="D44">
            <v>19991216</v>
          </cell>
          <cell r="E44" t="str">
            <v>EPS</v>
          </cell>
          <cell r="F44" t="str">
            <v>LTG</v>
          </cell>
          <cell r="G44">
            <v>0</v>
          </cell>
          <cell r="H44">
            <v>2</v>
          </cell>
          <cell r="I44">
            <v>9.1300000000000008</v>
          </cell>
          <cell r="J44">
            <v>9.1300000000000008</v>
          </cell>
          <cell r="K44">
            <v>0.93</v>
          </cell>
          <cell r="L44">
            <v>0</v>
          </cell>
        </row>
        <row r="45">
          <cell r="A45" t="str">
            <v>D</v>
          </cell>
          <cell r="B45" t="str">
            <v>@DLM</v>
          </cell>
          <cell r="C45" t="str">
            <v>DALMINE</v>
          </cell>
          <cell r="D45">
            <v>19991216</v>
          </cell>
          <cell r="E45" t="str">
            <v>EPS</v>
          </cell>
          <cell r="F45" t="str">
            <v>LTG</v>
          </cell>
          <cell r="G45">
            <v>0</v>
          </cell>
          <cell r="H45">
            <v>2</v>
          </cell>
          <cell r="I45">
            <v>-7.45</v>
          </cell>
          <cell r="J45">
            <v>-7.45</v>
          </cell>
          <cell r="K45">
            <v>57.2</v>
          </cell>
          <cell r="L45">
            <v>0</v>
          </cell>
        </row>
        <row r="46">
          <cell r="A46" t="str">
            <v>DTE</v>
          </cell>
          <cell r="B46" t="str">
            <v>@DT</v>
          </cell>
          <cell r="C46" t="str">
            <v>DEUTSCHE TELEKOM</v>
          </cell>
          <cell r="D46">
            <v>19991216</v>
          </cell>
          <cell r="E46" t="str">
            <v>EPS</v>
          </cell>
          <cell r="F46" t="str">
            <v>LTG</v>
          </cell>
          <cell r="G46">
            <v>0</v>
          </cell>
          <cell r="H46">
            <v>2</v>
          </cell>
          <cell r="I46">
            <v>15.9</v>
          </cell>
          <cell r="J46">
            <v>15.9</v>
          </cell>
          <cell r="K46">
            <v>7.22</v>
          </cell>
          <cell r="L46">
            <v>0</v>
          </cell>
        </row>
        <row r="47">
          <cell r="A47" t="str">
            <v>ETR</v>
          </cell>
          <cell r="B47" t="str">
            <v>@NPD</v>
          </cell>
          <cell r="C47" t="str">
            <v>ETRADE AUSTRALIA</v>
          </cell>
          <cell r="D47">
            <v>19991216</v>
          </cell>
          <cell r="E47" t="str">
            <v>EPS</v>
          </cell>
          <cell r="F47" t="str">
            <v>LTG</v>
          </cell>
          <cell r="G47">
            <v>0</v>
          </cell>
          <cell r="H47">
            <v>1</v>
          </cell>
          <cell r="I47">
            <v>18.600000000000001</v>
          </cell>
          <cell r="J47">
            <v>18.600000000000001</v>
          </cell>
          <cell r="L47">
            <v>0</v>
          </cell>
        </row>
        <row r="48">
          <cell r="A48" t="str">
            <v>NST</v>
          </cell>
          <cell r="B48" t="str">
            <v>@NST</v>
          </cell>
          <cell r="C48" t="str">
            <v>N. S. TIMES</v>
          </cell>
          <cell r="D48">
            <v>19991216</v>
          </cell>
          <cell r="E48" t="str">
            <v>EPS</v>
          </cell>
          <cell r="F48" t="str">
            <v>LTG</v>
          </cell>
          <cell r="G48">
            <v>0</v>
          </cell>
          <cell r="H48">
            <v>3</v>
          </cell>
          <cell r="I48">
            <v>28.1</v>
          </cell>
          <cell r="J48">
            <v>48.7</v>
          </cell>
          <cell r="K48">
            <v>100.59</v>
          </cell>
          <cell r="L48">
            <v>0</v>
          </cell>
        </row>
        <row r="49">
          <cell r="A49" t="str">
            <v>POM</v>
          </cell>
          <cell r="B49" t="str">
            <v>@PO8</v>
          </cell>
          <cell r="C49" t="str">
            <v>PLASTIC OMNIUM</v>
          </cell>
          <cell r="D49">
            <v>19991216</v>
          </cell>
          <cell r="E49" t="str">
            <v>EPS</v>
          </cell>
          <cell r="F49" t="str">
            <v>LTG</v>
          </cell>
          <cell r="G49">
            <v>0</v>
          </cell>
          <cell r="H49">
            <v>2</v>
          </cell>
          <cell r="I49">
            <v>27.8</v>
          </cell>
          <cell r="J49">
            <v>27.8</v>
          </cell>
          <cell r="K49">
            <v>9.69</v>
          </cell>
          <cell r="L49">
            <v>0</v>
          </cell>
        </row>
        <row r="50">
          <cell r="A50" t="str">
            <v>SO</v>
          </cell>
          <cell r="B50" t="str">
            <v>@SOM</v>
          </cell>
          <cell r="C50" t="str">
            <v>SOMMER-ALLIBERT</v>
          </cell>
          <cell r="D50">
            <v>19991216</v>
          </cell>
          <cell r="E50" t="str">
            <v>EPS</v>
          </cell>
          <cell r="F50" t="str">
            <v>LTG</v>
          </cell>
          <cell r="G50">
            <v>0</v>
          </cell>
          <cell r="H50">
            <v>2</v>
          </cell>
          <cell r="I50">
            <v>15.14</v>
          </cell>
          <cell r="J50">
            <v>15.14</v>
          </cell>
          <cell r="K50">
            <v>4.83</v>
          </cell>
          <cell r="L50">
            <v>0</v>
          </cell>
        </row>
        <row r="51">
          <cell r="A51" t="str">
            <v>CIN</v>
          </cell>
          <cell r="B51" t="str">
            <v>@YYN</v>
          </cell>
          <cell r="C51" t="str">
            <v>CIN</v>
          </cell>
          <cell r="D51">
            <v>19991216</v>
          </cell>
          <cell r="E51" t="str">
            <v>EPS</v>
          </cell>
          <cell r="F51" t="str">
            <v>LTG</v>
          </cell>
          <cell r="G51">
            <v>0</v>
          </cell>
          <cell r="H51">
            <v>1</v>
          </cell>
          <cell r="I51">
            <v>16.97</v>
          </cell>
          <cell r="J51">
            <v>16.97</v>
          </cell>
          <cell r="L51">
            <v>0</v>
          </cell>
        </row>
      </sheetData>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baaz2iyp1f1tmo"/>
    </sheetNames>
    <sheetDataSet>
      <sheetData sheetId="0">
        <row r="1">
          <cell r="B1" t="str">
            <v>Official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Forecast Period End Date (SAS Format)</v>
          </cell>
          <cell r="M1" t="str">
            <v>Actual Value, from the Detail Actuals File</v>
          </cell>
          <cell r="N1" t="str">
            <v>Announce date of the Actual, from the Detail Actuals File</v>
          </cell>
        </row>
        <row r="2">
          <cell r="B2" t="str">
            <v>ATG</v>
          </cell>
          <cell r="C2" t="str">
            <v>AGL RESOURCES</v>
          </cell>
          <cell r="D2">
            <v>36510</v>
          </cell>
          <cell r="E2" t="str">
            <v>EPS</v>
          </cell>
          <cell r="F2" t="str">
            <v>ANN</v>
          </cell>
          <cell r="G2" t="str">
            <v>1</v>
          </cell>
          <cell r="H2">
            <v>16</v>
          </cell>
          <cell r="I2">
            <v>1.1000000000000001</v>
          </cell>
          <cell r="J2">
            <v>1.1299999999999999</v>
          </cell>
          <cell r="K2">
            <v>0.09</v>
          </cell>
          <cell r="L2">
            <v>36799</v>
          </cell>
          <cell r="M2">
            <v>1.24</v>
          </cell>
          <cell r="N2">
            <v>36830</v>
          </cell>
        </row>
        <row r="3">
          <cell r="B3" t="str">
            <v>CGC</v>
          </cell>
          <cell r="C3" t="str">
            <v>CASCADE NAT GAS</v>
          </cell>
          <cell r="D3">
            <v>36510</v>
          </cell>
          <cell r="E3" t="str">
            <v>EPS</v>
          </cell>
          <cell r="F3" t="str">
            <v>ANN</v>
          </cell>
          <cell r="G3" t="str">
            <v>1</v>
          </cell>
          <cell r="H3">
            <v>4</v>
          </cell>
          <cell r="I3">
            <v>1.3</v>
          </cell>
          <cell r="J3">
            <v>1.29</v>
          </cell>
          <cell r="K3">
            <v>0.04</v>
          </cell>
          <cell r="L3">
            <v>36799</v>
          </cell>
          <cell r="M3">
            <v>1.39</v>
          </cell>
          <cell r="N3">
            <v>36837</v>
          </cell>
        </row>
        <row r="4">
          <cell r="B4" t="str">
            <v>CPK</v>
          </cell>
          <cell r="C4" t="str">
            <v>CHESAPEAKE UTIL</v>
          </cell>
          <cell r="D4">
            <v>36510</v>
          </cell>
          <cell r="E4" t="str">
            <v>EPS</v>
          </cell>
          <cell r="F4" t="str">
            <v>ANN</v>
          </cell>
          <cell r="G4" t="str">
            <v>1</v>
          </cell>
          <cell r="H4">
            <v>2</v>
          </cell>
          <cell r="I4">
            <v>1.07</v>
          </cell>
          <cell r="J4">
            <v>1.07</v>
          </cell>
          <cell r="K4">
            <v>0</v>
          </cell>
          <cell r="L4">
            <v>36525</v>
          </cell>
          <cell r="M4">
            <v>0.74</v>
          </cell>
          <cell r="N4">
            <v>36584</v>
          </cell>
        </row>
        <row r="5">
          <cell r="B5" t="str">
            <v>ATO</v>
          </cell>
          <cell r="C5" t="str">
            <v>ATMOS ENERGY CP</v>
          </cell>
          <cell r="D5">
            <v>36510</v>
          </cell>
          <cell r="E5" t="str">
            <v>EPS</v>
          </cell>
          <cell r="F5" t="str">
            <v>ANN</v>
          </cell>
          <cell r="G5" t="str">
            <v>1</v>
          </cell>
          <cell r="H5">
            <v>10</v>
          </cell>
          <cell r="I5">
            <v>1.88</v>
          </cell>
          <cell r="J5">
            <v>1.85</v>
          </cell>
          <cell r="K5">
            <v>0.15</v>
          </cell>
          <cell r="L5">
            <v>36799</v>
          </cell>
          <cell r="M5">
            <v>1.02</v>
          </cell>
          <cell r="N5">
            <v>36839</v>
          </cell>
        </row>
        <row r="6">
          <cell r="B6" t="str">
            <v>GAS</v>
          </cell>
          <cell r="C6" t="str">
            <v>NICOR INC</v>
          </cell>
          <cell r="D6">
            <v>36510</v>
          </cell>
          <cell r="E6" t="str">
            <v>EPS</v>
          </cell>
          <cell r="F6" t="str">
            <v>ANN</v>
          </cell>
          <cell r="G6" t="str">
            <v>1</v>
          </cell>
          <cell r="H6">
            <v>12</v>
          </cell>
          <cell r="I6">
            <v>2.6</v>
          </cell>
          <cell r="J6">
            <v>2.61</v>
          </cell>
          <cell r="K6">
            <v>0.04</v>
          </cell>
          <cell r="L6">
            <v>36525</v>
          </cell>
          <cell r="M6">
            <v>2.63</v>
          </cell>
          <cell r="N6">
            <v>36552</v>
          </cell>
        </row>
        <row r="7">
          <cell r="B7" t="str">
            <v>LG</v>
          </cell>
          <cell r="C7" t="str">
            <v>LACLEDE GAS</v>
          </cell>
          <cell r="D7">
            <v>36510</v>
          </cell>
          <cell r="E7" t="str">
            <v>EPS</v>
          </cell>
          <cell r="F7" t="str">
            <v>ANN</v>
          </cell>
          <cell r="G7" t="str">
            <v>1</v>
          </cell>
          <cell r="H7">
            <v>3</v>
          </cell>
          <cell r="I7">
            <v>1.75</v>
          </cell>
          <cell r="J7">
            <v>1.75</v>
          </cell>
          <cell r="K7">
            <v>0.05</v>
          </cell>
          <cell r="L7">
            <v>36799</v>
          </cell>
          <cell r="M7">
            <v>1.37</v>
          </cell>
          <cell r="N7">
            <v>36825</v>
          </cell>
        </row>
        <row r="8">
          <cell r="B8" t="str">
            <v>KSE</v>
          </cell>
          <cell r="C8" t="str">
            <v>KEYSPAN CP</v>
          </cell>
          <cell r="D8">
            <v>36510</v>
          </cell>
          <cell r="E8" t="str">
            <v>EPS</v>
          </cell>
          <cell r="F8" t="str">
            <v>ANN</v>
          </cell>
          <cell r="G8" t="str">
            <v>1</v>
          </cell>
          <cell r="H8">
            <v>12</v>
          </cell>
          <cell r="I8">
            <v>1.6</v>
          </cell>
          <cell r="J8">
            <v>1.59</v>
          </cell>
          <cell r="K8">
            <v>0.03</v>
          </cell>
          <cell r="L8">
            <v>36525</v>
          </cell>
          <cell r="M8">
            <v>1.6</v>
          </cell>
          <cell r="N8">
            <v>36552</v>
          </cell>
        </row>
        <row r="9">
          <cell r="B9" t="str">
            <v>NI</v>
          </cell>
          <cell r="C9" t="str">
            <v>NISOURCE INC</v>
          </cell>
          <cell r="D9">
            <v>36510</v>
          </cell>
          <cell r="E9" t="str">
            <v>EPS</v>
          </cell>
          <cell r="F9" t="str">
            <v>ANN</v>
          </cell>
          <cell r="G9" t="str">
            <v>1</v>
          </cell>
          <cell r="H9">
            <v>21</v>
          </cell>
          <cell r="I9">
            <v>1.75</v>
          </cell>
          <cell r="J9">
            <v>1.74</v>
          </cell>
          <cell r="K9">
            <v>0.06</v>
          </cell>
          <cell r="L9">
            <v>36525</v>
          </cell>
          <cell r="M9">
            <v>1.43</v>
          </cell>
          <cell r="N9">
            <v>36553</v>
          </cell>
        </row>
        <row r="10">
          <cell r="B10" t="str">
            <v>NJR</v>
          </cell>
          <cell r="C10" t="str">
            <v>NEW JERSEY RES</v>
          </cell>
          <cell r="D10">
            <v>36510</v>
          </cell>
          <cell r="E10" t="str">
            <v>EPS</v>
          </cell>
          <cell r="F10" t="str">
            <v>ANN</v>
          </cell>
          <cell r="G10" t="str">
            <v>1</v>
          </cell>
          <cell r="H10">
            <v>10</v>
          </cell>
          <cell r="I10">
            <v>0.59</v>
          </cell>
          <cell r="J10">
            <v>0.59</v>
          </cell>
          <cell r="K10">
            <v>0</v>
          </cell>
          <cell r="L10">
            <v>36799</v>
          </cell>
          <cell r="M10">
            <v>0.5978</v>
          </cell>
          <cell r="N10">
            <v>36826</v>
          </cell>
        </row>
        <row r="11">
          <cell r="B11" t="str">
            <v>PNY</v>
          </cell>
          <cell r="C11" t="str">
            <v>PIEDMONT NAT GAS</v>
          </cell>
          <cell r="D11">
            <v>36510</v>
          </cell>
          <cell r="E11" t="str">
            <v>EPS</v>
          </cell>
          <cell r="F11" t="str">
            <v>ANN</v>
          </cell>
          <cell r="G11" t="str">
            <v>1</v>
          </cell>
          <cell r="H11">
            <v>9</v>
          </cell>
          <cell r="I11">
            <v>1.05</v>
          </cell>
          <cell r="J11">
            <v>1.06</v>
          </cell>
          <cell r="K11">
            <v>0.01</v>
          </cell>
          <cell r="L11">
            <v>36830</v>
          </cell>
          <cell r="M11">
            <v>0.92500000000000004</v>
          </cell>
          <cell r="N11">
            <v>36868</v>
          </cell>
        </row>
        <row r="12">
          <cell r="B12" t="str">
            <v>SJI</v>
          </cell>
          <cell r="C12" t="str">
            <v>SO JERSEY INDS</v>
          </cell>
          <cell r="D12">
            <v>36510</v>
          </cell>
          <cell r="E12" t="str">
            <v>EPS</v>
          </cell>
          <cell r="F12" t="str">
            <v>ANN</v>
          </cell>
          <cell r="G12" t="str">
            <v>1</v>
          </cell>
          <cell r="H12">
            <v>4</v>
          </cell>
          <cell r="I12">
            <v>0.5</v>
          </cell>
          <cell r="J12">
            <v>0.5</v>
          </cell>
          <cell r="K12">
            <v>0</v>
          </cell>
          <cell r="L12">
            <v>36525</v>
          </cell>
          <cell r="M12">
            <v>0.505</v>
          </cell>
          <cell r="N12">
            <v>36549</v>
          </cell>
        </row>
        <row r="13">
          <cell r="B13" t="str">
            <v>SWX</v>
          </cell>
          <cell r="C13" t="str">
            <v>SOUTHWEST GAS</v>
          </cell>
          <cell r="D13">
            <v>36510</v>
          </cell>
          <cell r="E13" t="str">
            <v>EPS</v>
          </cell>
          <cell r="F13" t="str">
            <v>ANN</v>
          </cell>
          <cell r="G13" t="str">
            <v>1</v>
          </cell>
          <cell r="H13">
            <v>6</v>
          </cell>
          <cell r="I13">
            <v>1.27</v>
          </cell>
          <cell r="J13">
            <v>1.26</v>
          </cell>
          <cell r="K13">
            <v>7.0000000000000007E-2</v>
          </cell>
          <cell r="L13">
            <v>36525</v>
          </cell>
          <cell r="M13">
            <v>1.27</v>
          </cell>
          <cell r="N13">
            <v>36578</v>
          </cell>
        </row>
        <row r="14">
          <cell r="B14" t="str">
            <v>WGL</v>
          </cell>
          <cell r="C14" t="str">
            <v>WASH GAS LT</v>
          </cell>
          <cell r="D14">
            <v>36510</v>
          </cell>
          <cell r="E14" t="str">
            <v>EPS</v>
          </cell>
          <cell r="F14" t="str">
            <v>ANN</v>
          </cell>
          <cell r="G14" t="str">
            <v>1</v>
          </cell>
          <cell r="H14">
            <v>13</v>
          </cell>
          <cell r="I14">
            <v>1.9</v>
          </cell>
          <cell r="J14">
            <v>1.9</v>
          </cell>
          <cell r="K14">
            <v>0.05</v>
          </cell>
          <cell r="L14">
            <v>36799</v>
          </cell>
          <cell r="M14">
            <v>1.79</v>
          </cell>
          <cell r="N14">
            <v>36831</v>
          </cell>
        </row>
      </sheetData>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xzeo5ktgxzng7bo"/>
    </sheetNames>
    <sheetDataSet>
      <sheetData sheetId="0">
        <row r="1">
          <cell r="B1" t="str">
            <v>Official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Forecast Period End Date (SAS Format)</v>
          </cell>
          <cell r="M1" t="str">
            <v>Actual Value, from the Detail Actuals File</v>
          </cell>
          <cell r="N1" t="str">
            <v>Announce date of the Actual, from the Detail Actuals File</v>
          </cell>
        </row>
        <row r="2">
          <cell r="B2" t="str">
            <v>ATG</v>
          </cell>
          <cell r="C2" t="str">
            <v>AGL RESOURCES</v>
          </cell>
          <cell r="D2">
            <v>36510</v>
          </cell>
          <cell r="E2" t="str">
            <v>EPS</v>
          </cell>
          <cell r="F2" t="str">
            <v>LTG</v>
          </cell>
          <cell r="G2" t="str">
            <v>0</v>
          </cell>
          <cell r="H2">
            <v>10</v>
          </cell>
          <cell r="I2">
            <v>5</v>
          </cell>
          <cell r="J2">
            <v>5.16</v>
          </cell>
          <cell r="K2">
            <v>1.01</v>
          </cell>
        </row>
        <row r="3">
          <cell r="B3" t="str">
            <v>CGC</v>
          </cell>
          <cell r="C3" t="str">
            <v>CASCADE NAT GAS</v>
          </cell>
          <cell r="D3">
            <v>36510</v>
          </cell>
          <cell r="E3" t="str">
            <v>EPS</v>
          </cell>
          <cell r="F3" t="str">
            <v>LTG</v>
          </cell>
          <cell r="G3" t="str">
            <v>0</v>
          </cell>
          <cell r="H3">
            <v>4</v>
          </cell>
          <cell r="I3">
            <v>4.5</v>
          </cell>
          <cell r="J3">
            <v>4.2</v>
          </cell>
          <cell r="K3">
            <v>1.05</v>
          </cell>
        </row>
        <row r="4">
          <cell r="B4" t="str">
            <v>CPK</v>
          </cell>
          <cell r="C4" t="str">
            <v>CHESAPEAKE UTIL</v>
          </cell>
          <cell r="D4">
            <v>36510</v>
          </cell>
          <cell r="E4" t="str">
            <v>EPS</v>
          </cell>
          <cell r="F4" t="str">
            <v>LTG</v>
          </cell>
          <cell r="G4" t="str">
            <v>0</v>
          </cell>
          <cell r="H4">
            <v>1</v>
          </cell>
          <cell r="I4">
            <v>6</v>
          </cell>
          <cell r="J4">
            <v>6</v>
          </cell>
        </row>
        <row r="5">
          <cell r="B5" t="str">
            <v>ATO</v>
          </cell>
          <cell r="C5" t="str">
            <v>ATMOS ENERGY CP</v>
          </cell>
          <cell r="D5">
            <v>36510</v>
          </cell>
          <cell r="E5" t="str">
            <v>EPS</v>
          </cell>
          <cell r="F5" t="str">
            <v>LTG</v>
          </cell>
          <cell r="G5" t="str">
            <v>0</v>
          </cell>
          <cell r="H5">
            <v>7</v>
          </cell>
          <cell r="I5">
            <v>7</v>
          </cell>
          <cell r="J5">
            <v>7.39</v>
          </cell>
          <cell r="K5">
            <v>2.6</v>
          </cell>
        </row>
        <row r="6">
          <cell r="B6" t="str">
            <v>GAS</v>
          </cell>
          <cell r="C6" t="str">
            <v>NICOR INC</v>
          </cell>
          <cell r="D6">
            <v>36510</v>
          </cell>
          <cell r="E6" t="str">
            <v>EPS</v>
          </cell>
          <cell r="F6" t="str">
            <v>LTG</v>
          </cell>
          <cell r="G6" t="str">
            <v>0</v>
          </cell>
          <cell r="H6">
            <v>8</v>
          </cell>
          <cell r="I6">
            <v>6.45</v>
          </cell>
          <cell r="J6">
            <v>6.49</v>
          </cell>
          <cell r="K6">
            <v>0.92</v>
          </cell>
        </row>
        <row r="7">
          <cell r="B7" t="str">
            <v>LG</v>
          </cell>
          <cell r="C7" t="str">
            <v>LACLEDE GAS</v>
          </cell>
          <cell r="D7">
            <v>36510</v>
          </cell>
          <cell r="E7" t="str">
            <v>EPS</v>
          </cell>
          <cell r="F7" t="str">
            <v>LTG</v>
          </cell>
          <cell r="G7" t="str">
            <v>0</v>
          </cell>
          <cell r="H7">
            <v>2</v>
          </cell>
          <cell r="I7">
            <v>3.5</v>
          </cell>
          <cell r="J7">
            <v>3.5</v>
          </cell>
          <cell r="K7">
            <v>0.71</v>
          </cell>
        </row>
        <row r="8">
          <cell r="B8" t="str">
            <v>KSE</v>
          </cell>
          <cell r="C8" t="str">
            <v>KEYSPAN CP</v>
          </cell>
          <cell r="D8">
            <v>36510</v>
          </cell>
          <cell r="E8" t="str">
            <v>EPS</v>
          </cell>
          <cell r="F8" t="str">
            <v>LTG</v>
          </cell>
          <cell r="G8" t="str">
            <v>0</v>
          </cell>
          <cell r="H8">
            <v>6</v>
          </cell>
          <cell r="I8">
            <v>10</v>
          </cell>
          <cell r="J8">
            <v>9.08</v>
          </cell>
          <cell r="K8">
            <v>2.65</v>
          </cell>
        </row>
        <row r="9">
          <cell r="B9" t="str">
            <v>NI</v>
          </cell>
          <cell r="C9" t="str">
            <v>NISOURCE INC</v>
          </cell>
          <cell r="D9">
            <v>36510</v>
          </cell>
          <cell r="E9" t="str">
            <v>EPS</v>
          </cell>
          <cell r="F9" t="str">
            <v>LTG</v>
          </cell>
          <cell r="G9" t="str">
            <v>0</v>
          </cell>
          <cell r="H9">
            <v>16</v>
          </cell>
          <cell r="I9">
            <v>8</v>
          </cell>
          <cell r="J9">
            <v>7.56</v>
          </cell>
          <cell r="K9">
            <v>2.13</v>
          </cell>
        </row>
        <row r="10">
          <cell r="B10" t="str">
            <v>NJR</v>
          </cell>
          <cell r="C10" t="str">
            <v>NEW JERSEY RES</v>
          </cell>
          <cell r="D10">
            <v>36510</v>
          </cell>
          <cell r="E10" t="str">
            <v>EPS</v>
          </cell>
          <cell r="F10" t="str">
            <v>LTG</v>
          </cell>
          <cell r="G10" t="str">
            <v>0</v>
          </cell>
          <cell r="H10">
            <v>5</v>
          </cell>
          <cell r="I10">
            <v>6</v>
          </cell>
          <cell r="J10">
            <v>5.9</v>
          </cell>
          <cell r="K10">
            <v>0.55000000000000004</v>
          </cell>
        </row>
        <row r="11">
          <cell r="B11" t="str">
            <v>PNY</v>
          </cell>
          <cell r="C11" t="str">
            <v>PIEDMONT NAT GAS</v>
          </cell>
          <cell r="D11">
            <v>36510</v>
          </cell>
          <cell r="E11" t="str">
            <v>EPS</v>
          </cell>
          <cell r="F11" t="str">
            <v>LTG</v>
          </cell>
          <cell r="G11" t="str">
            <v>0</v>
          </cell>
          <cell r="H11">
            <v>7</v>
          </cell>
          <cell r="I11">
            <v>6</v>
          </cell>
          <cell r="J11">
            <v>6.07</v>
          </cell>
          <cell r="K11">
            <v>1.17</v>
          </cell>
        </row>
        <row r="12">
          <cell r="B12" t="str">
            <v>SJI</v>
          </cell>
          <cell r="C12" t="str">
            <v>SO JERSEY INDS</v>
          </cell>
          <cell r="D12">
            <v>36510</v>
          </cell>
          <cell r="E12" t="str">
            <v>EPS</v>
          </cell>
          <cell r="F12" t="str">
            <v>LTG</v>
          </cell>
          <cell r="G12" t="str">
            <v>0</v>
          </cell>
          <cell r="H12">
            <v>3</v>
          </cell>
          <cell r="I12">
            <v>3</v>
          </cell>
          <cell r="J12">
            <v>3.67</v>
          </cell>
          <cell r="K12">
            <v>1.1499999999999999</v>
          </cell>
        </row>
        <row r="13">
          <cell r="B13" t="str">
            <v>SWX</v>
          </cell>
          <cell r="C13" t="str">
            <v>SOUTHWEST GAS</v>
          </cell>
          <cell r="D13">
            <v>36510</v>
          </cell>
          <cell r="E13" t="str">
            <v>EPS</v>
          </cell>
          <cell r="F13" t="str">
            <v>LTG</v>
          </cell>
          <cell r="G13" t="str">
            <v>0</v>
          </cell>
          <cell r="H13">
            <v>3</v>
          </cell>
          <cell r="I13">
            <v>5</v>
          </cell>
          <cell r="J13">
            <v>5</v>
          </cell>
          <cell r="K13">
            <v>1</v>
          </cell>
        </row>
        <row r="14">
          <cell r="B14" t="str">
            <v>WGL</v>
          </cell>
          <cell r="C14" t="str">
            <v>WASH GAS LT</v>
          </cell>
          <cell r="D14">
            <v>36510</v>
          </cell>
          <cell r="E14" t="str">
            <v>EPS</v>
          </cell>
          <cell r="F14" t="str">
            <v>LTG</v>
          </cell>
          <cell r="G14" t="str">
            <v>0</v>
          </cell>
          <cell r="H14">
            <v>8</v>
          </cell>
          <cell r="I14">
            <v>4.75</v>
          </cell>
          <cell r="J14">
            <v>4.63</v>
          </cell>
          <cell r="K14">
            <v>1.38</v>
          </cell>
        </row>
      </sheetData>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RDS"/>
    </sheetNames>
    <sheetDataSet>
      <sheetData sheetId="0">
        <row r="1">
          <cell r="A1" t="str">
            <v>OFTIC</v>
          </cell>
          <cell r="B1" t="str">
            <v>IBES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USFIRM=0 if from .INT file and USFIRM=1 if from .US file</v>
          </cell>
          <cell r="L1" t="str">
            <v>Forecast Period End Date (SAS Format)</v>
          </cell>
          <cell r="M1" t="str">
            <v>Actual Value, from the Detail Actuals File</v>
          </cell>
          <cell r="N1" t="str">
            <v>Announce date of the Actual, from the Detail Actuals File</v>
          </cell>
        </row>
        <row r="2">
          <cell r="A2" t="str">
            <v>AGR</v>
          </cell>
          <cell r="B2" t="str">
            <v>AGR2</v>
          </cell>
          <cell r="C2" t="str">
            <v>ARGENTARIA</v>
          </cell>
          <cell r="D2">
            <v>19981217</v>
          </cell>
          <cell r="E2" t="str">
            <v>EPS</v>
          </cell>
          <cell r="F2" t="str">
            <v>ANN</v>
          </cell>
          <cell r="G2">
            <v>1</v>
          </cell>
          <cell r="H2">
            <v>3</v>
          </cell>
          <cell r="I2">
            <v>1.92</v>
          </cell>
          <cell r="J2">
            <v>1.93</v>
          </cell>
          <cell r="K2">
            <v>1</v>
          </cell>
          <cell r="L2">
            <v>19981231</v>
          </cell>
          <cell r="N2">
            <v>19991021</v>
          </cell>
        </row>
        <row r="3">
          <cell r="A3" t="str">
            <v>PNW</v>
          </cell>
          <cell r="B3" t="str">
            <v>AZP</v>
          </cell>
          <cell r="C3" t="str">
            <v>PINNACLE WST CAP</v>
          </cell>
          <cell r="D3">
            <v>19981217</v>
          </cell>
          <cell r="E3" t="str">
            <v>EPS</v>
          </cell>
          <cell r="F3" t="str">
            <v>ANN</v>
          </cell>
          <cell r="G3">
            <v>1</v>
          </cell>
          <cell r="H3">
            <v>16</v>
          </cell>
          <cell r="I3">
            <v>2.85</v>
          </cell>
          <cell r="J3">
            <v>2.86</v>
          </cell>
          <cell r="K3">
            <v>1</v>
          </cell>
          <cell r="L3">
            <v>19981231</v>
          </cell>
          <cell r="M3">
            <v>2.85</v>
          </cell>
          <cell r="N3">
            <v>19990120</v>
          </cell>
        </row>
        <row r="4">
          <cell r="A4" t="str">
            <v>BKH</v>
          </cell>
          <cell r="B4" t="str">
            <v>BHP</v>
          </cell>
          <cell r="C4" t="str">
            <v>BLACK HILLS CP</v>
          </cell>
          <cell r="D4">
            <v>19981217</v>
          </cell>
          <cell r="E4" t="str">
            <v>EPS</v>
          </cell>
          <cell r="F4" t="str">
            <v>ANN</v>
          </cell>
          <cell r="G4">
            <v>1</v>
          </cell>
          <cell r="H4">
            <v>3</v>
          </cell>
          <cell r="I4">
            <v>1.55</v>
          </cell>
          <cell r="J4">
            <v>1.55</v>
          </cell>
          <cell r="K4">
            <v>1</v>
          </cell>
          <cell r="L4">
            <v>19981231</v>
          </cell>
          <cell r="M4">
            <v>2.78</v>
          </cell>
          <cell r="N4">
            <v>19990128</v>
          </cell>
        </row>
        <row r="5">
          <cell r="A5" t="str">
            <v>CIN</v>
          </cell>
          <cell r="B5" t="str">
            <v>CIN</v>
          </cell>
          <cell r="C5" t="str">
            <v>CINERGY CORP</v>
          </cell>
          <cell r="D5">
            <v>19981217</v>
          </cell>
          <cell r="E5" t="str">
            <v>EPS</v>
          </cell>
          <cell r="F5" t="str">
            <v>ANN</v>
          </cell>
          <cell r="G5">
            <v>1</v>
          </cell>
          <cell r="H5">
            <v>18</v>
          </cell>
          <cell r="I5">
            <v>2.25</v>
          </cell>
          <cell r="J5">
            <v>2.23</v>
          </cell>
          <cell r="K5">
            <v>1</v>
          </cell>
          <cell r="L5">
            <v>19981231</v>
          </cell>
          <cell r="M5">
            <v>2.17</v>
          </cell>
          <cell r="N5">
            <v>19990128</v>
          </cell>
        </row>
        <row r="6">
          <cell r="A6" t="str">
            <v>CMS</v>
          </cell>
          <cell r="B6" t="str">
            <v>CMS</v>
          </cell>
          <cell r="C6" t="str">
            <v>CMS ENERGY CORP</v>
          </cell>
          <cell r="D6">
            <v>19981217</v>
          </cell>
          <cell r="E6" t="str">
            <v>EPS</v>
          </cell>
          <cell r="F6" t="str">
            <v>ANN</v>
          </cell>
          <cell r="G6">
            <v>1</v>
          </cell>
          <cell r="H6">
            <v>20</v>
          </cell>
          <cell r="I6">
            <v>2.75</v>
          </cell>
          <cell r="J6">
            <v>2.7</v>
          </cell>
          <cell r="K6">
            <v>1</v>
          </cell>
          <cell r="L6">
            <v>19981231</v>
          </cell>
          <cell r="M6">
            <v>2.58</v>
          </cell>
          <cell r="N6">
            <v>19990120</v>
          </cell>
        </row>
        <row r="7">
          <cell r="A7" t="str">
            <v>CNL</v>
          </cell>
          <cell r="B7" t="str">
            <v>CNL</v>
          </cell>
          <cell r="C7" t="str">
            <v>CLECO CORP</v>
          </cell>
          <cell r="D7">
            <v>19981217</v>
          </cell>
          <cell r="E7" t="str">
            <v>EPS</v>
          </cell>
          <cell r="F7" t="str">
            <v>ANN</v>
          </cell>
          <cell r="G7">
            <v>1</v>
          </cell>
          <cell r="H7">
            <v>3</v>
          </cell>
          <cell r="I7">
            <v>1.1499999999999999</v>
          </cell>
          <cell r="J7">
            <v>1.1599999999999999</v>
          </cell>
          <cell r="K7">
            <v>1</v>
          </cell>
          <cell r="L7">
            <v>19981231</v>
          </cell>
          <cell r="M7">
            <v>1.1200000000000001</v>
          </cell>
          <cell r="N7">
            <v>19990127</v>
          </cell>
        </row>
        <row r="8">
          <cell r="A8" t="str">
            <v>CNP</v>
          </cell>
          <cell r="B8" t="str">
            <v>CNP</v>
          </cell>
          <cell r="C8" t="str">
            <v>CROWN CENT PETE</v>
          </cell>
          <cell r="D8">
            <v>19981217</v>
          </cell>
          <cell r="E8" t="str">
            <v>EPS</v>
          </cell>
          <cell r="F8" t="str">
            <v>ANN</v>
          </cell>
          <cell r="G8">
            <v>1</v>
          </cell>
          <cell r="H8">
            <v>1</v>
          </cell>
          <cell r="I8">
            <v>-1.33</v>
          </cell>
          <cell r="J8">
            <v>-1.33</v>
          </cell>
          <cell r="K8">
            <v>1</v>
          </cell>
          <cell r="L8">
            <v>19981231</v>
          </cell>
        </row>
        <row r="9">
          <cell r="A9" t="str">
            <v>D</v>
          </cell>
          <cell r="B9" t="str">
            <v>D</v>
          </cell>
          <cell r="C9" t="str">
            <v>DOMINION RES INC</v>
          </cell>
          <cell r="D9">
            <v>19981217</v>
          </cell>
          <cell r="E9" t="str">
            <v>EPS</v>
          </cell>
          <cell r="F9" t="str">
            <v>ANN</v>
          </cell>
          <cell r="G9">
            <v>1</v>
          </cell>
          <cell r="H9">
            <v>21</v>
          </cell>
          <cell r="I9">
            <v>1.38</v>
          </cell>
          <cell r="J9">
            <v>1.38</v>
          </cell>
          <cell r="K9">
            <v>1</v>
          </cell>
          <cell r="L9">
            <v>19981231</v>
          </cell>
          <cell r="M9">
            <v>1.375</v>
          </cell>
          <cell r="N9">
            <v>19990122</v>
          </cell>
        </row>
        <row r="10">
          <cell r="A10" t="str">
            <v>DPL</v>
          </cell>
          <cell r="B10" t="str">
            <v>DPL</v>
          </cell>
          <cell r="C10" t="str">
            <v>DPL INC</v>
          </cell>
          <cell r="D10">
            <v>19981217</v>
          </cell>
          <cell r="E10" t="str">
            <v>EPS</v>
          </cell>
          <cell r="F10" t="str">
            <v>ANN</v>
          </cell>
          <cell r="G10">
            <v>1</v>
          </cell>
          <cell r="H10">
            <v>22</v>
          </cell>
          <cell r="I10">
            <v>1.25</v>
          </cell>
          <cell r="J10">
            <v>1.25</v>
          </cell>
          <cell r="K10">
            <v>1</v>
          </cell>
          <cell r="L10">
            <v>19981231</v>
          </cell>
          <cell r="M10">
            <v>1.24</v>
          </cell>
          <cell r="N10">
            <v>19990114</v>
          </cell>
        </row>
        <row r="11">
          <cell r="A11" t="str">
            <v>DTE</v>
          </cell>
          <cell r="B11" t="str">
            <v>DTE</v>
          </cell>
          <cell r="C11" t="str">
            <v>DTE ENERGY</v>
          </cell>
          <cell r="D11">
            <v>19981217</v>
          </cell>
          <cell r="E11" t="str">
            <v>EPS</v>
          </cell>
          <cell r="F11" t="str">
            <v>ANN</v>
          </cell>
          <cell r="G11">
            <v>1</v>
          </cell>
          <cell r="H11">
            <v>21</v>
          </cell>
          <cell r="I11">
            <v>3.05</v>
          </cell>
          <cell r="J11">
            <v>3.06</v>
          </cell>
          <cell r="K11">
            <v>1</v>
          </cell>
          <cell r="L11">
            <v>19981231</v>
          </cell>
          <cell r="M11">
            <v>3.05</v>
          </cell>
          <cell r="N11">
            <v>19990127</v>
          </cell>
        </row>
        <row r="12">
          <cell r="A12" t="str">
            <v>DUK</v>
          </cell>
          <cell r="B12" t="str">
            <v>DUK</v>
          </cell>
          <cell r="C12" t="str">
            <v>DUKE ENERGY CORP</v>
          </cell>
          <cell r="D12">
            <v>19981217</v>
          </cell>
          <cell r="E12" t="str">
            <v>EPS</v>
          </cell>
          <cell r="F12" t="str">
            <v>ANN</v>
          </cell>
          <cell r="G12">
            <v>1</v>
          </cell>
          <cell r="H12">
            <v>28</v>
          </cell>
          <cell r="I12">
            <v>5.0999999999999996</v>
          </cell>
          <cell r="J12">
            <v>5.09</v>
          </cell>
          <cell r="K12">
            <v>1</v>
          </cell>
          <cell r="L12">
            <v>19981231</v>
          </cell>
          <cell r="M12">
            <v>5.1449999999999996</v>
          </cell>
          <cell r="N12">
            <v>19990120</v>
          </cell>
        </row>
        <row r="13">
          <cell r="A13" t="str">
            <v>ED</v>
          </cell>
          <cell r="B13" t="str">
            <v>ED</v>
          </cell>
          <cell r="C13" t="str">
            <v>CONS EDISON INC</v>
          </cell>
          <cell r="D13">
            <v>19981217</v>
          </cell>
          <cell r="E13" t="str">
            <v>EPS</v>
          </cell>
          <cell r="F13" t="str">
            <v>ANN</v>
          </cell>
          <cell r="G13">
            <v>1</v>
          </cell>
          <cell r="H13">
            <v>17</v>
          </cell>
          <cell r="I13">
            <v>3</v>
          </cell>
          <cell r="J13">
            <v>3</v>
          </cell>
          <cell r="K13">
            <v>1</v>
          </cell>
          <cell r="L13">
            <v>19981231</v>
          </cell>
          <cell r="M13">
            <v>3.04</v>
          </cell>
          <cell r="N13">
            <v>19990126</v>
          </cell>
        </row>
        <row r="14">
          <cell r="A14" t="str">
            <v>EDE</v>
          </cell>
          <cell r="B14" t="str">
            <v>EDE</v>
          </cell>
          <cell r="C14" t="str">
            <v>EMPIRE DIST ELEC</v>
          </cell>
          <cell r="D14">
            <v>19981217</v>
          </cell>
          <cell r="E14" t="str">
            <v>EPS</v>
          </cell>
          <cell r="F14" t="str">
            <v>ANN</v>
          </cell>
          <cell r="G14">
            <v>1</v>
          </cell>
          <cell r="H14">
            <v>1</v>
          </cell>
          <cell r="I14">
            <v>1.5</v>
          </cell>
          <cell r="J14">
            <v>1.5</v>
          </cell>
          <cell r="K14">
            <v>1</v>
          </cell>
          <cell r="L14">
            <v>19981231</v>
          </cell>
          <cell r="M14">
            <v>1.53</v>
          </cell>
          <cell r="N14">
            <v>19990129</v>
          </cell>
        </row>
        <row r="15">
          <cell r="A15" t="str">
            <v>EXC</v>
          </cell>
          <cell r="B15" t="str">
            <v>EXC</v>
          </cell>
          <cell r="C15" t="str">
            <v>EXCEL INDS INC</v>
          </cell>
          <cell r="D15">
            <v>19981217</v>
          </cell>
          <cell r="E15" t="str">
            <v>EPS</v>
          </cell>
          <cell r="F15" t="str">
            <v>ANN</v>
          </cell>
          <cell r="G15">
            <v>1</v>
          </cell>
          <cell r="H15">
            <v>2</v>
          </cell>
          <cell r="I15">
            <v>1</v>
          </cell>
          <cell r="J15">
            <v>1</v>
          </cell>
          <cell r="K15">
            <v>1</v>
          </cell>
          <cell r="L15">
            <v>19981231</v>
          </cell>
          <cell r="M15">
            <v>1.01</v>
          </cell>
          <cell r="N15">
            <v>19990218</v>
          </cell>
        </row>
        <row r="16">
          <cell r="A16" t="str">
            <v>FPL</v>
          </cell>
          <cell r="B16" t="str">
            <v>FPL</v>
          </cell>
          <cell r="C16" t="str">
            <v>FPL GROUP</v>
          </cell>
          <cell r="D16">
            <v>19981217</v>
          </cell>
          <cell r="E16" t="str">
            <v>EPS</v>
          </cell>
          <cell r="F16" t="str">
            <v>ANN</v>
          </cell>
          <cell r="G16">
            <v>1</v>
          </cell>
          <cell r="H16">
            <v>26</v>
          </cell>
          <cell r="I16">
            <v>0.48</v>
          </cell>
          <cell r="J16">
            <v>0.48</v>
          </cell>
          <cell r="K16">
            <v>1</v>
          </cell>
          <cell r="L16">
            <v>19981231</v>
          </cell>
          <cell r="M16">
            <v>0.48130000000000001</v>
          </cell>
          <cell r="N16">
            <v>19990115</v>
          </cell>
        </row>
        <row r="17">
          <cell r="A17" t="str">
            <v>HE</v>
          </cell>
          <cell r="B17" t="str">
            <v>HE</v>
          </cell>
          <cell r="C17" t="str">
            <v>HAWAIIAN ELEC</v>
          </cell>
          <cell r="D17">
            <v>19981217</v>
          </cell>
          <cell r="E17" t="str">
            <v>EPS</v>
          </cell>
          <cell r="F17" t="str">
            <v>ANN</v>
          </cell>
          <cell r="G17">
            <v>1</v>
          </cell>
          <cell r="H17">
            <v>9</v>
          </cell>
          <cell r="I17">
            <v>1.45</v>
          </cell>
          <cell r="J17">
            <v>1.46</v>
          </cell>
          <cell r="K17">
            <v>1</v>
          </cell>
          <cell r="L17">
            <v>19981231</v>
          </cell>
          <cell r="M17">
            <v>1.32</v>
          </cell>
          <cell r="N17">
            <v>19990119</v>
          </cell>
        </row>
        <row r="18">
          <cell r="A18" t="str">
            <v>IDA</v>
          </cell>
          <cell r="B18" t="str">
            <v>IDA</v>
          </cell>
          <cell r="C18" t="str">
            <v>IDACORP INC.</v>
          </cell>
          <cell r="D18">
            <v>19981217</v>
          </cell>
          <cell r="E18" t="str">
            <v>EPS</v>
          </cell>
          <cell r="F18" t="str">
            <v>ANN</v>
          </cell>
          <cell r="G18">
            <v>1</v>
          </cell>
          <cell r="H18">
            <v>7</v>
          </cell>
          <cell r="I18">
            <v>2.36</v>
          </cell>
          <cell r="J18">
            <v>2.37</v>
          </cell>
          <cell r="K18">
            <v>1</v>
          </cell>
          <cell r="L18">
            <v>19981231</v>
          </cell>
          <cell r="M18">
            <v>2.37</v>
          </cell>
          <cell r="N18">
            <v>19990129</v>
          </cell>
        </row>
        <row r="19">
          <cell r="A19" t="str">
            <v>WR</v>
          </cell>
          <cell r="B19" t="str">
            <v>KAN</v>
          </cell>
          <cell r="C19" t="str">
            <v>WESTN RESOURCES</v>
          </cell>
          <cell r="D19">
            <v>19981217</v>
          </cell>
          <cell r="E19" t="str">
            <v>EPS</v>
          </cell>
          <cell r="F19" t="str">
            <v>ANN</v>
          </cell>
          <cell r="G19">
            <v>1</v>
          </cell>
          <cell r="H19">
            <v>13</v>
          </cell>
          <cell r="I19">
            <v>2.65</v>
          </cell>
          <cell r="J19">
            <v>2.62</v>
          </cell>
          <cell r="K19">
            <v>1</v>
          </cell>
          <cell r="L19">
            <v>19981231</v>
          </cell>
          <cell r="M19">
            <v>2.5</v>
          </cell>
          <cell r="N19">
            <v>19990128</v>
          </cell>
        </row>
        <row r="20">
          <cell r="A20" t="str">
            <v>ETR</v>
          </cell>
          <cell r="B20" t="str">
            <v>MSU</v>
          </cell>
          <cell r="C20" t="str">
            <v>ENTERGY CP</v>
          </cell>
          <cell r="D20">
            <v>19981217</v>
          </cell>
          <cell r="E20" t="str">
            <v>EPS</v>
          </cell>
          <cell r="F20" t="str">
            <v>ANN</v>
          </cell>
          <cell r="G20">
            <v>1</v>
          </cell>
          <cell r="H20">
            <v>14</v>
          </cell>
          <cell r="I20">
            <v>2</v>
          </cell>
          <cell r="J20">
            <v>2</v>
          </cell>
          <cell r="K20">
            <v>1</v>
          </cell>
          <cell r="L20">
            <v>19981231</v>
          </cell>
          <cell r="M20">
            <v>2.21</v>
          </cell>
          <cell r="N20">
            <v>19990218</v>
          </cell>
        </row>
        <row r="21">
          <cell r="A21" t="str">
            <v>NU</v>
          </cell>
          <cell r="B21" t="str">
            <v>NU</v>
          </cell>
          <cell r="C21" t="str">
            <v>NORTHEAST UTILS</v>
          </cell>
          <cell r="D21">
            <v>19981217</v>
          </cell>
          <cell r="E21" t="str">
            <v>EPS</v>
          </cell>
          <cell r="F21" t="str">
            <v>ANN</v>
          </cell>
          <cell r="G21">
            <v>1</v>
          </cell>
          <cell r="H21">
            <v>12</v>
          </cell>
          <cell r="I21">
            <v>-0.25</v>
          </cell>
          <cell r="J21">
            <v>-0.26</v>
          </cell>
          <cell r="K21">
            <v>1</v>
          </cell>
          <cell r="L21">
            <v>19981231</v>
          </cell>
          <cell r="M21">
            <v>-0.21</v>
          </cell>
          <cell r="N21">
            <v>19990209</v>
          </cell>
        </row>
        <row r="22">
          <cell r="A22" t="str">
            <v>FE</v>
          </cell>
          <cell r="B22" t="str">
            <v>OEC</v>
          </cell>
          <cell r="C22" t="str">
            <v>FIRSTENERGY CORP</v>
          </cell>
          <cell r="D22">
            <v>19981217</v>
          </cell>
          <cell r="E22" t="str">
            <v>EPS</v>
          </cell>
          <cell r="F22" t="str">
            <v>ANN</v>
          </cell>
          <cell r="G22">
            <v>1</v>
          </cell>
          <cell r="H22">
            <v>22</v>
          </cell>
          <cell r="I22">
            <v>2.15</v>
          </cell>
          <cell r="J22">
            <v>2.15</v>
          </cell>
          <cell r="K22">
            <v>1</v>
          </cell>
          <cell r="L22">
            <v>19981231</v>
          </cell>
          <cell r="M22">
            <v>1.95</v>
          </cell>
          <cell r="N22">
            <v>19990119</v>
          </cell>
        </row>
        <row r="23">
          <cell r="A23" t="str">
            <v>OGE</v>
          </cell>
          <cell r="B23" t="str">
            <v>OGE</v>
          </cell>
          <cell r="C23" t="str">
            <v>OGE ENERGY CORP</v>
          </cell>
          <cell r="D23">
            <v>19981217</v>
          </cell>
          <cell r="E23" t="str">
            <v>EPS</v>
          </cell>
          <cell r="F23" t="str">
            <v>ANN</v>
          </cell>
          <cell r="G23">
            <v>1</v>
          </cell>
          <cell r="H23">
            <v>14</v>
          </cell>
          <cell r="I23">
            <v>0.99</v>
          </cell>
          <cell r="J23">
            <v>0.96</v>
          </cell>
          <cell r="K23">
            <v>1</v>
          </cell>
          <cell r="L23">
            <v>19981231</v>
          </cell>
          <cell r="M23">
            <v>1.0225</v>
          </cell>
          <cell r="N23">
            <v>19990125</v>
          </cell>
        </row>
        <row r="24">
          <cell r="A24" t="str">
            <v>OTTR</v>
          </cell>
          <cell r="B24" t="str">
            <v>OTTR</v>
          </cell>
          <cell r="C24" t="str">
            <v>OTTER TAIL PWR</v>
          </cell>
          <cell r="D24">
            <v>19981217</v>
          </cell>
          <cell r="E24" t="str">
            <v>EPS</v>
          </cell>
          <cell r="F24" t="str">
            <v>ANN</v>
          </cell>
          <cell r="G24">
            <v>1</v>
          </cell>
          <cell r="H24">
            <v>2</v>
          </cell>
          <cell r="I24">
            <v>1.38</v>
          </cell>
          <cell r="J24">
            <v>1.38</v>
          </cell>
          <cell r="K24">
            <v>1</v>
          </cell>
          <cell r="L24">
            <v>19981231</v>
          </cell>
          <cell r="M24">
            <v>1.365</v>
          </cell>
          <cell r="N24">
            <v>19990209</v>
          </cell>
        </row>
        <row r="25">
          <cell r="A25" t="str">
            <v>PCG</v>
          </cell>
          <cell r="B25" t="str">
            <v>PCG</v>
          </cell>
          <cell r="C25" t="str">
            <v>P G &amp; E CORP</v>
          </cell>
          <cell r="D25">
            <v>19981217</v>
          </cell>
          <cell r="E25" t="str">
            <v>EPS</v>
          </cell>
          <cell r="F25" t="str">
            <v>ANN</v>
          </cell>
          <cell r="G25">
            <v>1</v>
          </cell>
          <cell r="H25">
            <v>20</v>
          </cell>
          <cell r="I25">
            <v>1.8</v>
          </cell>
          <cell r="J25">
            <v>1.79</v>
          </cell>
          <cell r="K25">
            <v>1</v>
          </cell>
          <cell r="L25">
            <v>19981231</v>
          </cell>
          <cell r="M25">
            <v>1.88</v>
          </cell>
          <cell r="N25">
            <v>19990120</v>
          </cell>
        </row>
        <row r="26">
          <cell r="A26" t="str">
            <v>PEG</v>
          </cell>
          <cell r="B26" t="str">
            <v>PEG</v>
          </cell>
          <cell r="C26" t="str">
            <v>PUB SVC ENTERS</v>
          </cell>
          <cell r="D26">
            <v>19981217</v>
          </cell>
          <cell r="E26" t="str">
            <v>EPS</v>
          </cell>
          <cell r="F26" t="str">
            <v>ANN</v>
          </cell>
          <cell r="G26">
            <v>1</v>
          </cell>
          <cell r="H26">
            <v>21</v>
          </cell>
          <cell r="I26">
            <v>1.38</v>
          </cell>
          <cell r="J26">
            <v>1.38</v>
          </cell>
          <cell r="K26">
            <v>1</v>
          </cell>
          <cell r="L26">
            <v>19981231</v>
          </cell>
          <cell r="M26">
            <v>1.395</v>
          </cell>
          <cell r="N26">
            <v>19990119</v>
          </cell>
        </row>
        <row r="27">
          <cell r="A27" t="str">
            <v>PNM</v>
          </cell>
          <cell r="B27" t="str">
            <v>PNM</v>
          </cell>
          <cell r="C27" t="str">
            <v>PUB SVC N MEX</v>
          </cell>
          <cell r="D27">
            <v>19981217</v>
          </cell>
          <cell r="E27" t="str">
            <v>EPS</v>
          </cell>
          <cell r="F27" t="str">
            <v>ANN</v>
          </cell>
          <cell r="G27">
            <v>1</v>
          </cell>
          <cell r="H27">
            <v>10</v>
          </cell>
          <cell r="I27">
            <v>1.33</v>
          </cell>
          <cell r="J27">
            <v>1.32</v>
          </cell>
          <cell r="K27">
            <v>1</v>
          </cell>
          <cell r="L27">
            <v>19981231</v>
          </cell>
          <cell r="M27">
            <v>1.58</v>
          </cell>
          <cell r="N27">
            <v>19990127</v>
          </cell>
        </row>
        <row r="28">
          <cell r="A28" t="str">
            <v>POM</v>
          </cell>
          <cell r="B28" t="str">
            <v>POM</v>
          </cell>
          <cell r="C28" t="str">
            <v>POTOMAC ELEC</v>
          </cell>
          <cell r="D28">
            <v>19981217</v>
          </cell>
          <cell r="E28" t="str">
            <v>EPS</v>
          </cell>
          <cell r="F28" t="str">
            <v>ANN</v>
          </cell>
          <cell r="G28">
            <v>1</v>
          </cell>
          <cell r="H28">
            <v>17</v>
          </cell>
          <cell r="I28">
            <v>1.8</v>
          </cell>
          <cell r="J28">
            <v>1.81</v>
          </cell>
          <cell r="K28">
            <v>1</v>
          </cell>
          <cell r="L28">
            <v>19981231</v>
          </cell>
          <cell r="M28">
            <v>1.8</v>
          </cell>
          <cell r="N28">
            <v>19990128</v>
          </cell>
        </row>
        <row r="29">
          <cell r="A29" t="str">
            <v>PPL</v>
          </cell>
          <cell r="B29" t="str">
            <v>PPL</v>
          </cell>
          <cell r="C29" t="str">
            <v>PP&amp;L RESOURCES</v>
          </cell>
          <cell r="D29">
            <v>19981217</v>
          </cell>
          <cell r="E29" t="str">
            <v>EPS</v>
          </cell>
          <cell r="F29" t="str">
            <v>ANN</v>
          </cell>
          <cell r="G29">
            <v>1</v>
          </cell>
          <cell r="H29">
            <v>15</v>
          </cell>
          <cell r="I29">
            <v>0.98</v>
          </cell>
          <cell r="J29">
            <v>0.99</v>
          </cell>
          <cell r="K29">
            <v>1</v>
          </cell>
          <cell r="L29">
            <v>19981231</v>
          </cell>
          <cell r="M29">
            <v>0.98</v>
          </cell>
          <cell r="N29">
            <v>19990127</v>
          </cell>
        </row>
        <row r="30">
          <cell r="A30" t="str">
            <v>PSD</v>
          </cell>
          <cell r="B30" t="str">
            <v>PSD</v>
          </cell>
          <cell r="C30" t="str">
            <v>PUGET SOUND ENGY</v>
          </cell>
          <cell r="D30">
            <v>19981217</v>
          </cell>
          <cell r="E30" t="str">
            <v>EPS</v>
          </cell>
          <cell r="F30" t="str">
            <v>ANN</v>
          </cell>
          <cell r="G30">
            <v>1</v>
          </cell>
          <cell r="H30">
            <v>7</v>
          </cell>
          <cell r="I30">
            <v>1.78</v>
          </cell>
          <cell r="J30">
            <v>1.77</v>
          </cell>
          <cell r="K30">
            <v>1</v>
          </cell>
          <cell r="L30">
            <v>19981231</v>
          </cell>
          <cell r="M30">
            <v>1.85</v>
          </cell>
          <cell r="N30">
            <v>19990212</v>
          </cell>
        </row>
        <row r="31">
          <cell r="A31" t="str">
            <v>EIX</v>
          </cell>
          <cell r="B31" t="str">
            <v>SCE</v>
          </cell>
          <cell r="C31" t="str">
            <v>EDISON INTL</v>
          </cell>
          <cell r="D31">
            <v>19981217</v>
          </cell>
          <cell r="E31" t="str">
            <v>EPS</v>
          </cell>
          <cell r="F31" t="str">
            <v>ANN</v>
          </cell>
          <cell r="G31">
            <v>1</v>
          </cell>
          <cell r="H31">
            <v>22</v>
          </cell>
          <cell r="I31">
            <v>1.85</v>
          </cell>
          <cell r="J31">
            <v>1.84</v>
          </cell>
          <cell r="K31">
            <v>1</v>
          </cell>
          <cell r="L31">
            <v>19981231</v>
          </cell>
          <cell r="M31">
            <v>1.85</v>
          </cell>
          <cell r="N31">
            <v>19990122</v>
          </cell>
        </row>
        <row r="32">
          <cell r="A32" t="str">
            <v>SCG</v>
          </cell>
          <cell r="B32" t="str">
            <v>SCG</v>
          </cell>
          <cell r="C32" t="str">
            <v>SCANA CP</v>
          </cell>
          <cell r="D32">
            <v>19981217</v>
          </cell>
          <cell r="E32" t="str">
            <v>EPS</v>
          </cell>
          <cell r="F32" t="str">
            <v>ANN</v>
          </cell>
          <cell r="G32">
            <v>1</v>
          </cell>
          <cell r="H32">
            <v>14</v>
          </cell>
          <cell r="I32">
            <v>2.11</v>
          </cell>
          <cell r="J32">
            <v>2.11</v>
          </cell>
          <cell r="K32">
            <v>1</v>
          </cell>
          <cell r="L32">
            <v>19981231</v>
          </cell>
          <cell r="M32">
            <v>2.0699999999999998</v>
          </cell>
          <cell r="N32">
            <v>19990208</v>
          </cell>
        </row>
        <row r="33">
          <cell r="A33" t="str">
            <v>SRE</v>
          </cell>
          <cell r="B33" t="str">
            <v>SDO</v>
          </cell>
          <cell r="C33" t="str">
            <v>SEMPRA ENERGY</v>
          </cell>
          <cell r="D33">
            <v>19981217</v>
          </cell>
          <cell r="E33" t="str">
            <v>EPS</v>
          </cell>
          <cell r="F33" t="str">
            <v>ANN</v>
          </cell>
          <cell r="G33">
            <v>1</v>
          </cell>
          <cell r="H33">
            <v>13</v>
          </cell>
          <cell r="I33">
            <v>1.65</v>
          </cell>
          <cell r="J33">
            <v>1.67</v>
          </cell>
          <cell r="K33">
            <v>1</v>
          </cell>
          <cell r="L33">
            <v>19981231</v>
          </cell>
          <cell r="M33">
            <v>1.67</v>
          </cell>
          <cell r="N33">
            <v>19990127</v>
          </cell>
        </row>
        <row r="34">
          <cell r="A34" t="str">
            <v>SO</v>
          </cell>
          <cell r="B34" t="str">
            <v>SO</v>
          </cell>
          <cell r="C34" t="str">
            <v>SOUTHN CO</v>
          </cell>
          <cell r="D34">
            <v>19981217</v>
          </cell>
          <cell r="E34" t="str">
            <v>EPS</v>
          </cell>
          <cell r="F34" t="str">
            <v>ANN</v>
          </cell>
          <cell r="G34">
            <v>1</v>
          </cell>
          <cell r="H34">
            <v>26</v>
          </cell>
          <cell r="I34">
            <v>1.76</v>
          </cell>
          <cell r="J34">
            <v>1.77</v>
          </cell>
          <cell r="K34">
            <v>1</v>
          </cell>
          <cell r="L34">
            <v>19981231</v>
          </cell>
          <cell r="M34">
            <v>1.73</v>
          </cell>
          <cell r="N34">
            <v>19990119</v>
          </cell>
        </row>
        <row r="35">
          <cell r="A35" t="str">
            <v>TE</v>
          </cell>
          <cell r="B35" t="str">
            <v>TE</v>
          </cell>
          <cell r="C35" t="str">
            <v>TECO ENERGY INC</v>
          </cell>
          <cell r="D35">
            <v>19981217</v>
          </cell>
          <cell r="E35" t="str">
            <v>EPS</v>
          </cell>
          <cell r="F35" t="str">
            <v>ANN</v>
          </cell>
          <cell r="G35">
            <v>1</v>
          </cell>
          <cell r="H35">
            <v>22</v>
          </cell>
          <cell r="I35">
            <v>1.75</v>
          </cell>
          <cell r="J35">
            <v>1.76</v>
          </cell>
          <cell r="K35">
            <v>1</v>
          </cell>
          <cell r="L35">
            <v>19981231</v>
          </cell>
          <cell r="M35">
            <v>1.68</v>
          </cell>
          <cell r="N35">
            <v>19990115</v>
          </cell>
        </row>
        <row r="36">
          <cell r="A36" t="str">
            <v>AEE</v>
          </cell>
          <cell r="B36" t="str">
            <v>UEP</v>
          </cell>
          <cell r="C36" t="str">
            <v>AMEREN CP</v>
          </cell>
          <cell r="D36">
            <v>19981217</v>
          </cell>
          <cell r="E36" t="str">
            <v>EPS</v>
          </cell>
          <cell r="F36" t="str">
            <v>ANN</v>
          </cell>
          <cell r="G36">
            <v>1</v>
          </cell>
          <cell r="H36">
            <v>16</v>
          </cell>
          <cell r="I36">
            <v>2.83</v>
          </cell>
          <cell r="J36">
            <v>2.82</v>
          </cell>
          <cell r="K36">
            <v>1</v>
          </cell>
          <cell r="L36">
            <v>19981231</v>
          </cell>
          <cell r="M36">
            <v>2.82</v>
          </cell>
          <cell r="N36">
            <v>19990204</v>
          </cell>
        </row>
        <row r="37">
          <cell r="A37" t="str">
            <v>UIL</v>
          </cell>
          <cell r="B37" t="str">
            <v>UIL</v>
          </cell>
          <cell r="C37" t="str">
            <v>UTD ILLUM COO</v>
          </cell>
          <cell r="D37">
            <v>19981217</v>
          </cell>
          <cell r="E37" t="str">
            <v>EPS</v>
          </cell>
          <cell r="F37" t="str">
            <v>ANN</v>
          </cell>
          <cell r="G37">
            <v>1</v>
          </cell>
          <cell r="H37">
            <v>5</v>
          </cell>
          <cell r="I37">
            <v>2.13</v>
          </cell>
          <cell r="J37">
            <v>2.13</v>
          </cell>
          <cell r="K37">
            <v>1</v>
          </cell>
          <cell r="L37">
            <v>19981231</v>
          </cell>
          <cell r="M37">
            <v>2.052</v>
          </cell>
          <cell r="N37">
            <v>19990212</v>
          </cell>
        </row>
        <row r="38">
          <cell r="A38" t="str">
            <v>WEC</v>
          </cell>
          <cell r="B38" t="str">
            <v>WPC</v>
          </cell>
          <cell r="C38" t="str">
            <v>WISCONSIN ENERGY</v>
          </cell>
          <cell r="D38">
            <v>19981217</v>
          </cell>
          <cell r="E38" t="str">
            <v>EPS</v>
          </cell>
          <cell r="F38" t="str">
            <v>ANN</v>
          </cell>
          <cell r="G38">
            <v>1</v>
          </cell>
          <cell r="H38">
            <v>19</v>
          </cell>
          <cell r="I38">
            <v>0.92</v>
          </cell>
          <cell r="J38">
            <v>0.93</v>
          </cell>
          <cell r="K38">
            <v>1</v>
          </cell>
          <cell r="L38">
            <v>19981231</v>
          </cell>
          <cell r="M38">
            <v>0.81499999999999995</v>
          </cell>
          <cell r="N38">
            <v>19990128</v>
          </cell>
        </row>
        <row r="39">
          <cell r="A39" t="str">
            <v>LNT</v>
          </cell>
          <cell r="B39" t="str">
            <v>WPL</v>
          </cell>
          <cell r="C39" t="str">
            <v>INTERSTATE ENER</v>
          </cell>
          <cell r="D39">
            <v>19981217</v>
          </cell>
          <cell r="E39" t="str">
            <v>EPS</v>
          </cell>
          <cell r="F39" t="str">
            <v>ANN</v>
          </cell>
          <cell r="G39">
            <v>1</v>
          </cell>
          <cell r="H39">
            <v>5</v>
          </cell>
          <cell r="I39">
            <v>1</v>
          </cell>
          <cell r="J39">
            <v>1</v>
          </cell>
          <cell r="K39">
            <v>1</v>
          </cell>
          <cell r="L39">
            <v>19981231</v>
          </cell>
          <cell r="M39">
            <v>0.84</v>
          </cell>
          <cell r="N39">
            <v>19990203</v>
          </cell>
        </row>
        <row r="40">
          <cell r="A40" t="str">
            <v>WPS</v>
          </cell>
          <cell r="B40" t="str">
            <v>WPS</v>
          </cell>
          <cell r="C40" t="str">
            <v>WPS RESOURCES CP</v>
          </cell>
          <cell r="D40">
            <v>19981217</v>
          </cell>
          <cell r="E40" t="str">
            <v>EPS</v>
          </cell>
          <cell r="F40" t="str">
            <v>ANN</v>
          </cell>
          <cell r="G40">
            <v>1</v>
          </cell>
          <cell r="H40">
            <v>7</v>
          </cell>
          <cell r="I40">
            <v>2.1</v>
          </cell>
          <cell r="J40">
            <v>2.13</v>
          </cell>
          <cell r="K40">
            <v>1</v>
          </cell>
          <cell r="L40">
            <v>19981231</v>
          </cell>
          <cell r="M40">
            <v>1.82</v>
          </cell>
          <cell r="N40">
            <v>19990129</v>
          </cell>
        </row>
        <row r="41">
          <cell r="A41" t="str">
            <v>DPL</v>
          </cell>
          <cell r="B41" t="str">
            <v>@3DK</v>
          </cell>
          <cell r="C41" t="str">
            <v>DANKOTUWA PORC.</v>
          </cell>
          <cell r="D41">
            <v>19981217</v>
          </cell>
          <cell r="E41" t="str">
            <v>EPS</v>
          </cell>
          <cell r="F41" t="str">
            <v>ANN</v>
          </cell>
          <cell r="G41">
            <v>1</v>
          </cell>
          <cell r="H41">
            <v>2</v>
          </cell>
          <cell r="I41">
            <v>2.56</v>
          </cell>
          <cell r="J41">
            <v>2.56</v>
          </cell>
          <cell r="K41">
            <v>0</v>
          </cell>
          <cell r="L41">
            <v>19981231</v>
          </cell>
          <cell r="M41">
            <v>2.5024999999999999</v>
          </cell>
          <cell r="N41">
            <v>20000225</v>
          </cell>
        </row>
        <row r="42">
          <cell r="A42" t="str">
            <v>AGR</v>
          </cell>
          <cell r="B42" t="str">
            <v>@5CD</v>
          </cell>
          <cell r="C42" t="str">
            <v>A M MOOLLA GROUP</v>
          </cell>
          <cell r="D42">
            <v>19981217</v>
          </cell>
          <cell r="E42" t="str">
            <v>EPS</v>
          </cell>
          <cell r="F42" t="str">
            <v>ANN</v>
          </cell>
          <cell r="G42">
            <v>1</v>
          </cell>
          <cell r="H42">
            <v>2</v>
          </cell>
          <cell r="I42">
            <v>3.03</v>
          </cell>
          <cell r="J42">
            <v>3.03</v>
          </cell>
          <cell r="K42">
            <v>0</v>
          </cell>
          <cell r="L42">
            <v>19990228</v>
          </cell>
          <cell r="M42">
            <v>2.44</v>
          </cell>
          <cell r="N42">
            <v>19990715</v>
          </cell>
        </row>
        <row r="43">
          <cell r="A43" t="str">
            <v>AGR</v>
          </cell>
          <cell r="B43" t="str">
            <v>@AG6</v>
          </cell>
          <cell r="C43" t="str">
            <v>AGRESSO GROUP</v>
          </cell>
          <cell r="D43">
            <v>19981217</v>
          </cell>
          <cell r="E43" t="str">
            <v>EPS</v>
          </cell>
          <cell r="F43" t="str">
            <v>ANN</v>
          </cell>
          <cell r="G43">
            <v>1</v>
          </cell>
          <cell r="H43">
            <v>4</v>
          </cell>
          <cell r="I43">
            <v>0.62</v>
          </cell>
          <cell r="J43">
            <v>0.65</v>
          </cell>
          <cell r="K43">
            <v>0</v>
          </cell>
          <cell r="L43">
            <v>19981231</v>
          </cell>
          <cell r="M43">
            <v>0.49</v>
          </cell>
          <cell r="N43">
            <v>19990308</v>
          </cell>
        </row>
        <row r="44">
          <cell r="A44" t="str">
            <v>AGR</v>
          </cell>
          <cell r="B44" t="str">
            <v>@AGM</v>
          </cell>
          <cell r="C44" t="str">
            <v>AGROMAN</v>
          </cell>
          <cell r="D44">
            <v>19981217</v>
          </cell>
          <cell r="E44" t="str">
            <v>EPS</v>
          </cell>
          <cell r="F44" t="str">
            <v>ANN</v>
          </cell>
          <cell r="G44">
            <v>1</v>
          </cell>
          <cell r="H44">
            <v>10</v>
          </cell>
          <cell r="I44">
            <v>47</v>
          </cell>
          <cell r="J44">
            <v>46</v>
          </cell>
          <cell r="K44">
            <v>0</v>
          </cell>
          <cell r="L44">
            <v>19981231</v>
          </cell>
          <cell r="M44">
            <v>0.28699999999999998</v>
          </cell>
          <cell r="N44">
            <v>19990429</v>
          </cell>
        </row>
        <row r="45">
          <cell r="A45" t="str">
            <v>AVA</v>
          </cell>
          <cell r="B45" t="str">
            <v>@AHV</v>
          </cell>
          <cell r="C45" t="str">
            <v>AVA</v>
          </cell>
          <cell r="D45">
            <v>19981217</v>
          </cell>
          <cell r="E45" t="str">
            <v>EPS</v>
          </cell>
          <cell r="F45" t="str">
            <v>ANN</v>
          </cell>
          <cell r="G45">
            <v>1</v>
          </cell>
          <cell r="H45">
            <v>26</v>
          </cell>
          <cell r="I45">
            <v>1.4</v>
          </cell>
          <cell r="J45">
            <v>1.5</v>
          </cell>
          <cell r="K45">
            <v>0</v>
          </cell>
          <cell r="L45">
            <v>19981231</v>
          </cell>
          <cell r="M45">
            <v>0.182</v>
          </cell>
          <cell r="N45">
            <v>19990615</v>
          </cell>
        </row>
        <row r="46">
          <cell r="A46" t="str">
            <v>CNP</v>
          </cell>
          <cell r="B46" t="str">
            <v>@C3I</v>
          </cell>
          <cell r="C46" t="str">
            <v>CRITERION PROP</v>
          </cell>
          <cell r="D46">
            <v>19981217</v>
          </cell>
          <cell r="E46" t="str">
            <v>EPS</v>
          </cell>
          <cell r="F46" t="str">
            <v>ANN</v>
          </cell>
          <cell r="G46">
            <v>1</v>
          </cell>
          <cell r="H46">
            <v>1</v>
          </cell>
          <cell r="I46">
            <v>10.3</v>
          </cell>
          <cell r="J46">
            <v>10.3</v>
          </cell>
          <cell r="K46">
            <v>0</v>
          </cell>
          <cell r="L46">
            <v>19990331</v>
          </cell>
          <cell r="M46">
            <v>7.3</v>
          </cell>
          <cell r="N46">
            <v>19990818</v>
          </cell>
        </row>
        <row r="47">
          <cell r="A47" t="str">
            <v>CNP</v>
          </cell>
          <cell r="B47" t="str">
            <v>@CE4</v>
          </cell>
          <cell r="C47" t="str">
            <v>CEMENT N PAC (T)</v>
          </cell>
          <cell r="D47">
            <v>19981217</v>
          </cell>
          <cell r="E47" t="str">
            <v>EPS</v>
          </cell>
          <cell r="F47" t="str">
            <v>ANN</v>
          </cell>
          <cell r="G47">
            <v>1</v>
          </cell>
          <cell r="H47">
            <v>11</v>
          </cell>
          <cell r="I47">
            <v>0.12</v>
          </cell>
          <cell r="J47">
            <v>0.12</v>
          </cell>
          <cell r="K47">
            <v>0</v>
          </cell>
          <cell r="L47">
            <v>19981231</v>
          </cell>
          <cell r="M47">
            <v>0.04</v>
          </cell>
          <cell r="N47">
            <v>19990806</v>
          </cell>
        </row>
        <row r="48">
          <cell r="A48" t="str">
            <v>CNP</v>
          </cell>
          <cell r="B48" t="str">
            <v>@CN0</v>
          </cell>
          <cell r="C48" t="str">
            <v>CNP ASSURANCES</v>
          </cell>
          <cell r="D48">
            <v>19981217</v>
          </cell>
          <cell r="E48" t="str">
            <v>EPS</v>
          </cell>
          <cell r="F48" t="str">
            <v>ANN</v>
          </cell>
          <cell r="G48">
            <v>1</v>
          </cell>
          <cell r="H48">
            <v>8</v>
          </cell>
          <cell r="I48">
            <v>3.17</v>
          </cell>
          <cell r="J48">
            <v>3.15</v>
          </cell>
          <cell r="K48">
            <v>0</v>
          </cell>
          <cell r="L48">
            <v>19981231</v>
          </cell>
          <cell r="M48">
            <v>0.51329999999999998</v>
          </cell>
          <cell r="N48">
            <v>19990329</v>
          </cell>
        </row>
        <row r="49">
          <cell r="A49" t="str">
            <v>CEG</v>
          </cell>
          <cell r="B49" t="str">
            <v>@CQ5</v>
          </cell>
          <cell r="C49" t="str">
            <v>CROWN EYEGLASSES</v>
          </cell>
          <cell r="D49">
            <v>19981217</v>
          </cell>
          <cell r="E49" t="str">
            <v>EPS</v>
          </cell>
          <cell r="F49" t="str">
            <v>ANN</v>
          </cell>
          <cell r="G49">
            <v>1</v>
          </cell>
          <cell r="H49">
            <v>1</v>
          </cell>
          <cell r="I49">
            <v>8.4</v>
          </cell>
          <cell r="J49">
            <v>8.4</v>
          </cell>
          <cell r="K49">
            <v>0</v>
          </cell>
          <cell r="L49">
            <v>19990331</v>
          </cell>
          <cell r="M49">
            <v>-7.4</v>
          </cell>
          <cell r="N49">
            <v>19990914</v>
          </cell>
        </row>
        <row r="50">
          <cell r="A50" t="str">
            <v>CIN</v>
          </cell>
          <cell r="B50" t="str">
            <v>@CUW</v>
          </cell>
          <cell r="C50" t="str">
            <v>CITY OF LOND PR</v>
          </cell>
          <cell r="D50">
            <v>19981217</v>
          </cell>
          <cell r="E50" t="str">
            <v>EPS</v>
          </cell>
          <cell r="F50" t="str">
            <v>ANN</v>
          </cell>
          <cell r="G50">
            <v>1</v>
          </cell>
          <cell r="H50">
            <v>1</v>
          </cell>
          <cell r="I50">
            <v>155.96</v>
          </cell>
          <cell r="J50">
            <v>155.96</v>
          </cell>
          <cell r="K50">
            <v>0</v>
          </cell>
          <cell r="L50">
            <v>19990331</v>
          </cell>
          <cell r="M50">
            <v>206.2543</v>
          </cell>
          <cell r="N50">
            <v>19990818</v>
          </cell>
        </row>
        <row r="51">
          <cell r="A51" t="str">
            <v>D</v>
          </cell>
          <cell r="B51" t="str">
            <v>@DLM</v>
          </cell>
          <cell r="C51" t="str">
            <v>DALMINE</v>
          </cell>
          <cell r="D51">
            <v>19981217</v>
          </cell>
          <cell r="E51" t="str">
            <v>EPS</v>
          </cell>
          <cell r="F51" t="str">
            <v>ANN</v>
          </cell>
          <cell r="G51">
            <v>1</v>
          </cell>
          <cell r="H51">
            <v>7</v>
          </cell>
          <cell r="I51">
            <v>35</v>
          </cell>
          <cell r="J51">
            <v>36</v>
          </cell>
          <cell r="K51">
            <v>0</v>
          </cell>
          <cell r="L51">
            <v>19981231</v>
          </cell>
          <cell r="M51">
            <v>0.01</v>
          </cell>
          <cell r="N51">
            <v>19990312</v>
          </cell>
        </row>
        <row r="52">
          <cell r="A52" t="str">
            <v>DTE</v>
          </cell>
          <cell r="B52" t="str">
            <v>@DT</v>
          </cell>
          <cell r="C52" t="str">
            <v>DEUTSCHE TELEKOM</v>
          </cell>
          <cell r="D52">
            <v>19981217</v>
          </cell>
          <cell r="E52" t="str">
            <v>EPS</v>
          </cell>
          <cell r="F52" t="str">
            <v>ANN</v>
          </cell>
          <cell r="G52">
            <v>1</v>
          </cell>
          <cell r="H52">
            <v>48</v>
          </cell>
          <cell r="I52">
            <v>1.6</v>
          </cell>
          <cell r="J52">
            <v>1.6</v>
          </cell>
          <cell r="K52">
            <v>0</v>
          </cell>
          <cell r="L52">
            <v>19981231</v>
          </cell>
          <cell r="M52">
            <v>0.8135</v>
          </cell>
          <cell r="N52">
            <v>19990419</v>
          </cell>
        </row>
        <row r="53">
          <cell r="A53" t="str">
            <v>EXC</v>
          </cell>
          <cell r="B53" t="str">
            <v>@ECH</v>
          </cell>
          <cell r="C53" t="str">
            <v>EX-CELL-O-HLDG</v>
          </cell>
          <cell r="D53">
            <v>19981217</v>
          </cell>
          <cell r="E53" t="str">
            <v>EPS</v>
          </cell>
          <cell r="F53" t="str">
            <v>ANN</v>
          </cell>
          <cell r="G53">
            <v>1</v>
          </cell>
          <cell r="H53">
            <v>2</v>
          </cell>
          <cell r="I53">
            <v>5.6</v>
          </cell>
          <cell r="J53">
            <v>5.6</v>
          </cell>
          <cell r="K53">
            <v>0</v>
          </cell>
          <cell r="L53">
            <v>19981231</v>
          </cell>
          <cell r="M53">
            <v>3.01</v>
          </cell>
          <cell r="N53">
            <v>19990520</v>
          </cell>
        </row>
        <row r="54">
          <cell r="A54" t="str">
            <v>CMS</v>
          </cell>
          <cell r="B54" t="str">
            <v>@HMD</v>
          </cell>
          <cell r="C54" t="str">
            <v>CAHYA MATA SARA.</v>
          </cell>
          <cell r="D54">
            <v>19981217</v>
          </cell>
          <cell r="E54" t="str">
            <v>EPS</v>
          </cell>
          <cell r="F54" t="str">
            <v>ANN</v>
          </cell>
          <cell r="G54">
            <v>1</v>
          </cell>
          <cell r="H54">
            <v>4</v>
          </cell>
          <cell r="I54">
            <v>8.8999999999999996E-2</v>
          </cell>
          <cell r="J54">
            <v>0.10199999999999999</v>
          </cell>
          <cell r="K54">
            <v>0</v>
          </cell>
          <cell r="L54">
            <v>19981231</v>
          </cell>
          <cell r="M54">
            <v>-0.21329999999999999</v>
          </cell>
          <cell r="N54">
            <v>19990407</v>
          </cell>
        </row>
        <row r="55">
          <cell r="A55" t="str">
            <v>DUK</v>
          </cell>
          <cell r="B55" t="str">
            <v>@IKR</v>
          </cell>
          <cell r="C55" t="str">
            <v>DUIKER MINING</v>
          </cell>
          <cell r="D55">
            <v>19981217</v>
          </cell>
          <cell r="E55" t="str">
            <v>EPS</v>
          </cell>
          <cell r="F55" t="str">
            <v>ANN</v>
          </cell>
          <cell r="G55">
            <v>1</v>
          </cell>
          <cell r="H55">
            <v>11</v>
          </cell>
          <cell r="I55">
            <v>0.82</v>
          </cell>
          <cell r="J55">
            <v>0.87</v>
          </cell>
          <cell r="K55">
            <v>0</v>
          </cell>
          <cell r="L55">
            <v>19990930</v>
          </cell>
          <cell r="M55">
            <v>0.53800000000000003</v>
          </cell>
          <cell r="N55">
            <v>20000106</v>
          </cell>
        </row>
        <row r="56">
          <cell r="A56" t="str">
            <v>FE</v>
          </cell>
          <cell r="B56" t="str">
            <v>@NNF</v>
          </cell>
          <cell r="C56" t="str">
            <v>FINEXTEL</v>
          </cell>
          <cell r="D56">
            <v>19981217</v>
          </cell>
          <cell r="E56" t="str">
            <v>EPS</v>
          </cell>
          <cell r="F56" t="str">
            <v>ANN</v>
          </cell>
          <cell r="G56">
            <v>1</v>
          </cell>
          <cell r="H56">
            <v>1</v>
          </cell>
          <cell r="I56">
            <v>4.4400000000000004</v>
          </cell>
          <cell r="J56">
            <v>4.4400000000000004</v>
          </cell>
          <cell r="K56">
            <v>0</v>
          </cell>
          <cell r="L56">
            <v>19981231</v>
          </cell>
        </row>
        <row r="57">
          <cell r="A57" t="str">
            <v>ETR</v>
          </cell>
          <cell r="B57" t="str">
            <v>@NPD</v>
          </cell>
          <cell r="C57" t="str">
            <v>ETRADE AUSTRALIA</v>
          </cell>
          <cell r="D57">
            <v>19981217</v>
          </cell>
          <cell r="E57" t="str">
            <v>EPS</v>
          </cell>
          <cell r="F57" t="str">
            <v>ANN</v>
          </cell>
          <cell r="G57">
            <v>1</v>
          </cell>
          <cell r="H57">
            <v>1</v>
          </cell>
          <cell r="I57">
            <v>-2.4E-2</v>
          </cell>
          <cell r="J57">
            <v>-2.4E-2</v>
          </cell>
          <cell r="K57">
            <v>0</v>
          </cell>
          <cell r="L57">
            <v>19990630</v>
          </cell>
          <cell r="M57">
            <v>-0.23300000000000001</v>
          </cell>
          <cell r="N57">
            <v>19990913</v>
          </cell>
        </row>
        <row r="58">
          <cell r="A58" t="str">
            <v>NST</v>
          </cell>
          <cell r="B58" t="str">
            <v>@NST</v>
          </cell>
          <cell r="C58" t="str">
            <v>N. S. TIMES</v>
          </cell>
          <cell r="D58">
            <v>19981217</v>
          </cell>
          <cell r="E58" t="str">
            <v>EPS</v>
          </cell>
          <cell r="F58" t="str">
            <v>ANN</v>
          </cell>
          <cell r="G58">
            <v>1</v>
          </cell>
          <cell r="H58">
            <v>22</v>
          </cell>
          <cell r="I58">
            <v>0.1</v>
          </cell>
          <cell r="J58">
            <v>6.8000000000000005E-2</v>
          </cell>
          <cell r="K58">
            <v>0</v>
          </cell>
          <cell r="L58">
            <v>19990831</v>
          </cell>
          <cell r="M58">
            <v>0.25900000000000001</v>
          </cell>
          <cell r="N58">
            <v>19991101</v>
          </cell>
        </row>
        <row r="59">
          <cell r="A59" t="str">
            <v>NST</v>
          </cell>
          <cell r="B59" t="str">
            <v>@NSZ</v>
          </cell>
          <cell r="C59" t="str">
            <v>NORDDEUTSCHE STE</v>
          </cell>
          <cell r="D59">
            <v>19981217</v>
          </cell>
          <cell r="E59" t="str">
            <v>EPS</v>
          </cell>
          <cell r="F59" t="str">
            <v>ANN</v>
          </cell>
          <cell r="G59">
            <v>1</v>
          </cell>
          <cell r="H59">
            <v>2</v>
          </cell>
          <cell r="I59">
            <v>1.7</v>
          </cell>
          <cell r="J59">
            <v>1.7</v>
          </cell>
          <cell r="K59">
            <v>0</v>
          </cell>
          <cell r="L59">
            <v>19981231</v>
          </cell>
          <cell r="M59">
            <v>0.6</v>
          </cell>
          <cell r="N59">
            <v>19990617</v>
          </cell>
        </row>
        <row r="60">
          <cell r="A60" t="str">
            <v>POM</v>
          </cell>
          <cell r="B60" t="str">
            <v>@PO8</v>
          </cell>
          <cell r="C60" t="str">
            <v>PLASTIC OMNIUM</v>
          </cell>
          <cell r="D60">
            <v>19981217</v>
          </cell>
          <cell r="E60" t="str">
            <v>EPS</v>
          </cell>
          <cell r="F60" t="str">
            <v>ANN</v>
          </cell>
          <cell r="G60">
            <v>1</v>
          </cell>
          <cell r="H60">
            <v>15</v>
          </cell>
          <cell r="I60">
            <v>0.74</v>
          </cell>
          <cell r="J60">
            <v>0.81</v>
          </cell>
          <cell r="K60">
            <v>0</v>
          </cell>
          <cell r="L60">
            <v>19981231</v>
          </cell>
          <cell r="M60">
            <v>7.3499999999999996E-2</v>
          </cell>
          <cell r="N60">
            <v>19990512</v>
          </cell>
        </row>
        <row r="61">
          <cell r="A61" t="str">
            <v>POR</v>
          </cell>
          <cell r="B61" t="str">
            <v>@PS</v>
          </cell>
          <cell r="C61" t="str">
            <v>PORST HLDG B</v>
          </cell>
          <cell r="D61">
            <v>19981217</v>
          </cell>
          <cell r="E61" t="str">
            <v>EPS</v>
          </cell>
          <cell r="F61" t="str">
            <v>ANN</v>
          </cell>
          <cell r="G61">
            <v>1</v>
          </cell>
          <cell r="H61">
            <v>1</v>
          </cell>
          <cell r="I61">
            <v>-18</v>
          </cell>
          <cell r="J61">
            <v>-18</v>
          </cell>
          <cell r="K61">
            <v>0</v>
          </cell>
          <cell r="L61">
            <v>19981231</v>
          </cell>
        </row>
        <row r="62">
          <cell r="A62" t="str">
            <v>PSD</v>
          </cell>
          <cell r="B62" t="str">
            <v>@PS8</v>
          </cell>
          <cell r="C62" t="str">
            <v>PSD GROUP</v>
          </cell>
          <cell r="D62">
            <v>19981217</v>
          </cell>
          <cell r="E62" t="str">
            <v>EPS</v>
          </cell>
          <cell r="F62" t="str">
            <v>ANN</v>
          </cell>
          <cell r="G62">
            <v>1</v>
          </cell>
          <cell r="H62">
            <v>4</v>
          </cell>
          <cell r="I62">
            <v>36.450000000000003</v>
          </cell>
          <cell r="J62">
            <v>36.090000000000003</v>
          </cell>
          <cell r="K62">
            <v>0</v>
          </cell>
          <cell r="L62">
            <v>19981231</v>
          </cell>
          <cell r="M62">
            <v>40.799999999999997</v>
          </cell>
          <cell r="N62">
            <v>19990302</v>
          </cell>
        </row>
        <row r="63">
          <cell r="A63" t="str">
            <v>SO</v>
          </cell>
          <cell r="B63" t="str">
            <v>@SOM</v>
          </cell>
          <cell r="C63" t="str">
            <v>SOMMER-ALLIBERT</v>
          </cell>
          <cell r="D63">
            <v>19981217</v>
          </cell>
          <cell r="E63" t="str">
            <v>EPS</v>
          </cell>
          <cell r="F63" t="str">
            <v>ANN</v>
          </cell>
          <cell r="G63">
            <v>1</v>
          </cell>
          <cell r="H63">
            <v>15</v>
          </cell>
          <cell r="I63">
            <v>15.8</v>
          </cell>
          <cell r="J63">
            <v>15.61</v>
          </cell>
          <cell r="K63">
            <v>0</v>
          </cell>
          <cell r="L63">
            <v>19981231</v>
          </cell>
          <cell r="M63">
            <v>1.95</v>
          </cell>
          <cell r="N63">
            <v>19990406</v>
          </cell>
        </row>
        <row r="64">
          <cell r="A64" t="str">
            <v>CIN</v>
          </cell>
          <cell r="B64" t="str">
            <v>@YYN</v>
          </cell>
          <cell r="C64" t="str">
            <v>CIN</v>
          </cell>
          <cell r="D64">
            <v>19981217</v>
          </cell>
          <cell r="E64" t="str">
            <v>EPS</v>
          </cell>
          <cell r="F64" t="str">
            <v>ANN</v>
          </cell>
          <cell r="G64">
            <v>1</v>
          </cell>
          <cell r="H64">
            <v>10</v>
          </cell>
          <cell r="I64">
            <v>90</v>
          </cell>
          <cell r="J64">
            <v>95</v>
          </cell>
          <cell r="K64">
            <v>0</v>
          </cell>
          <cell r="L64">
            <v>19981231</v>
          </cell>
          <cell r="M64">
            <v>0.40200000000000002</v>
          </cell>
          <cell r="N64">
            <v>19990408</v>
          </cell>
        </row>
        <row r="65">
          <cell r="A65" t="str">
            <v>AVA</v>
          </cell>
          <cell r="B65" t="str">
            <v>@ZAV</v>
          </cell>
          <cell r="C65" t="str">
            <v>AVANTOR</v>
          </cell>
          <cell r="D65">
            <v>19981217</v>
          </cell>
          <cell r="E65" t="str">
            <v>EPS</v>
          </cell>
          <cell r="F65" t="str">
            <v>ANN</v>
          </cell>
          <cell r="G65">
            <v>1</v>
          </cell>
          <cell r="H65">
            <v>3</v>
          </cell>
          <cell r="I65">
            <v>1.71</v>
          </cell>
          <cell r="J65">
            <v>1.57</v>
          </cell>
          <cell r="K65">
            <v>0</v>
          </cell>
          <cell r="L65">
            <v>19981231</v>
          </cell>
          <cell r="M65">
            <v>2.6</v>
          </cell>
          <cell r="N65">
            <v>19990311</v>
          </cell>
        </row>
        <row r="66">
          <cell r="A66" t="str">
            <v>AGR</v>
          </cell>
          <cell r="B66" t="str">
            <v>AGR1</v>
          </cell>
          <cell r="C66" t="str">
            <v>AGRA INC</v>
          </cell>
          <cell r="D66">
            <v>19981217</v>
          </cell>
          <cell r="E66" t="str">
            <v>EPS</v>
          </cell>
          <cell r="F66" t="str">
            <v>ANN</v>
          </cell>
          <cell r="G66">
            <v>1</v>
          </cell>
          <cell r="H66">
            <v>5</v>
          </cell>
          <cell r="I66">
            <v>0.9</v>
          </cell>
          <cell r="J66">
            <v>0.89</v>
          </cell>
          <cell r="K66">
            <v>0</v>
          </cell>
          <cell r="L66">
            <v>19990731</v>
          </cell>
          <cell r="M66">
            <v>1.01</v>
          </cell>
          <cell r="N66">
            <v>19991007</v>
          </cell>
        </row>
        <row r="67">
          <cell r="A67" t="str">
            <v>ALE</v>
          </cell>
          <cell r="B67" t="str">
            <v>ALE1</v>
          </cell>
          <cell r="C67" t="str">
            <v>SLEEMAN BREWS</v>
          </cell>
          <cell r="D67">
            <v>19981217</v>
          </cell>
          <cell r="E67" t="str">
            <v>EPS</v>
          </cell>
          <cell r="F67" t="str">
            <v>ANN</v>
          </cell>
          <cell r="G67">
            <v>1</v>
          </cell>
          <cell r="H67">
            <v>7</v>
          </cell>
          <cell r="I67">
            <v>0.44</v>
          </cell>
          <cell r="J67">
            <v>0.43</v>
          </cell>
          <cell r="K67">
            <v>0</v>
          </cell>
          <cell r="L67">
            <v>19981231</v>
          </cell>
          <cell r="M67">
            <v>0.42799999999999999</v>
          </cell>
          <cell r="N67">
            <v>19990318</v>
          </cell>
        </row>
        <row r="68">
          <cell r="A68" t="str">
            <v>CMS</v>
          </cell>
          <cell r="B68" t="str">
            <v>CMS1</v>
          </cell>
          <cell r="C68" t="str">
            <v>C-MAC</v>
          </cell>
          <cell r="D68">
            <v>19981217</v>
          </cell>
          <cell r="E68" t="str">
            <v>EPS</v>
          </cell>
          <cell r="F68" t="str">
            <v>ANN</v>
          </cell>
          <cell r="G68">
            <v>1</v>
          </cell>
          <cell r="H68">
            <v>8</v>
          </cell>
          <cell r="I68">
            <v>0.5</v>
          </cell>
          <cell r="J68">
            <v>0.5</v>
          </cell>
          <cell r="K68">
            <v>0</v>
          </cell>
          <cell r="L68">
            <v>19981231</v>
          </cell>
          <cell r="M68">
            <v>0.495</v>
          </cell>
          <cell r="N68">
            <v>19990204</v>
          </cell>
        </row>
        <row r="69">
          <cell r="A69" t="str">
            <v>D</v>
          </cell>
          <cell r="B69" t="str">
            <v>D2</v>
          </cell>
          <cell r="C69" t="str">
            <v>DUNDEE REALTY CP</v>
          </cell>
          <cell r="D69">
            <v>19981217</v>
          </cell>
          <cell r="E69" t="str">
            <v>EPS</v>
          </cell>
          <cell r="F69" t="str">
            <v>ANN</v>
          </cell>
          <cell r="G69">
            <v>1</v>
          </cell>
          <cell r="H69">
            <v>2</v>
          </cell>
          <cell r="I69">
            <v>1.44</v>
          </cell>
          <cell r="J69">
            <v>1.44</v>
          </cell>
          <cell r="K69">
            <v>0</v>
          </cell>
          <cell r="L69">
            <v>19981231</v>
          </cell>
          <cell r="M69">
            <v>1.04</v>
          </cell>
          <cell r="N69">
            <v>19990406</v>
          </cell>
        </row>
        <row r="70">
          <cell r="A70" t="str">
            <v>FPL</v>
          </cell>
          <cell r="B70" t="str">
            <v>FPI1</v>
          </cell>
          <cell r="C70" t="str">
            <v>FPI LTD</v>
          </cell>
          <cell r="D70">
            <v>19981217</v>
          </cell>
          <cell r="E70" t="str">
            <v>EPS</v>
          </cell>
          <cell r="F70" t="str">
            <v>ANN</v>
          </cell>
          <cell r="G70">
            <v>1</v>
          </cell>
          <cell r="H70">
            <v>1</v>
          </cell>
          <cell r="I70">
            <v>0.6</v>
          </cell>
          <cell r="J70">
            <v>0.6</v>
          </cell>
          <cell r="K70">
            <v>0</v>
          </cell>
          <cell r="L70">
            <v>19981231</v>
          </cell>
          <cell r="M70">
            <v>0.55000000000000004</v>
          </cell>
          <cell r="N70">
            <v>19990301</v>
          </cell>
        </row>
        <row r="71">
          <cell r="A71" t="str">
            <v>NU</v>
          </cell>
          <cell r="B71" t="str">
            <v>NU1</v>
          </cell>
          <cell r="C71" t="str">
            <v>NU-GRO CORP</v>
          </cell>
          <cell r="D71">
            <v>19981217</v>
          </cell>
          <cell r="E71" t="str">
            <v>EPS</v>
          </cell>
          <cell r="F71" t="str">
            <v>ANN</v>
          </cell>
          <cell r="G71">
            <v>1</v>
          </cell>
          <cell r="H71">
            <v>1</v>
          </cell>
          <cell r="I71">
            <v>0.46</v>
          </cell>
          <cell r="J71">
            <v>0.46</v>
          </cell>
          <cell r="K71">
            <v>0</v>
          </cell>
          <cell r="L71">
            <v>19990930</v>
          </cell>
          <cell r="M71">
            <v>0.65</v>
          </cell>
          <cell r="N71">
            <v>19991123</v>
          </cell>
        </row>
        <row r="72">
          <cell r="A72" t="str">
            <v>SCG</v>
          </cell>
          <cell r="B72" t="str">
            <v>SCG1</v>
          </cell>
          <cell r="C72" t="str">
            <v>SANTZ CRUZ GOLD</v>
          </cell>
          <cell r="D72">
            <v>19981217</v>
          </cell>
          <cell r="E72" t="str">
            <v>EPS</v>
          </cell>
          <cell r="F72" t="str">
            <v>ANN</v>
          </cell>
          <cell r="G72">
            <v>1</v>
          </cell>
          <cell r="H72">
            <v>1</v>
          </cell>
          <cell r="I72">
            <v>-0.02</v>
          </cell>
          <cell r="J72">
            <v>-0.02</v>
          </cell>
          <cell r="K72">
            <v>0</v>
          </cell>
          <cell r="L72">
            <v>19981231</v>
          </cell>
          <cell r="M72">
            <v>-0.42</v>
          </cell>
          <cell r="N72">
            <v>19990624</v>
          </cell>
        </row>
      </sheetData>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RDS"/>
    </sheetNames>
    <sheetDataSet>
      <sheetData sheetId="0">
        <row r="1">
          <cell r="A1" t="str">
            <v>OFTIC</v>
          </cell>
          <cell r="B1" t="str">
            <v>IBES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USFIRM=0 if from .INT file and USFIRM=1 if from .US file</v>
          </cell>
          <cell r="M1" t="str">
            <v>Forecast Period End Date (SAS Format)</v>
          </cell>
          <cell r="N1" t="str">
            <v>Actual Value, from the Detail Actuals File</v>
          </cell>
          <cell r="O1" t="str">
            <v>Announce date of the Actual, from the Detail Actuals File</v>
          </cell>
        </row>
        <row r="2">
          <cell r="A2" t="str">
            <v>AGR</v>
          </cell>
          <cell r="B2" t="str">
            <v>AGR2</v>
          </cell>
          <cell r="C2" t="str">
            <v>ARGENTARIA</v>
          </cell>
          <cell r="D2">
            <v>19981217</v>
          </cell>
          <cell r="E2" t="str">
            <v>EPS</v>
          </cell>
          <cell r="F2" t="str">
            <v>LTG</v>
          </cell>
          <cell r="G2">
            <v>0</v>
          </cell>
          <cell r="H2">
            <v>1</v>
          </cell>
          <cell r="I2">
            <v>1.8</v>
          </cell>
          <cell r="J2">
            <v>1.8</v>
          </cell>
          <cell r="L2">
            <v>1</v>
          </cell>
        </row>
        <row r="3">
          <cell r="A3" t="str">
            <v>PNW</v>
          </cell>
          <cell r="B3" t="str">
            <v>AZP</v>
          </cell>
          <cell r="C3" t="str">
            <v>PINNACLE WST CAP</v>
          </cell>
          <cell r="D3">
            <v>19981217</v>
          </cell>
          <cell r="E3" t="str">
            <v>EPS</v>
          </cell>
          <cell r="F3" t="str">
            <v>LTG</v>
          </cell>
          <cell r="G3">
            <v>0</v>
          </cell>
          <cell r="H3">
            <v>10</v>
          </cell>
          <cell r="I3">
            <v>6</v>
          </cell>
          <cell r="J3">
            <v>10.3</v>
          </cell>
          <cell r="K3">
            <v>15.11</v>
          </cell>
          <cell r="L3">
            <v>1</v>
          </cell>
        </row>
        <row r="4">
          <cell r="A4" t="str">
            <v>BKH</v>
          </cell>
          <cell r="B4" t="str">
            <v>BHP</v>
          </cell>
          <cell r="C4" t="str">
            <v>BLACK HILLS CP</v>
          </cell>
          <cell r="D4">
            <v>19981217</v>
          </cell>
          <cell r="E4" t="str">
            <v>EPS</v>
          </cell>
          <cell r="F4" t="str">
            <v>LTG</v>
          </cell>
          <cell r="G4">
            <v>0</v>
          </cell>
          <cell r="H4">
            <v>2</v>
          </cell>
          <cell r="I4">
            <v>6.65</v>
          </cell>
          <cell r="J4">
            <v>6.65</v>
          </cell>
          <cell r="K4">
            <v>5.16</v>
          </cell>
          <cell r="L4">
            <v>1</v>
          </cell>
        </row>
        <row r="5">
          <cell r="A5" t="str">
            <v>CIN</v>
          </cell>
          <cell r="B5" t="str">
            <v>CIN</v>
          </cell>
          <cell r="C5" t="str">
            <v>CINERGY CORP</v>
          </cell>
          <cell r="D5">
            <v>19981217</v>
          </cell>
          <cell r="E5" t="str">
            <v>EPS</v>
          </cell>
          <cell r="F5" t="str">
            <v>LTG</v>
          </cell>
          <cell r="G5">
            <v>0</v>
          </cell>
          <cell r="H5">
            <v>14</v>
          </cell>
          <cell r="I5">
            <v>4.9000000000000004</v>
          </cell>
          <cell r="J5">
            <v>4.82</v>
          </cell>
          <cell r="K5">
            <v>1.1599999999999999</v>
          </cell>
          <cell r="L5">
            <v>1</v>
          </cell>
        </row>
        <row r="6">
          <cell r="A6" t="str">
            <v>CMS</v>
          </cell>
          <cell r="B6" t="str">
            <v>CMS</v>
          </cell>
          <cell r="C6" t="str">
            <v>CMS ENERGY CORP</v>
          </cell>
          <cell r="D6">
            <v>19981217</v>
          </cell>
          <cell r="E6" t="str">
            <v>EPS</v>
          </cell>
          <cell r="F6" t="str">
            <v>LTG</v>
          </cell>
          <cell r="G6">
            <v>0</v>
          </cell>
          <cell r="H6">
            <v>12</v>
          </cell>
          <cell r="I6">
            <v>10</v>
          </cell>
          <cell r="J6">
            <v>9.8800000000000008</v>
          </cell>
          <cell r="K6">
            <v>1.41</v>
          </cell>
          <cell r="L6">
            <v>1</v>
          </cell>
        </row>
        <row r="7">
          <cell r="A7" t="str">
            <v>CNL</v>
          </cell>
          <cell r="B7" t="str">
            <v>CNL</v>
          </cell>
          <cell r="C7" t="str">
            <v>CLECO CORP</v>
          </cell>
          <cell r="D7">
            <v>19981217</v>
          </cell>
          <cell r="E7" t="str">
            <v>EPS</v>
          </cell>
          <cell r="F7" t="str">
            <v>LTG</v>
          </cell>
          <cell r="G7">
            <v>0</v>
          </cell>
          <cell r="H7">
            <v>2</v>
          </cell>
          <cell r="I7">
            <v>2.5</v>
          </cell>
          <cell r="J7">
            <v>2.5</v>
          </cell>
          <cell r="K7">
            <v>0.71</v>
          </cell>
          <cell r="L7">
            <v>1</v>
          </cell>
        </row>
        <row r="8">
          <cell r="A8" t="str">
            <v>D</v>
          </cell>
          <cell r="B8" t="str">
            <v>D</v>
          </cell>
          <cell r="C8" t="str">
            <v>DOMINION RES INC</v>
          </cell>
          <cell r="D8">
            <v>19981217</v>
          </cell>
          <cell r="E8" t="str">
            <v>EPS</v>
          </cell>
          <cell r="F8" t="str">
            <v>LTG</v>
          </cell>
          <cell r="G8">
            <v>0</v>
          </cell>
          <cell r="H8">
            <v>12</v>
          </cell>
          <cell r="I8">
            <v>3</v>
          </cell>
          <cell r="J8">
            <v>3.41</v>
          </cell>
          <cell r="K8">
            <v>1.73</v>
          </cell>
          <cell r="L8">
            <v>1</v>
          </cell>
        </row>
        <row r="9">
          <cell r="A9" t="str">
            <v>DPL</v>
          </cell>
          <cell r="B9" t="str">
            <v>DPL</v>
          </cell>
          <cell r="C9" t="str">
            <v>DPL INC</v>
          </cell>
          <cell r="D9">
            <v>19981217</v>
          </cell>
          <cell r="E9" t="str">
            <v>EPS</v>
          </cell>
          <cell r="F9" t="str">
            <v>LTG</v>
          </cell>
          <cell r="G9">
            <v>0</v>
          </cell>
          <cell r="H9">
            <v>13</v>
          </cell>
          <cell r="I9">
            <v>4</v>
          </cell>
          <cell r="J9">
            <v>5.04</v>
          </cell>
          <cell r="K9">
            <v>2.94</v>
          </cell>
          <cell r="L9">
            <v>1</v>
          </cell>
        </row>
        <row r="10">
          <cell r="A10" t="str">
            <v>DTE</v>
          </cell>
          <cell r="B10" t="str">
            <v>DTE</v>
          </cell>
          <cell r="C10" t="str">
            <v>DTE ENERGY</v>
          </cell>
          <cell r="D10">
            <v>19981217</v>
          </cell>
          <cell r="E10" t="str">
            <v>EPS</v>
          </cell>
          <cell r="F10" t="str">
            <v>LTG</v>
          </cell>
          <cell r="G10">
            <v>0</v>
          </cell>
          <cell r="H10">
            <v>11</v>
          </cell>
          <cell r="I10">
            <v>3</v>
          </cell>
          <cell r="J10">
            <v>2.98</v>
          </cell>
          <cell r="K10">
            <v>1.54</v>
          </cell>
          <cell r="L10">
            <v>1</v>
          </cell>
        </row>
        <row r="11">
          <cell r="A11" t="str">
            <v>DUK</v>
          </cell>
          <cell r="B11" t="str">
            <v>DUK</v>
          </cell>
          <cell r="C11" t="str">
            <v>DUKE ENERGY CORP</v>
          </cell>
          <cell r="D11">
            <v>19981217</v>
          </cell>
          <cell r="E11" t="str">
            <v>EPS</v>
          </cell>
          <cell r="F11" t="str">
            <v>LTG</v>
          </cell>
          <cell r="G11">
            <v>0</v>
          </cell>
          <cell r="H11">
            <v>17</v>
          </cell>
          <cell r="I11">
            <v>8</v>
          </cell>
          <cell r="J11">
            <v>7.41</v>
          </cell>
          <cell r="K11">
            <v>2.35</v>
          </cell>
          <cell r="L11">
            <v>1</v>
          </cell>
        </row>
        <row r="12">
          <cell r="A12" t="str">
            <v>ED</v>
          </cell>
          <cell r="B12" t="str">
            <v>ED</v>
          </cell>
          <cell r="C12" t="str">
            <v>CONS EDISON INC</v>
          </cell>
          <cell r="D12">
            <v>19981217</v>
          </cell>
          <cell r="E12" t="str">
            <v>EPS</v>
          </cell>
          <cell r="F12" t="str">
            <v>LTG</v>
          </cell>
          <cell r="G12">
            <v>0</v>
          </cell>
          <cell r="H12">
            <v>9</v>
          </cell>
          <cell r="I12">
            <v>2</v>
          </cell>
          <cell r="J12">
            <v>2.72</v>
          </cell>
          <cell r="K12">
            <v>1.1499999999999999</v>
          </cell>
          <cell r="L12">
            <v>1</v>
          </cell>
        </row>
        <row r="13">
          <cell r="A13" t="str">
            <v>EDE</v>
          </cell>
          <cell r="B13" t="str">
            <v>EDE</v>
          </cell>
          <cell r="C13" t="str">
            <v>EMPIRE DIST ELEC</v>
          </cell>
          <cell r="D13">
            <v>19981217</v>
          </cell>
          <cell r="E13" t="str">
            <v>EPS</v>
          </cell>
          <cell r="F13" t="str">
            <v>LTG</v>
          </cell>
          <cell r="G13">
            <v>0</v>
          </cell>
          <cell r="H13">
            <v>1</v>
          </cell>
          <cell r="I13">
            <v>41</v>
          </cell>
          <cell r="J13">
            <v>41</v>
          </cell>
          <cell r="L13">
            <v>1</v>
          </cell>
        </row>
        <row r="14">
          <cell r="A14" t="str">
            <v>EXC</v>
          </cell>
          <cell r="B14" t="str">
            <v>EXC</v>
          </cell>
          <cell r="C14" t="str">
            <v>EXCEL INDS INC</v>
          </cell>
          <cell r="D14">
            <v>19981217</v>
          </cell>
          <cell r="E14" t="str">
            <v>EPS</v>
          </cell>
          <cell r="F14" t="str">
            <v>LTG</v>
          </cell>
          <cell r="G14">
            <v>0</v>
          </cell>
          <cell r="H14">
            <v>1</v>
          </cell>
          <cell r="I14">
            <v>12</v>
          </cell>
          <cell r="J14">
            <v>12</v>
          </cell>
          <cell r="L14">
            <v>1</v>
          </cell>
        </row>
        <row r="15">
          <cell r="A15" t="str">
            <v>FPL</v>
          </cell>
          <cell r="B15" t="str">
            <v>FPL</v>
          </cell>
          <cell r="C15" t="str">
            <v>FPL GROUP</v>
          </cell>
          <cell r="D15">
            <v>19981217</v>
          </cell>
          <cell r="E15" t="str">
            <v>EPS</v>
          </cell>
          <cell r="F15" t="str">
            <v>LTG</v>
          </cell>
          <cell r="G15">
            <v>0</v>
          </cell>
          <cell r="H15">
            <v>17</v>
          </cell>
          <cell r="I15">
            <v>5</v>
          </cell>
          <cell r="J15">
            <v>4.8899999999999997</v>
          </cell>
          <cell r="K15">
            <v>1.48</v>
          </cell>
          <cell r="L15">
            <v>1</v>
          </cell>
        </row>
        <row r="16">
          <cell r="A16" t="str">
            <v>HE</v>
          </cell>
          <cell r="B16" t="str">
            <v>HE</v>
          </cell>
          <cell r="C16" t="str">
            <v>HAWAIIAN ELEC</v>
          </cell>
          <cell r="D16">
            <v>19981217</v>
          </cell>
          <cell r="E16" t="str">
            <v>EPS</v>
          </cell>
          <cell r="F16" t="str">
            <v>LTG</v>
          </cell>
          <cell r="G16">
            <v>0</v>
          </cell>
          <cell r="H16">
            <v>6</v>
          </cell>
          <cell r="I16">
            <v>3</v>
          </cell>
          <cell r="J16">
            <v>3.43</v>
          </cell>
          <cell r="K16">
            <v>1.65</v>
          </cell>
          <cell r="L16">
            <v>1</v>
          </cell>
        </row>
        <row r="17">
          <cell r="A17" t="str">
            <v>IDA</v>
          </cell>
          <cell r="B17" t="str">
            <v>IDA</v>
          </cell>
          <cell r="C17" t="str">
            <v>IDACORP INC.</v>
          </cell>
          <cell r="D17">
            <v>19981217</v>
          </cell>
          <cell r="E17" t="str">
            <v>EPS</v>
          </cell>
          <cell r="F17" t="str">
            <v>LTG</v>
          </cell>
          <cell r="G17">
            <v>0</v>
          </cell>
          <cell r="H17">
            <v>5</v>
          </cell>
          <cell r="I17">
            <v>4</v>
          </cell>
          <cell r="J17">
            <v>3.6</v>
          </cell>
          <cell r="K17">
            <v>1.52</v>
          </cell>
          <cell r="L17">
            <v>1</v>
          </cell>
        </row>
        <row r="18">
          <cell r="A18" t="str">
            <v>WR</v>
          </cell>
          <cell r="B18" t="str">
            <v>KAN</v>
          </cell>
          <cell r="C18" t="str">
            <v>WESTN RESOURCES</v>
          </cell>
          <cell r="D18">
            <v>19981217</v>
          </cell>
          <cell r="E18" t="str">
            <v>EPS</v>
          </cell>
          <cell r="F18" t="str">
            <v>LTG</v>
          </cell>
          <cell r="G18">
            <v>0</v>
          </cell>
          <cell r="H18">
            <v>9</v>
          </cell>
          <cell r="I18">
            <v>2.2000000000000002</v>
          </cell>
          <cell r="J18">
            <v>2.4700000000000002</v>
          </cell>
          <cell r="K18">
            <v>0.87</v>
          </cell>
          <cell r="L18">
            <v>1</v>
          </cell>
        </row>
        <row r="19">
          <cell r="A19" t="str">
            <v>ETR</v>
          </cell>
          <cell r="B19" t="str">
            <v>MSU</v>
          </cell>
          <cell r="C19" t="str">
            <v>ENTERGY CP</v>
          </cell>
          <cell r="D19">
            <v>19981217</v>
          </cell>
          <cell r="E19" t="str">
            <v>EPS</v>
          </cell>
          <cell r="F19" t="str">
            <v>LTG</v>
          </cell>
          <cell r="G19">
            <v>0</v>
          </cell>
          <cell r="H19">
            <v>10</v>
          </cell>
          <cell r="I19">
            <v>3.2</v>
          </cell>
          <cell r="J19">
            <v>3.44</v>
          </cell>
          <cell r="K19">
            <v>1.64</v>
          </cell>
          <cell r="L19">
            <v>1</v>
          </cell>
        </row>
        <row r="20">
          <cell r="A20" t="str">
            <v>NU</v>
          </cell>
          <cell r="B20" t="str">
            <v>NU</v>
          </cell>
          <cell r="C20" t="str">
            <v>NORTHEAST UTILS</v>
          </cell>
          <cell r="D20">
            <v>19981217</v>
          </cell>
          <cell r="E20" t="str">
            <v>EPS</v>
          </cell>
          <cell r="F20" t="str">
            <v>LTG</v>
          </cell>
          <cell r="G20">
            <v>0</v>
          </cell>
          <cell r="H20">
            <v>3</v>
          </cell>
          <cell r="I20">
            <v>1</v>
          </cell>
          <cell r="J20">
            <v>-2</v>
          </cell>
          <cell r="K20">
            <v>5.2</v>
          </cell>
          <cell r="L20">
            <v>1</v>
          </cell>
        </row>
        <row r="21">
          <cell r="A21" t="str">
            <v>FE</v>
          </cell>
          <cell r="B21" t="str">
            <v>OEC</v>
          </cell>
          <cell r="C21" t="str">
            <v>FIRSTENERGY CORP</v>
          </cell>
          <cell r="D21">
            <v>19981217</v>
          </cell>
          <cell r="E21" t="str">
            <v>EPS</v>
          </cell>
          <cell r="F21" t="str">
            <v>LTG</v>
          </cell>
          <cell r="G21">
            <v>0</v>
          </cell>
          <cell r="H21">
            <v>13</v>
          </cell>
          <cell r="I21">
            <v>3</v>
          </cell>
          <cell r="J21">
            <v>4.22</v>
          </cell>
          <cell r="K21">
            <v>2.5</v>
          </cell>
          <cell r="L21">
            <v>1</v>
          </cell>
        </row>
        <row r="22">
          <cell r="A22" t="str">
            <v>OGE</v>
          </cell>
          <cell r="B22" t="str">
            <v>OGE</v>
          </cell>
          <cell r="C22" t="str">
            <v>OGE ENERGY CORP</v>
          </cell>
          <cell r="D22">
            <v>19981217</v>
          </cell>
          <cell r="E22" t="str">
            <v>EPS</v>
          </cell>
          <cell r="F22" t="str">
            <v>LTG</v>
          </cell>
          <cell r="G22">
            <v>0</v>
          </cell>
          <cell r="H22">
            <v>6</v>
          </cell>
          <cell r="I22">
            <v>3.5</v>
          </cell>
          <cell r="J22">
            <v>3.67</v>
          </cell>
          <cell r="K22">
            <v>1.63</v>
          </cell>
          <cell r="L22">
            <v>1</v>
          </cell>
        </row>
        <row r="23">
          <cell r="A23" t="str">
            <v>PCG</v>
          </cell>
          <cell r="B23" t="str">
            <v>PCG</v>
          </cell>
          <cell r="C23" t="str">
            <v>P G &amp; E CORP</v>
          </cell>
          <cell r="D23">
            <v>19981217</v>
          </cell>
          <cell r="E23" t="str">
            <v>EPS</v>
          </cell>
          <cell r="F23" t="str">
            <v>LTG</v>
          </cell>
          <cell r="G23">
            <v>0</v>
          </cell>
          <cell r="H23">
            <v>9</v>
          </cell>
          <cell r="I23">
            <v>4</v>
          </cell>
          <cell r="J23">
            <v>4.68</v>
          </cell>
          <cell r="K23">
            <v>3.34</v>
          </cell>
          <cell r="L23">
            <v>1</v>
          </cell>
        </row>
        <row r="24">
          <cell r="A24" t="str">
            <v>PEG</v>
          </cell>
          <cell r="B24" t="str">
            <v>PEG</v>
          </cell>
          <cell r="C24" t="str">
            <v>PUB SVC ENTERS</v>
          </cell>
          <cell r="D24">
            <v>19981217</v>
          </cell>
          <cell r="E24" t="str">
            <v>EPS</v>
          </cell>
          <cell r="F24" t="str">
            <v>LTG</v>
          </cell>
          <cell r="G24">
            <v>0</v>
          </cell>
          <cell r="H24">
            <v>11</v>
          </cell>
          <cell r="I24">
            <v>2.1</v>
          </cell>
          <cell r="J24">
            <v>2.6</v>
          </cell>
          <cell r="K24">
            <v>1.1499999999999999</v>
          </cell>
          <cell r="L24">
            <v>1</v>
          </cell>
        </row>
        <row r="25">
          <cell r="A25" t="str">
            <v>PNM</v>
          </cell>
          <cell r="B25" t="str">
            <v>PNM</v>
          </cell>
          <cell r="C25" t="str">
            <v>PUB SVC N MEX</v>
          </cell>
          <cell r="D25">
            <v>19981217</v>
          </cell>
          <cell r="E25" t="str">
            <v>EPS</v>
          </cell>
          <cell r="F25" t="str">
            <v>LTG</v>
          </cell>
          <cell r="G25">
            <v>0</v>
          </cell>
          <cell r="H25">
            <v>8</v>
          </cell>
          <cell r="I25">
            <v>4.5</v>
          </cell>
          <cell r="J25">
            <v>4.38</v>
          </cell>
          <cell r="K25">
            <v>1.85</v>
          </cell>
          <cell r="L25">
            <v>1</v>
          </cell>
        </row>
        <row r="26">
          <cell r="A26" t="str">
            <v>POM</v>
          </cell>
          <cell r="B26" t="str">
            <v>POM</v>
          </cell>
          <cell r="C26" t="str">
            <v>POTOMAC ELEC</v>
          </cell>
          <cell r="D26">
            <v>19981217</v>
          </cell>
          <cell r="E26" t="str">
            <v>EPS</v>
          </cell>
          <cell r="F26" t="str">
            <v>LTG</v>
          </cell>
          <cell r="G26">
            <v>0</v>
          </cell>
          <cell r="H26">
            <v>7</v>
          </cell>
          <cell r="I26">
            <v>2</v>
          </cell>
          <cell r="J26">
            <v>1.94</v>
          </cell>
          <cell r="K26">
            <v>0.73</v>
          </cell>
          <cell r="L26">
            <v>1</v>
          </cell>
        </row>
        <row r="27">
          <cell r="A27" t="str">
            <v>PPL</v>
          </cell>
          <cell r="B27" t="str">
            <v>PPL</v>
          </cell>
          <cell r="C27" t="str">
            <v>PP&amp;L RESOURCES</v>
          </cell>
          <cell r="D27">
            <v>19981217</v>
          </cell>
          <cell r="E27" t="str">
            <v>EPS</v>
          </cell>
          <cell r="F27" t="str">
            <v>LTG</v>
          </cell>
          <cell r="G27">
            <v>0</v>
          </cell>
          <cell r="H27">
            <v>7</v>
          </cell>
          <cell r="I27">
            <v>2</v>
          </cell>
          <cell r="J27">
            <v>1.97</v>
          </cell>
          <cell r="K27">
            <v>0.75</v>
          </cell>
          <cell r="L27">
            <v>1</v>
          </cell>
        </row>
        <row r="28">
          <cell r="A28" t="str">
            <v>PSD</v>
          </cell>
          <cell r="B28" t="str">
            <v>PSD</v>
          </cell>
          <cell r="C28" t="str">
            <v>PUGET SOUND ENGY</v>
          </cell>
          <cell r="D28">
            <v>19981217</v>
          </cell>
          <cell r="E28" t="str">
            <v>EPS</v>
          </cell>
          <cell r="F28" t="str">
            <v>LTG</v>
          </cell>
          <cell r="G28">
            <v>0</v>
          </cell>
          <cell r="H28">
            <v>5</v>
          </cell>
          <cell r="I28">
            <v>3</v>
          </cell>
          <cell r="J28">
            <v>3.06</v>
          </cell>
          <cell r="K28">
            <v>1.76</v>
          </cell>
          <cell r="L28">
            <v>1</v>
          </cell>
        </row>
        <row r="29">
          <cell r="A29" t="str">
            <v>EIX</v>
          </cell>
          <cell r="B29" t="str">
            <v>SCE</v>
          </cell>
          <cell r="C29" t="str">
            <v>EDISON INTL</v>
          </cell>
          <cell r="D29">
            <v>19981217</v>
          </cell>
          <cell r="E29" t="str">
            <v>EPS</v>
          </cell>
          <cell r="F29" t="str">
            <v>LTG</v>
          </cell>
          <cell r="G29">
            <v>0</v>
          </cell>
          <cell r="H29">
            <v>11</v>
          </cell>
          <cell r="I29">
            <v>6.1</v>
          </cell>
          <cell r="J29">
            <v>6.37</v>
          </cell>
          <cell r="K29">
            <v>2.25</v>
          </cell>
          <cell r="L29">
            <v>1</v>
          </cell>
        </row>
        <row r="30">
          <cell r="A30" t="str">
            <v>SCG</v>
          </cell>
          <cell r="B30" t="str">
            <v>SCG</v>
          </cell>
          <cell r="C30" t="str">
            <v>SCANA CP</v>
          </cell>
          <cell r="D30">
            <v>19981217</v>
          </cell>
          <cell r="E30" t="str">
            <v>EPS</v>
          </cell>
          <cell r="F30" t="str">
            <v>LTG</v>
          </cell>
          <cell r="G30">
            <v>0</v>
          </cell>
          <cell r="H30">
            <v>9</v>
          </cell>
          <cell r="I30">
            <v>4</v>
          </cell>
          <cell r="J30">
            <v>3.9</v>
          </cell>
          <cell r="K30">
            <v>1.07</v>
          </cell>
          <cell r="L30">
            <v>1</v>
          </cell>
        </row>
        <row r="31">
          <cell r="A31" t="str">
            <v>SRE</v>
          </cell>
          <cell r="B31" t="str">
            <v>SDO</v>
          </cell>
          <cell r="C31" t="str">
            <v>SEMPRA ENERGY</v>
          </cell>
          <cell r="D31">
            <v>19981217</v>
          </cell>
          <cell r="E31" t="str">
            <v>EPS</v>
          </cell>
          <cell r="F31" t="str">
            <v>LTG</v>
          </cell>
          <cell r="G31">
            <v>0</v>
          </cell>
          <cell r="H31">
            <v>8</v>
          </cell>
          <cell r="I31">
            <v>5</v>
          </cell>
          <cell r="J31">
            <v>4.72</v>
          </cell>
          <cell r="K31">
            <v>1.79</v>
          </cell>
          <cell r="L31">
            <v>1</v>
          </cell>
        </row>
        <row r="32">
          <cell r="A32" t="str">
            <v>SO</v>
          </cell>
          <cell r="B32" t="str">
            <v>SO</v>
          </cell>
          <cell r="C32" t="str">
            <v>SOUTHN CO</v>
          </cell>
          <cell r="D32">
            <v>19981217</v>
          </cell>
          <cell r="E32" t="str">
            <v>EPS</v>
          </cell>
          <cell r="F32" t="str">
            <v>LTG</v>
          </cell>
          <cell r="G32">
            <v>0</v>
          </cell>
          <cell r="H32">
            <v>14</v>
          </cell>
          <cell r="I32">
            <v>4.75</v>
          </cell>
          <cell r="J32">
            <v>5.04</v>
          </cell>
          <cell r="K32">
            <v>2.2400000000000002</v>
          </cell>
          <cell r="L32">
            <v>1</v>
          </cell>
        </row>
        <row r="33">
          <cell r="A33" t="str">
            <v>TE</v>
          </cell>
          <cell r="B33" t="str">
            <v>TE</v>
          </cell>
          <cell r="C33" t="str">
            <v>TECO ENERGY INC</v>
          </cell>
          <cell r="D33">
            <v>19981217</v>
          </cell>
          <cell r="E33" t="str">
            <v>EPS</v>
          </cell>
          <cell r="F33" t="str">
            <v>LTG</v>
          </cell>
          <cell r="G33">
            <v>0</v>
          </cell>
          <cell r="H33">
            <v>15</v>
          </cell>
          <cell r="I33">
            <v>5</v>
          </cell>
          <cell r="J33">
            <v>4.99</v>
          </cell>
          <cell r="K33">
            <v>1.28</v>
          </cell>
          <cell r="L33">
            <v>1</v>
          </cell>
        </row>
        <row r="34">
          <cell r="A34" t="str">
            <v>AEE</v>
          </cell>
          <cell r="B34" t="str">
            <v>UEP</v>
          </cell>
          <cell r="C34" t="str">
            <v>AMEREN CP</v>
          </cell>
          <cell r="D34">
            <v>19981217</v>
          </cell>
          <cell r="E34" t="str">
            <v>EPS</v>
          </cell>
          <cell r="F34" t="str">
            <v>LTG</v>
          </cell>
          <cell r="G34">
            <v>0</v>
          </cell>
          <cell r="H34">
            <v>9</v>
          </cell>
          <cell r="I34">
            <v>3</v>
          </cell>
          <cell r="J34">
            <v>2.79</v>
          </cell>
          <cell r="K34">
            <v>1.05</v>
          </cell>
          <cell r="L34">
            <v>1</v>
          </cell>
        </row>
        <row r="35">
          <cell r="A35" t="str">
            <v>UIL</v>
          </cell>
          <cell r="B35" t="str">
            <v>UIL</v>
          </cell>
          <cell r="C35" t="str">
            <v>UTD ILLUM COO</v>
          </cell>
          <cell r="D35">
            <v>19981217</v>
          </cell>
          <cell r="E35" t="str">
            <v>EPS</v>
          </cell>
          <cell r="F35" t="str">
            <v>LTG</v>
          </cell>
          <cell r="G35">
            <v>0</v>
          </cell>
          <cell r="H35">
            <v>3</v>
          </cell>
          <cell r="I35">
            <v>3</v>
          </cell>
          <cell r="J35">
            <v>3.2</v>
          </cell>
          <cell r="K35">
            <v>1.31</v>
          </cell>
          <cell r="L35">
            <v>1</v>
          </cell>
        </row>
        <row r="36">
          <cell r="A36" t="str">
            <v>WEC</v>
          </cell>
          <cell r="B36" t="str">
            <v>WPC</v>
          </cell>
          <cell r="C36" t="str">
            <v>WISCONSIN ENERGY</v>
          </cell>
          <cell r="D36">
            <v>19981217</v>
          </cell>
          <cell r="E36" t="str">
            <v>EPS</v>
          </cell>
          <cell r="F36" t="str">
            <v>LTG</v>
          </cell>
          <cell r="G36">
            <v>0</v>
          </cell>
          <cell r="H36">
            <v>10</v>
          </cell>
          <cell r="I36">
            <v>3</v>
          </cell>
          <cell r="J36">
            <v>3.06</v>
          </cell>
          <cell r="K36">
            <v>1.1299999999999999</v>
          </cell>
          <cell r="L36">
            <v>1</v>
          </cell>
        </row>
        <row r="37">
          <cell r="A37" t="str">
            <v>LNT</v>
          </cell>
          <cell r="B37" t="str">
            <v>WPL</v>
          </cell>
          <cell r="C37" t="str">
            <v>INTERSTATE ENER</v>
          </cell>
          <cell r="D37">
            <v>19981217</v>
          </cell>
          <cell r="E37" t="str">
            <v>EPS</v>
          </cell>
          <cell r="F37" t="str">
            <v>LTG</v>
          </cell>
          <cell r="G37">
            <v>0</v>
          </cell>
          <cell r="H37">
            <v>4</v>
          </cell>
          <cell r="I37">
            <v>2</v>
          </cell>
          <cell r="J37">
            <v>2.13</v>
          </cell>
          <cell r="K37">
            <v>0.25</v>
          </cell>
          <cell r="L37">
            <v>1</v>
          </cell>
        </row>
        <row r="38">
          <cell r="A38" t="str">
            <v>WPS</v>
          </cell>
          <cell r="B38" t="str">
            <v>WPS</v>
          </cell>
          <cell r="C38" t="str">
            <v>WPS RESOURCES CP</v>
          </cell>
          <cell r="D38">
            <v>19981217</v>
          </cell>
          <cell r="E38" t="str">
            <v>EPS</v>
          </cell>
          <cell r="F38" t="str">
            <v>LTG</v>
          </cell>
          <cell r="G38">
            <v>0</v>
          </cell>
          <cell r="H38">
            <v>5</v>
          </cell>
          <cell r="I38">
            <v>2</v>
          </cell>
          <cell r="J38">
            <v>2.72</v>
          </cell>
          <cell r="K38">
            <v>1</v>
          </cell>
          <cell r="L38">
            <v>1</v>
          </cell>
        </row>
        <row r="39">
          <cell r="A39" t="str">
            <v>AGR</v>
          </cell>
          <cell r="B39" t="str">
            <v>@AGM</v>
          </cell>
          <cell r="C39" t="str">
            <v>AGROMAN</v>
          </cell>
          <cell r="D39">
            <v>19981217</v>
          </cell>
          <cell r="E39" t="str">
            <v>EPS</v>
          </cell>
          <cell r="F39" t="str">
            <v>LTG</v>
          </cell>
          <cell r="G39">
            <v>0</v>
          </cell>
          <cell r="H39">
            <v>1</v>
          </cell>
          <cell r="I39">
            <v>33</v>
          </cell>
          <cell r="J39">
            <v>33</v>
          </cell>
          <cell r="L39">
            <v>0</v>
          </cell>
        </row>
        <row r="40">
          <cell r="A40" t="str">
            <v>AVA</v>
          </cell>
          <cell r="B40" t="str">
            <v>@AHV</v>
          </cell>
          <cell r="C40" t="str">
            <v>AVA</v>
          </cell>
          <cell r="D40">
            <v>19981217</v>
          </cell>
          <cell r="E40" t="str">
            <v>EPS</v>
          </cell>
          <cell r="F40" t="str">
            <v>LTG</v>
          </cell>
          <cell r="G40">
            <v>0</v>
          </cell>
          <cell r="H40">
            <v>2</v>
          </cell>
          <cell r="I40">
            <v>16.5</v>
          </cell>
          <cell r="J40">
            <v>16.5</v>
          </cell>
          <cell r="K40">
            <v>4.95</v>
          </cell>
          <cell r="L40">
            <v>0</v>
          </cell>
        </row>
        <row r="41">
          <cell r="A41" t="str">
            <v>D</v>
          </cell>
          <cell r="B41" t="str">
            <v>@DLM</v>
          </cell>
          <cell r="C41" t="str">
            <v>DALMINE</v>
          </cell>
          <cell r="D41">
            <v>19981217</v>
          </cell>
          <cell r="E41" t="str">
            <v>EPS</v>
          </cell>
          <cell r="F41" t="str">
            <v>LTG</v>
          </cell>
          <cell r="G41">
            <v>0</v>
          </cell>
          <cell r="H41">
            <v>2</v>
          </cell>
          <cell r="I41">
            <v>66.75</v>
          </cell>
          <cell r="J41">
            <v>66.75</v>
          </cell>
          <cell r="K41">
            <v>47.73</v>
          </cell>
          <cell r="L41">
            <v>0</v>
          </cell>
        </row>
        <row r="42">
          <cell r="A42" t="str">
            <v>DTE</v>
          </cell>
          <cell r="B42" t="str">
            <v>@DT</v>
          </cell>
          <cell r="C42" t="str">
            <v>DEUTSCHE TELEKOM</v>
          </cell>
          <cell r="D42">
            <v>19981217</v>
          </cell>
          <cell r="E42" t="str">
            <v>EPS</v>
          </cell>
          <cell r="F42" t="str">
            <v>LTG</v>
          </cell>
          <cell r="G42">
            <v>0</v>
          </cell>
          <cell r="H42">
            <v>1</v>
          </cell>
          <cell r="I42">
            <v>15</v>
          </cell>
          <cell r="J42">
            <v>15</v>
          </cell>
          <cell r="L42">
            <v>0</v>
          </cell>
        </row>
        <row r="43">
          <cell r="A43" t="str">
            <v>POM</v>
          </cell>
          <cell r="B43" t="str">
            <v>@PO8</v>
          </cell>
          <cell r="C43" t="str">
            <v>PLASTIC OMNIUM</v>
          </cell>
          <cell r="D43">
            <v>19981217</v>
          </cell>
          <cell r="E43" t="str">
            <v>EPS</v>
          </cell>
          <cell r="F43" t="str">
            <v>LTG</v>
          </cell>
          <cell r="G43">
            <v>0</v>
          </cell>
          <cell r="H43">
            <v>1</v>
          </cell>
          <cell r="I43">
            <v>17</v>
          </cell>
          <cell r="J43">
            <v>17</v>
          </cell>
          <cell r="L43">
            <v>0</v>
          </cell>
        </row>
        <row r="44">
          <cell r="A44" t="str">
            <v>SO</v>
          </cell>
          <cell r="B44" t="str">
            <v>@SOM</v>
          </cell>
          <cell r="C44" t="str">
            <v>SOMMER-ALLIBERT</v>
          </cell>
          <cell r="D44">
            <v>19981217</v>
          </cell>
          <cell r="E44" t="str">
            <v>EPS</v>
          </cell>
          <cell r="F44" t="str">
            <v>LTG</v>
          </cell>
          <cell r="G44">
            <v>0</v>
          </cell>
          <cell r="H44">
            <v>3</v>
          </cell>
          <cell r="I44">
            <v>17.2</v>
          </cell>
          <cell r="J44">
            <v>14.73</v>
          </cell>
          <cell r="K44">
            <v>6.84</v>
          </cell>
          <cell r="L44">
            <v>0</v>
          </cell>
        </row>
        <row r="45">
          <cell r="A45" t="str">
            <v>CIN</v>
          </cell>
          <cell r="B45" t="str">
            <v>@YYN</v>
          </cell>
          <cell r="C45" t="str">
            <v>CIN</v>
          </cell>
          <cell r="D45">
            <v>19981217</v>
          </cell>
          <cell r="E45" t="str">
            <v>EPS</v>
          </cell>
          <cell r="F45" t="str">
            <v>LTG</v>
          </cell>
          <cell r="G45">
            <v>0</v>
          </cell>
          <cell r="H45">
            <v>2</v>
          </cell>
          <cell r="I45">
            <v>18.98</v>
          </cell>
          <cell r="J45">
            <v>18.98</v>
          </cell>
          <cell r="K45">
            <v>2.85</v>
          </cell>
          <cell r="L45">
            <v>0</v>
          </cell>
        </row>
      </sheetData>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v8ebbst5awwitq"/>
    </sheetNames>
    <sheetDataSet>
      <sheetData sheetId="0">
        <row r="1">
          <cell r="B1" t="str">
            <v>Official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Forecast Period End Date (SAS Format)</v>
          </cell>
          <cell r="M1" t="str">
            <v>Actual Value, from the Detail Actuals File</v>
          </cell>
          <cell r="N1" t="str">
            <v>Announce date of the Actual, from the Detail Actuals File</v>
          </cell>
        </row>
        <row r="2">
          <cell r="B2" t="str">
            <v>ATG</v>
          </cell>
          <cell r="C2" t="str">
            <v>AGL RESOURCES</v>
          </cell>
          <cell r="D2">
            <v>36146</v>
          </cell>
          <cell r="E2" t="str">
            <v>EPS</v>
          </cell>
          <cell r="F2" t="str">
            <v>ANN</v>
          </cell>
          <cell r="G2" t="str">
            <v>1</v>
          </cell>
          <cell r="H2">
            <v>13</v>
          </cell>
          <cell r="I2">
            <v>1.4</v>
          </cell>
          <cell r="J2">
            <v>1.4</v>
          </cell>
          <cell r="K2">
            <v>0.05</v>
          </cell>
          <cell r="L2">
            <v>36433</v>
          </cell>
          <cell r="M2">
            <v>0.91</v>
          </cell>
          <cell r="N2">
            <v>36465</v>
          </cell>
        </row>
        <row r="3">
          <cell r="B3" t="str">
            <v>CGC</v>
          </cell>
          <cell r="C3" t="str">
            <v>CASCADE NAT GAS</v>
          </cell>
          <cell r="D3">
            <v>36146</v>
          </cell>
          <cell r="E3" t="str">
            <v>EPS</v>
          </cell>
          <cell r="F3" t="str">
            <v>ANN</v>
          </cell>
          <cell r="G3" t="str">
            <v>1</v>
          </cell>
          <cell r="H3">
            <v>4</v>
          </cell>
          <cell r="I3">
            <v>1.1000000000000001</v>
          </cell>
          <cell r="J3">
            <v>1.06</v>
          </cell>
          <cell r="K3">
            <v>7.0000000000000007E-2</v>
          </cell>
          <cell r="L3">
            <v>36433</v>
          </cell>
          <cell r="M3">
            <v>1.25</v>
          </cell>
          <cell r="N3">
            <v>36466</v>
          </cell>
        </row>
        <row r="4">
          <cell r="B4" t="str">
            <v>ATO</v>
          </cell>
          <cell r="C4" t="str">
            <v>ATMOS ENERGY CP</v>
          </cell>
          <cell r="D4">
            <v>36146</v>
          </cell>
          <cell r="E4" t="str">
            <v>EPS</v>
          </cell>
          <cell r="F4" t="str">
            <v>ANN</v>
          </cell>
          <cell r="G4" t="str">
            <v>1</v>
          </cell>
          <cell r="H4">
            <v>9</v>
          </cell>
          <cell r="I4">
            <v>1.94</v>
          </cell>
          <cell r="J4">
            <v>1.94</v>
          </cell>
          <cell r="K4">
            <v>0.04</v>
          </cell>
          <cell r="L4">
            <v>36433</v>
          </cell>
          <cell r="M4">
            <v>0.57999999999999996</v>
          </cell>
          <cell r="N4">
            <v>36474</v>
          </cell>
        </row>
        <row r="5">
          <cell r="B5" t="str">
            <v>GAS</v>
          </cell>
          <cell r="C5" t="str">
            <v>NICOR INC</v>
          </cell>
          <cell r="D5">
            <v>36146</v>
          </cell>
          <cell r="E5" t="str">
            <v>EPS</v>
          </cell>
          <cell r="F5" t="str">
            <v>ANN</v>
          </cell>
          <cell r="G5" t="str">
            <v>1</v>
          </cell>
          <cell r="H5">
            <v>10</v>
          </cell>
          <cell r="I5">
            <v>2.59</v>
          </cell>
          <cell r="J5">
            <v>2.5499999999999998</v>
          </cell>
          <cell r="K5">
            <v>7.0000000000000007E-2</v>
          </cell>
          <cell r="L5">
            <v>36160</v>
          </cell>
          <cell r="M5">
            <v>2.42</v>
          </cell>
          <cell r="N5">
            <v>36187</v>
          </cell>
        </row>
        <row r="6">
          <cell r="B6" t="str">
            <v>LG</v>
          </cell>
          <cell r="C6" t="str">
            <v>LACLEDE GAS</v>
          </cell>
          <cell r="D6">
            <v>36146</v>
          </cell>
          <cell r="E6" t="str">
            <v>EPS</v>
          </cell>
          <cell r="F6" t="str">
            <v>ANN</v>
          </cell>
          <cell r="G6" t="str">
            <v>1</v>
          </cell>
          <cell r="H6">
            <v>2</v>
          </cell>
          <cell r="I6">
            <v>1.85</v>
          </cell>
          <cell r="J6">
            <v>1.85</v>
          </cell>
          <cell r="K6">
            <v>0.14000000000000001</v>
          </cell>
          <cell r="L6">
            <v>36433</v>
          </cell>
          <cell r="M6">
            <v>1.6</v>
          </cell>
          <cell r="N6">
            <v>36461</v>
          </cell>
        </row>
        <row r="7">
          <cell r="B7" t="str">
            <v>KSE</v>
          </cell>
          <cell r="C7" t="str">
            <v>KEYSPAN ENRGY CP</v>
          </cell>
          <cell r="D7">
            <v>36146</v>
          </cell>
          <cell r="E7" t="str">
            <v>EPS</v>
          </cell>
          <cell r="F7" t="str">
            <v>ANN</v>
          </cell>
          <cell r="G7" t="str">
            <v>1</v>
          </cell>
          <cell r="H7">
            <v>9</v>
          </cell>
          <cell r="I7">
            <v>1.6</v>
          </cell>
          <cell r="J7">
            <v>1.64</v>
          </cell>
          <cell r="K7">
            <v>0.25</v>
          </cell>
          <cell r="L7">
            <v>36160</v>
          </cell>
          <cell r="M7">
            <v>0.48</v>
          </cell>
          <cell r="N7">
            <v>36279</v>
          </cell>
        </row>
        <row r="8">
          <cell r="B8" t="str">
            <v>NI</v>
          </cell>
          <cell r="C8" t="str">
            <v>NIPSCO IND INC</v>
          </cell>
          <cell r="D8">
            <v>36146</v>
          </cell>
          <cell r="E8" t="str">
            <v>EPS</v>
          </cell>
          <cell r="F8" t="str">
            <v>ANN</v>
          </cell>
          <cell r="G8" t="str">
            <v>1</v>
          </cell>
          <cell r="H8">
            <v>23</v>
          </cell>
          <cell r="I8">
            <v>1.65</v>
          </cell>
          <cell r="J8">
            <v>1.64</v>
          </cell>
          <cell r="K8">
            <v>0.02</v>
          </cell>
          <cell r="L8">
            <v>36160</v>
          </cell>
          <cell r="M8">
            <v>1.59</v>
          </cell>
          <cell r="N8">
            <v>36188</v>
          </cell>
        </row>
        <row r="9">
          <cell r="B9" t="str">
            <v>NJR</v>
          </cell>
          <cell r="C9" t="str">
            <v>NEW JERSEY RES</v>
          </cell>
          <cell r="D9">
            <v>36146</v>
          </cell>
          <cell r="E9" t="str">
            <v>EPS</v>
          </cell>
          <cell r="F9" t="str">
            <v>ANN</v>
          </cell>
          <cell r="G9" t="str">
            <v>1</v>
          </cell>
          <cell r="H9">
            <v>7</v>
          </cell>
          <cell r="I9">
            <v>0.56000000000000005</v>
          </cell>
          <cell r="J9">
            <v>0.55000000000000004</v>
          </cell>
          <cell r="K9">
            <v>0.02</v>
          </cell>
          <cell r="L9">
            <v>36433</v>
          </cell>
          <cell r="M9">
            <v>0.55330000000000001</v>
          </cell>
          <cell r="N9">
            <v>36460</v>
          </cell>
        </row>
        <row r="10">
          <cell r="B10" t="str">
            <v>PNY</v>
          </cell>
          <cell r="C10" t="str">
            <v>PIEDMONT NAT GAS</v>
          </cell>
          <cell r="D10">
            <v>36146</v>
          </cell>
          <cell r="E10" t="str">
            <v>EPS</v>
          </cell>
          <cell r="F10" t="str">
            <v>ANN</v>
          </cell>
          <cell r="G10" t="str">
            <v>1</v>
          </cell>
          <cell r="H10">
            <v>5</v>
          </cell>
          <cell r="I10">
            <v>1.03</v>
          </cell>
          <cell r="J10">
            <v>1.03</v>
          </cell>
          <cell r="K10">
            <v>0.01</v>
          </cell>
          <cell r="L10">
            <v>36464</v>
          </cell>
          <cell r="M10">
            <v>0.93</v>
          </cell>
          <cell r="N10">
            <v>36497</v>
          </cell>
        </row>
        <row r="11">
          <cell r="B11" t="str">
            <v>SJI</v>
          </cell>
          <cell r="C11" t="str">
            <v>SO JERSEY INDS</v>
          </cell>
          <cell r="D11">
            <v>36146</v>
          </cell>
          <cell r="E11" t="str">
            <v>EPS</v>
          </cell>
          <cell r="F11" t="str">
            <v>ANN</v>
          </cell>
          <cell r="G11" t="str">
            <v>1</v>
          </cell>
          <cell r="H11">
            <v>2</v>
          </cell>
          <cell r="I11">
            <v>0.39</v>
          </cell>
          <cell r="J11">
            <v>0.39</v>
          </cell>
          <cell r="K11">
            <v>0.02</v>
          </cell>
          <cell r="L11">
            <v>36160</v>
          </cell>
          <cell r="M11">
            <v>0.32</v>
          </cell>
          <cell r="N11">
            <v>36182</v>
          </cell>
        </row>
        <row r="12">
          <cell r="B12" t="str">
            <v>SWX</v>
          </cell>
          <cell r="C12" t="str">
            <v>SOUTHWEST GAS</v>
          </cell>
          <cell r="D12">
            <v>36146</v>
          </cell>
          <cell r="E12" t="str">
            <v>EPS</v>
          </cell>
          <cell r="F12" t="str">
            <v>ANN</v>
          </cell>
          <cell r="G12" t="str">
            <v>1</v>
          </cell>
          <cell r="H12">
            <v>5</v>
          </cell>
          <cell r="I12">
            <v>1.7</v>
          </cell>
          <cell r="J12">
            <v>1.69</v>
          </cell>
          <cell r="K12">
            <v>7.0000000000000007E-2</v>
          </cell>
          <cell r="L12">
            <v>36160</v>
          </cell>
          <cell r="M12">
            <v>1.65</v>
          </cell>
          <cell r="N12">
            <v>36201</v>
          </cell>
        </row>
        <row r="13">
          <cell r="B13" t="str">
            <v>WGL</v>
          </cell>
          <cell r="C13" t="str">
            <v>WASH GAS LT</v>
          </cell>
          <cell r="D13">
            <v>36146</v>
          </cell>
          <cell r="E13" t="str">
            <v>EPS</v>
          </cell>
          <cell r="F13" t="str">
            <v>ANN</v>
          </cell>
          <cell r="G13" t="str">
            <v>1</v>
          </cell>
          <cell r="H13">
            <v>7</v>
          </cell>
          <cell r="I13">
            <v>1.9</v>
          </cell>
          <cell r="J13">
            <v>1.94</v>
          </cell>
          <cell r="K13">
            <v>0.09</v>
          </cell>
          <cell r="L13">
            <v>36433</v>
          </cell>
          <cell r="M13">
            <v>1.49</v>
          </cell>
          <cell r="N13">
            <v>36460</v>
          </cell>
        </row>
      </sheetData>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0ttfubq9nsmcvi0"/>
    </sheetNames>
    <sheetDataSet>
      <sheetData sheetId="0">
        <row r="1">
          <cell r="B1" t="str">
            <v>Official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Forecast Period End Date (SAS Format)</v>
          </cell>
          <cell r="M1" t="str">
            <v>Actual Value, from the Detail Actuals File</v>
          </cell>
          <cell r="N1" t="str">
            <v>Announce date of the Actual, from the Detail Actuals File</v>
          </cell>
        </row>
        <row r="2">
          <cell r="B2" t="str">
            <v>ATG</v>
          </cell>
          <cell r="C2" t="str">
            <v>AGL RESOURCES</v>
          </cell>
          <cell r="D2">
            <v>36146</v>
          </cell>
          <cell r="E2" t="str">
            <v>EPS</v>
          </cell>
          <cell r="F2" t="str">
            <v>LTG</v>
          </cell>
          <cell r="G2" t="str">
            <v>0</v>
          </cell>
          <cell r="H2">
            <v>9</v>
          </cell>
          <cell r="I2">
            <v>5</v>
          </cell>
          <cell r="J2">
            <v>4.54</v>
          </cell>
          <cell r="K2">
            <v>1.21</v>
          </cell>
        </row>
        <row r="3">
          <cell r="B3" t="str">
            <v>CGC</v>
          </cell>
          <cell r="C3" t="str">
            <v>CASCADE NAT GAS</v>
          </cell>
          <cell r="D3">
            <v>36146</v>
          </cell>
          <cell r="E3" t="str">
            <v>EPS</v>
          </cell>
          <cell r="F3" t="str">
            <v>LTG</v>
          </cell>
          <cell r="G3" t="str">
            <v>0</v>
          </cell>
          <cell r="H3">
            <v>4</v>
          </cell>
          <cell r="I3">
            <v>3.4</v>
          </cell>
          <cell r="J3">
            <v>3.38</v>
          </cell>
          <cell r="K3">
            <v>0.72</v>
          </cell>
        </row>
        <row r="4">
          <cell r="B4" t="str">
            <v>ATO</v>
          </cell>
          <cell r="C4" t="str">
            <v>ATMOS ENERGY CP</v>
          </cell>
          <cell r="D4">
            <v>36146</v>
          </cell>
          <cell r="E4" t="str">
            <v>EPS</v>
          </cell>
          <cell r="F4" t="str">
            <v>LTG</v>
          </cell>
          <cell r="G4" t="str">
            <v>0</v>
          </cell>
          <cell r="H4">
            <v>6</v>
          </cell>
          <cell r="I4">
            <v>9</v>
          </cell>
          <cell r="J4">
            <v>8.9499999999999993</v>
          </cell>
          <cell r="K4">
            <v>3.09</v>
          </cell>
        </row>
        <row r="5">
          <cell r="B5" t="str">
            <v>GAS</v>
          </cell>
          <cell r="C5" t="str">
            <v>NICOR INC</v>
          </cell>
          <cell r="D5">
            <v>36146</v>
          </cell>
          <cell r="E5" t="str">
            <v>EPS</v>
          </cell>
          <cell r="F5" t="str">
            <v>LTG</v>
          </cell>
          <cell r="G5" t="str">
            <v>0</v>
          </cell>
          <cell r="H5">
            <v>6</v>
          </cell>
          <cell r="I5">
            <v>5.5</v>
          </cell>
          <cell r="J5">
            <v>5.48</v>
          </cell>
          <cell r="K5">
            <v>1.36</v>
          </cell>
        </row>
        <row r="6">
          <cell r="B6" t="str">
            <v>LG</v>
          </cell>
          <cell r="C6" t="str">
            <v>LACLEDE GAS</v>
          </cell>
          <cell r="D6">
            <v>36146</v>
          </cell>
          <cell r="E6" t="str">
            <v>EPS</v>
          </cell>
          <cell r="F6" t="str">
            <v>LTG</v>
          </cell>
          <cell r="G6" t="str">
            <v>0</v>
          </cell>
          <cell r="H6">
            <v>1</v>
          </cell>
          <cell r="I6">
            <v>1.7</v>
          </cell>
          <cell r="J6">
            <v>1.7</v>
          </cell>
        </row>
        <row r="7">
          <cell r="B7" t="str">
            <v>KSE</v>
          </cell>
          <cell r="C7" t="str">
            <v>KEYSPAN ENRGY CP</v>
          </cell>
          <cell r="D7">
            <v>36146</v>
          </cell>
          <cell r="E7" t="str">
            <v>EPS</v>
          </cell>
          <cell r="F7" t="str">
            <v>LTG</v>
          </cell>
          <cell r="G7" t="str">
            <v>0</v>
          </cell>
          <cell r="H7">
            <v>4</v>
          </cell>
          <cell r="I7">
            <v>8</v>
          </cell>
          <cell r="J7">
            <v>7.88</v>
          </cell>
          <cell r="K7">
            <v>4.21</v>
          </cell>
        </row>
        <row r="8">
          <cell r="B8" t="str">
            <v>NI</v>
          </cell>
          <cell r="C8" t="str">
            <v>NIPSCO IND INC</v>
          </cell>
          <cell r="D8">
            <v>36146</v>
          </cell>
          <cell r="E8" t="str">
            <v>EPS</v>
          </cell>
          <cell r="F8" t="str">
            <v>LTG</v>
          </cell>
          <cell r="G8" t="str">
            <v>0</v>
          </cell>
          <cell r="H8">
            <v>16</v>
          </cell>
          <cell r="I8">
            <v>6.3</v>
          </cell>
          <cell r="J8">
            <v>6.43</v>
          </cell>
          <cell r="K8">
            <v>1.56</v>
          </cell>
        </row>
        <row r="9">
          <cell r="B9" t="str">
            <v>NJR</v>
          </cell>
          <cell r="C9" t="str">
            <v>NEW JERSEY RES</v>
          </cell>
          <cell r="D9">
            <v>36146</v>
          </cell>
          <cell r="E9" t="str">
            <v>EPS</v>
          </cell>
          <cell r="F9" t="str">
            <v>LTG</v>
          </cell>
          <cell r="G9" t="str">
            <v>0</v>
          </cell>
          <cell r="H9">
            <v>4</v>
          </cell>
          <cell r="I9">
            <v>6</v>
          </cell>
          <cell r="J9">
            <v>5.88</v>
          </cell>
          <cell r="K9">
            <v>0.63</v>
          </cell>
        </row>
        <row r="10">
          <cell r="B10" t="str">
            <v>PNY</v>
          </cell>
          <cell r="C10" t="str">
            <v>PIEDMONT NAT GAS</v>
          </cell>
          <cell r="D10">
            <v>36146</v>
          </cell>
          <cell r="E10" t="str">
            <v>EPS</v>
          </cell>
          <cell r="F10" t="str">
            <v>LTG</v>
          </cell>
          <cell r="G10" t="str">
            <v>0</v>
          </cell>
          <cell r="H10">
            <v>4</v>
          </cell>
          <cell r="I10">
            <v>6.5</v>
          </cell>
          <cell r="J10">
            <v>6.75</v>
          </cell>
          <cell r="K10">
            <v>2.06</v>
          </cell>
        </row>
        <row r="11">
          <cell r="B11" t="str">
            <v>SJI</v>
          </cell>
          <cell r="C11" t="str">
            <v>SO JERSEY INDS</v>
          </cell>
          <cell r="D11">
            <v>36146</v>
          </cell>
          <cell r="E11" t="str">
            <v>EPS</v>
          </cell>
          <cell r="F11" t="str">
            <v>LTG</v>
          </cell>
          <cell r="G11" t="str">
            <v>0</v>
          </cell>
          <cell r="H11">
            <v>2</v>
          </cell>
          <cell r="I11">
            <v>4</v>
          </cell>
          <cell r="J11">
            <v>4</v>
          </cell>
          <cell r="K11">
            <v>1.41</v>
          </cell>
        </row>
        <row r="12">
          <cell r="B12" t="str">
            <v>SWX</v>
          </cell>
          <cell r="C12" t="str">
            <v>SOUTHWEST GAS</v>
          </cell>
          <cell r="D12">
            <v>36146</v>
          </cell>
          <cell r="E12" t="str">
            <v>EPS</v>
          </cell>
          <cell r="F12" t="str">
            <v>LTG</v>
          </cell>
          <cell r="G12" t="str">
            <v>0</v>
          </cell>
          <cell r="H12">
            <v>3</v>
          </cell>
          <cell r="I12">
            <v>4.5999999999999996</v>
          </cell>
          <cell r="J12">
            <v>4.53</v>
          </cell>
          <cell r="K12">
            <v>0.5</v>
          </cell>
        </row>
        <row r="13">
          <cell r="B13" t="str">
            <v>WGL</v>
          </cell>
          <cell r="C13" t="str">
            <v>WASH GAS LT</v>
          </cell>
          <cell r="D13">
            <v>36146</v>
          </cell>
          <cell r="E13" t="str">
            <v>EPS</v>
          </cell>
          <cell r="F13" t="str">
            <v>LTG</v>
          </cell>
          <cell r="G13" t="str">
            <v>0</v>
          </cell>
          <cell r="H13">
            <v>6</v>
          </cell>
          <cell r="I13">
            <v>5</v>
          </cell>
          <cell r="J13">
            <v>4.83</v>
          </cell>
          <cell r="K13">
            <v>1.57</v>
          </cell>
        </row>
      </sheetData>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RDS"/>
    </sheetNames>
    <sheetDataSet>
      <sheetData sheetId="0">
        <row r="1">
          <cell r="A1" t="str">
            <v>OFTIC</v>
          </cell>
          <cell r="B1" t="str">
            <v>IBES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USFIRM=0 if from .INT file and USFIRM=1 if from .US file</v>
          </cell>
          <cell r="L1" t="str">
            <v>Forecast Period End Date (SAS Format)</v>
          </cell>
          <cell r="M1" t="str">
            <v>Actual Value, from the Detail Actuals File</v>
          </cell>
          <cell r="N1" t="str">
            <v>Announce date of the Actual, from the Detail Actuals File</v>
          </cell>
        </row>
        <row r="2">
          <cell r="A2" t="str">
            <v>AGR</v>
          </cell>
          <cell r="B2" t="str">
            <v>AGR2</v>
          </cell>
          <cell r="C2" t="str">
            <v>ARGENTARIA</v>
          </cell>
          <cell r="D2">
            <v>19971218</v>
          </cell>
          <cell r="E2" t="str">
            <v>EPS</v>
          </cell>
          <cell r="F2" t="str">
            <v>ANN</v>
          </cell>
          <cell r="G2">
            <v>1</v>
          </cell>
          <cell r="H2">
            <v>2</v>
          </cell>
          <cell r="I2">
            <v>1.85</v>
          </cell>
          <cell r="J2">
            <v>1.85</v>
          </cell>
          <cell r="K2">
            <v>1</v>
          </cell>
          <cell r="L2">
            <v>19971231</v>
          </cell>
          <cell r="M2">
            <v>1.67</v>
          </cell>
          <cell r="N2">
            <v>19980304</v>
          </cell>
        </row>
        <row r="3">
          <cell r="A3" t="str">
            <v>PNW</v>
          </cell>
          <cell r="B3" t="str">
            <v>AZP</v>
          </cell>
          <cell r="C3" t="str">
            <v>PINNACLE WST CAP</v>
          </cell>
          <cell r="D3">
            <v>19971218</v>
          </cell>
          <cell r="E3" t="str">
            <v>EPS</v>
          </cell>
          <cell r="F3" t="str">
            <v>ANN</v>
          </cell>
          <cell r="G3">
            <v>1</v>
          </cell>
          <cell r="H3">
            <v>17</v>
          </cell>
          <cell r="I3">
            <v>2.58</v>
          </cell>
          <cell r="J3">
            <v>2.58</v>
          </cell>
          <cell r="K3">
            <v>1</v>
          </cell>
          <cell r="L3">
            <v>19971231</v>
          </cell>
          <cell r="M3">
            <v>2.76</v>
          </cell>
          <cell r="N3">
            <v>19980121</v>
          </cell>
        </row>
        <row r="4">
          <cell r="A4" t="str">
            <v>BKH</v>
          </cell>
          <cell r="B4" t="str">
            <v>BHP</v>
          </cell>
          <cell r="C4" t="str">
            <v>BLACK HILLS CP</v>
          </cell>
          <cell r="D4">
            <v>19971218</v>
          </cell>
          <cell r="E4" t="str">
            <v>EPS</v>
          </cell>
          <cell r="F4" t="str">
            <v>ANN</v>
          </cell>
          <cell r="G4">
            <v>1</v>
          </cell>
          <cell r="H4">
            <v>5</v>
          </cell>
          <cell r="I4">
            <v>1.47</v>
          </cell>
          <cell r="J4">
            <v>1.48</v>
          </cell>
          <cell r="K4">
            <v>1</v>
          </cell>
          <cell r="L4">
            <v>19971231</v>
          </cell>
          <cell r="M4">
            <v>1.4933000000000001</v>
          </cell>
          <cell r="N4">
            <v>19980130</v>
          </cell>
        </row>
        <row r="5">
          <cell r="A5" t="str">
            <v>CIN</v>
          </cell>
          <cell r="B5" t="str">
            <v>CIN</v>
          </cell>
          <cell r="C5" t="str">
            <v>CINERGY CORP</v>
          </cell>
          <cell r="D5">
            <v>19971218</v>
          </cell>
          <cell r="E5" t="str">
            <v>EPS</v>
          </cell>
          <cell r="F5" t="str">
            <v>ANN</v>
          </cell>
          <cell r="G5">
            <v>1</v>
          </cell>
          <cell r="H5">
            <v>21</v>
          </cell>
          <cell r="I5">
            <v>2.35</v>
          </cell>
          <cell r="J5">
            <v>2.39</v>
          </cell>
          <cell r="K5">
            <v>1</v>
          </cell>
          <cell r="L5">
            <v>19971231</v>
          </cell>
          <cell r="M5">
            <v>2.37</v>
          </cell>
          <cell r="N5">
            <v>19980129</v>
          </cell>
        </row>
        <row r="6">
          <cell r="A6" t="str">
            <v>CMS</v>
          </cell>
          <cell r="B6" t="str">
            <v>CMS</v>
          </cell>
          <cell r="C6" t="str">
            <v>CMS ENERGY CORP</v>
          </cell>
          <cell r="D6">
            <v>19971218</v>
          </cell>
          <cell r="E6" t="str">
            <v>EPS</v>
          </cell>
          <cell r="F6" t="str">
            <v>ANN</v>
          </cell>
          <cell r="G6">
            <v>1</v>
          </cell>
          <cell r="H6">
            <v>21</v>
          </cell>
          <cell r="I6">
            <v>2.6</v>
          </cell>
          <cell r="J6">
            <v>2.59</v>
          </cell>
          <cell r="K6">
            <v>1</v>
          </cell>
          <cell r="L6">
            <v>19971231</v>
          </cell>
          <cell r="M6">
            <v>2.63</v>
          </cell>
          <cell r="N6">
            <v>19980122</v>
          </cell>
        </row>
        <row r="7">
          <cell r="A7" t="str">
            <v>CNL</v>
          </cell>
          <cell r="B7" t="str">
            <v>CNL</v>
          </cell>
          <cell r="C7" t="str">
            <v>CENT LA ELEC INC</v>
          </cell>
          <cell r="D7">
            <v>19971218</v>
          </cell>
          <cell r="E7" t="str">
            <v>EPS</v>
          </cell>
          <cell r="F7" t="str">
            <v>ANN</v>
          </cell>
          <cell r="G7">
            <v>1</v>
          </cell>
          <cell r="H7">
            <v>4</v>
          </cell>
          <cell r="I7">
            <v>1.08</v>
          </cell>
          <cell r="J7">
            <v>1.07</v>
          </cell>
          <cell r="K7">
            <v>1</v>
          </cell>
          <cell r="L7">
            <v>19971231</v>
          </cell>
          <cell r="M7">
            <v>1.1200000000000001</v>
          </cell>
          <cell r="N7">
            <v>19980127</v>
          </cell>
        </row>
        <row r="8">
          <cell r="A8" t="str">
            <v>CNP</v>
          </cell>
          <cell r="B8" t="str">
            <v>CNP</v>
          </cell>
          <cell r="C8" t="str">
            <v>CROWN CENT PETE</v>
          </cell>
          <cell r="D8">
            <v>19971218</v>
          </cell>
          <cell r="E8" t="str">
            <v>EPS</v>
          </cell>
          <cell r="F8" t="str">
            <v>ANN</v>
          </cell>
          <cell r="G8">
            <v>1</v>
          </cell>
          <cell r="H8">
            <v>1</v>
          </cell>
          <cell r="I8">
            <v>1.75</v>
          </cell>
          <cell r="J8">
            <v>1.75</v>
          </cell>
          <cell r="K8">
            <v>1</v>
          </cell>
          <cell r="L8">
            <v>19971231</v>
          </cell>
          <cell r="M8">
            <v>1.98</v>
          </cell>
          <cell r="N8">
            <v>19980226</v>
          </cell>
        </row>
        <row r="9">
          <cell r="A9" t="str">
            <v>CV</v>
          </cell>
          <cell r="B9" t="str">
            <v>CV</v>
          </cell>
          <cell r="C9" t="str">
            <v>CENT VT PUB SVC</v>
          </cell>
          <cell r="D9">
            <v>19971218</v>
          </cell>
          <cell r="E9" t="str">
            <v>EPS</v>
          </cell>
          <cell r="F9" t="str">
            <v>ANN</v>
          </cell>
          <cell r="G9">
            <v>1</v>
          </cell>
          <cell r="H9">
            <v>1</v>
          </cell>
          <cell r="I9">
            <v>1.65</v>
          </cell>
          <cell r="J9">
            <v>1.65</v>
          </cell>
          <cell r="K9">
            <v>1</v>
          </cell>
          <cell r="L9">
            <v>19971231</v>
          </cell>
          <cell r="M9">
            <v>0.19</v>
          </cell>
          <cell r="N9">
            <v>19980302</v>
          </cell>
        </row>
        <row r="10">
          <cell r="A10" t="str">
            <v>D</v>
          </cell>
          <cell r="B10" t="str">
            <v>D</v>
          </cell>
          <cell r="C10" t="str">
            <v>DOMINION RES INC</v>
          </cell>
          <cell r="D10">
            <v>19971218</v>
          </cell>
          <cell r="E10" t="str">
            <v>EPS</v>
          </cell>
          <cell r="F10" t="str">
            <v>ANN</v>
          </cell>
          <cell r="G10">
            <v>1</v>
          </cell>
          <cell r="H10">
            <v>22</v>
          </cell>
          <cell r="I10">
            <v>1.52</v>
          </cell>
          <cell r="J10">
            <v>1.53</v>
          </cell>
          <cell r="K10">
            <v>1</v>
          </cell>
          <cell r="L10">
            <v>19971231</v>
          </cell>
          <cell r="M10">
            <v>1.52</v>
          </cell>
          <cell r="N10">
            <v>19980123</v>
          </cell>
        </row>
        <row r="11">
          <cell r="A11" t="str">
            <v>DPL</v>
          </cell>
          <cell r="B11" t="str">
            <v>DPL</v>
          </cell>
          <cell r="C11" t="str">
            <v>DPL INC</v>
          </cell>
          <cell r="D11">
            <v>19971218</v>
          </cell>
          <cell r="E11" t="str">
            <v>EPS</v>
          </cell>
          <cell r="F11" t="str">
            <v>ANN</v>
          </cell>
          <cell r="G11">
            <v>1</v>
          </cell>
          <cell r="H11">
            <v>19</v>
          </cell>
          <cell r="I11">
            <v>1.2</v>
          </cell>
          <cell r="J11">
            <v>1.2</v>
          </cell>
          <cell r="K11">
            <v>1</v>
          </cell>
          <cell r="L11">
            <v>19971231</v>
          </cell>
          <cell r="M11">
            <v>1.1970000000000001</v>
          </cell>
          <cell r="N11">
            <v>19980120</v>
          </cell>
        </row>
        <row r="12">
          <cell r="A12" t="str">
            <v>DTE</v>
          </cell>
          <cell r="B12" t="str">
            <v>DTE</v>
          </cell>
          <cell r="C12" t="str">
            <v>DTE ENERGY</v>
          </cell>
          <cell r="D12">
            <v>19971218</v>
          </cell>
          <cell r="E12" t="str">
            <v>EPS</v>
          </cell>
          <cell r="F12" t="str">
            <v>ANN</v>
          </cell>
          <cell r="G12">
            <v>1</v>
          </cell>
          <cell r="H12">
            <v>18</v>
          </cell>
          <cell r="I12">
            <v>2.7</v>
          </cell>
          <cell r="J12">
            <v>2.73</v>
          </cell>
          <cell r="K12">
            <v>1</v>
          </cell>
          <cell r="L12">
            <v>19971231</v>
          </cell>
          <cell r="M12">
            <v>2.88</v>
          </cell>
          <cell r="N12">
            <v>19980126</v>
          </cell>
        </row>
        <row r="13">
          <cell r="A13" t="str">
            <v>DUK</v>
          </cell>
          <cell r="B13" t="str">
            <v>DUK</v>
          </cell>
          <cell r="C13" t="str">
            <v>DUKE ENERGY CORP</v>
          </cell>
          <cell r="D13">
            <v>19971218</v>
          </cell>
          <cell r="E13" t="str">
            <v>EPS</v>
          </cell>
          <cell r="F13" t="str">
            <v>ANN</v>
          </cell>
          <cell r="G13">
            <v>1</v>
          </cell>
          <cell r="H13">
            <v>23</v>
          </cell>
          <cell r="I13">
            <v>4.43</v>
          </cell>
          <cell r="J13">
            <v>4.54</v>
          </cell>
          <cell r="K13">
            <v>1</v>
          </cell>
          <cell r="L13">
            <v>19971231</v>
          </cell>
          <cell r="M13">
            <v>4.2300000000000004</v>
          </cell>
          <cell r="N13">
            <v>19980121</v>
          </cell>
        </row>
        <row r="14">
          <cell r="A14" t="str">
            <v>ED</v>
          </cell>
          <cell r="B14" t="str">
            <v>ED</v>
          </cell>
          <cell r="C14" t="str">
            <v>CONS EDISON CO</v>
          </cell>
          <cell r="D14">
            <v>19971218</v>
          </cell>
          <cell r="E14" t="str">
            <v>EPS</v>
          </cell>
          <cell r="F14" t="str">
            <v>ANN</v>
          </cell>
          <cell r="G14">
            <v>1</v>
          </cell>
          <cell r="H14">
            <v>18</v>
          </cell>
          <cell r="I14">
            <v>2.89</v>
          </cell>
          <cell r="J14">
            <v>2.87</v>
          </cell>
          <cell r="K14">
            <v>1</v>
          </cell>
          <cell r="L14">
            <v>19971231</v>
          </cell>
          <cell r="M14">
            <v>2.95</v>
          </cell>
          <cell r="N14">
            <v>19980127</v>
          </cell>
        </row>
        <row r="15">
          <cell r="A15" t="str">
            <v>EDE</v>
          </cell>
          <cell r="B15" t="str">
            <v>EDE</v>
          </cell>
          <cell r="C15" t="str">
            <v>EMPIRE DIST ELEC</v>
          </cell>
          <cell r="D15">
            <v>19971218</v>
          </cell>
          <cell r="E15" t="str">
            <v>EPS</v>
          </cell>
          <cell r="F15" t="str">
            <v>ANN</v>
          </cell>
          <cell r="G15">
            <v>1</v>
          </cell>
          <cell r="H15">
            <v>1</v>
          </cell>
          <cell r="I15">
            <v>1.25</v>
          </cell>
          <cell r="J15">
            <v>1.25</v>
          </cell>
          <cell r="K15">
            <v>1</v>
          </cell>
          <cell r="L15">
            <v>19971231</v>
          </cell>
          <cell r="M15">
            <v>1.28</v>
          </cell>
          <cell r="N15">
            <v>19980122</v>
          </cell>
        </row>
        <row r="16">
          <cell r="A16" t="str">
            <v>EXC</v>
          </cell>
          <cell r="B16" t="str">
            <v>EXC</v>
          </cell>
          <cell r="C16" t="str">
            <v>EXCEL INDS INC</v>
          </cell>
          <cell r="D16">
            <v>19971218</v>
          </cell>
          <cell r="E16" t="str">
            <v>EPS</v>
          </cell>
          <cell r="F16" t="str">
            <v>ANN</v>
          </cell>
          <cell r="G16">
            <v>1</v>
          </cell>
          <cell r="H16">
            <v>3</v>
          </cell>
          <cell r="I16">
            <v>1.47</v>
          </cell>
          <cell r="J16">
            <v>1.48</v>
          </cell>
          <cell r="K16">
            <v>1</v>
          </cell>
          <cell r="L16">
            <v>19971231</v>
          </cell>
          <cell r="M16">
            <v>1.63</v>
          </cell>
          <cell r="N16">
            <v>19980219</v>
          </cell>
        </row>
        <row r="17">
          <cell r="A17" t="str">
            <v>FPL</v>
          </cell>
          <cell r="B17" t="str">
            <v>FPL</v>
          </cell>
          <cell r="C17" t="str">
            <v>FPL GROUP</v>
          </cell>
          <cell r="D17">
            <v>19971218</v>
          </cell>
          <cell r="E17" t="str">
            <v>EPS</v>
          </cell>
          <cell r="F17" t="str">
            <v>ANN</v>
          </cell>
          <cell r="G17">
            <v>1</v>
          </cell>
          <cell r="H17">
            <v>26</v>
          </cell>
          <cell r="I17">
            <v>0.44</v>
          </cell>
          <cell r="J17">
            <v>0.44</v>
          </cell>
          <cell r="K17">
            <v>1</v>
          </cell>
          <cell r="L17">
            <v>19971231</v>
          </cell>
          <cell r="M17">
            <v>0.44629999999999997</v>
          </cell>
          <cell r="N17">
            <v>19980115</v>
          </cell>
        </row>
        <row r="18">
          <cell r="A18" t="str">
            <v>HE</v>
          </cell>
          <cell r="B18" t="str">
            <v>HE</v>
          </cell>
          <cell r="C18" t="str">
            <v>HAWAIIAN ELEC</v>
          </cell>
          <cell r="D18">
            <v>19971218</v>
          </cell>
          <cell r="E18" t="str">
            <v>EPS</v>
          </cell>
          <cell r="F18" t="str">
            <v>ANN</v>
          </cell>
          <cell r="G18">
            <v>1</v>
          </cell>
          <cell r="H18">
            <v>8</v>
          </cell>
          <cell r="I18">
            <v>1.39</v>
          </cell>
          <cell r="J18">
            <v>1.4</v>
          </cell>
          <cell r="K18">
            <v>1</v>
          </cell>
          <cell r="L18">
            <v>19971231</v>
          </cell>
          <cell r="M18">
            <v>1.42</v>
          </cell>
          <cell r="N18">
            <v>19980120</v>
          </cell>
        </row>
        <row r="19">
          <cell r="A19" t="str">
            <v>IDA</v>
          </cell>
          <cell r="B19" t="str">
            <v>IDA</v>
          </cell>
          <cell r="C19" t="str">
            <v>IDAHO POWER CO</v>
          </cell>
          <cell r="D19">
            <v>19971218</v>
          </cell>
          <cell r="E19" t="str">
            <v>EPS</v>
          </cell>
          <cell r="F19" t="str">
            <v>ANN</v>
          </cell>
          <cell r="G19">
            <v>1</v>
          </cell>
          <cell r="H19">
            <v>7</v>
          </cell>
          <cell r="I19">
            <v>2.2999999999999998</v>
          </cell>
          <cell r="J19">
            <v>2.33</v>
          </cell>
          <cell r="K19">
            <v>1</v>
          </cell>
          <cell r="L19">
            <v>19971231</v>
          </cell>
          <cell r="M19">
            <v>2.3199999999999998</v>
          </cell>
          <cell r="N19">
            <v>19980202</v>
          </cell>
        </row>
        <row r="20">
          <cell r="A20" t="str">
            <v>WR</v>
          </cell>
          <cell r="B20" t="str">
            <v>KAN</v>
          </cell>
          <cell r="C20" t="str">
            <v>WESTN RESOURCES</v>
          </cell>
          <cell r="D20">
            <v>19971218</v>
          </cell>
          <cell r="E20" t="str">
            <v>EPS</v>
          </cell>
          <cell r="F20" t="str">
            <v>ANN</v>
          </cell>
          <cell r="G20">
            <v>1</v>
          </cell>
          <cell r="H20">
            <v>15</v>
          </cell>
          <cell r="I20">
            <v>2.5</v>
          </cell>
          <cell r="J20">
            <v>2.52</v>
          </cell>
          <cell r="K20">
            <v>1</v>
          </cell>
          <cell r="L20">
            <v>19971231</v>
          </cell>
          <cell r="M20">
            <v>2.44</v>
          </cell>
          <cell r="N20">
            <v>19980428</v>
          </cell>
        </row>
        <row r="21">
          <cell r="A21" t="str">
            <v>PGN</v>
          </cell>
          <cell r="B21" t="str">
            <v>LCA</v>
          </cell>
          <cell r="C21" t="str">
            <v>PARAGON HEALTH</v>
          </cell>
          <cell r="D21">
            <v>19971218</v>
          </cell>
          <cell r="E21" t="str">
            <v>EPS</v>
          </cell>
          <cell r="F21" t="str">
            <v>ANN</v>
          </cell>
          <cell r="G21">
            <v>1</v>
          </cell>
          <cell r="H21">
            <v>6</v>
          </cell>
          <cell r="I21">
            <v>0.85</v>
          </cell>
          <cell r="J21">
            <v>0.86</v>
          </cell>
          <cell r="K21">
            <v>1</v>
          </cell>
          <cell r="L21">
            <v>19970930</v>
          </cell>
          <cell r="M21">
            <v>0.78400000000000003</v>
          </cell>
          <cell r="N21">
            <v>19980105</v>
          </cell>
        </row>
        <row r="22">
          <cell r="A22" t="str">
            <v>ETR</v>
          </cell>
          <cell r="B22" t="str">
            <v>MSU</v>
          </cell>
          <cell r="C22" t="str">
            <v>ENTERGY CP</v>
          </cell>
          <cell r="D22">
            <v>19971218</v>
          </cell>
          <cell r="E22" t="str">
            <v>EPS</v>
          </cell>
          <cell r="F22" t="str">
            <v>ANN</v>
          </cell>
          <cell r="G22">
            <v>1</v>
          </cell>
          <cell r="H22">
            <v>15</v>
          </cell>
          <cell r="I22">
            <v>2.35</v>
          </cell>
          <cell r="J22">
            <v>2.36</v>
          </cell>
          <cell r="K22">
            <v>1</v>
          </cell>
          <cell r="L22">
            <v>19971231</v>
          </cell>
          <cell r="M22">
            <v>2.2400000000000002</v>
          </cell>
          <cell r="N22">
            <v>19980306</v>
          </cell>
        </row>
        <row r="23">
          <cell r="A23" t="str">
            <v>NU</v>
          </cell>
          <cell r="B23" t="str">
            <v>NU</v>
          </cell>
          <cell r="C23" t="str">
            <v>NORTHEAST UTILS</v>
          </cell>
          <cell r="D23">
            <v>19971218</v>
          </cell>
          <cell r="E23" t="str">
            <v>EPS</v>
          </cell>
          <cell r="F23" t="str">
            <v>ANN</v>
          </cell>
          <cell r="G23">
            <v>1</v>
          </cell>
          <cell r="H23">
            <v>13</v>
          </cell>
          <cell r="I23">
            <v>-0.7</v>
          </cell>
          <cell r="J23">
            <v>-0.55000000000000004</v>
          </cell>
          <cell r="K23">
            <v>1</v>
          </cell>
          <cell r="L23">
            <v>19971231</v>
          </cell>
          <cell r="M23">
            <v>-1.05</v>
          </cell>
          <cell r="N23">
            <v>19980127</v>
          </cell>
        </row>
        <row r="24">
          <cell r="A24" t="str">
            <v>FE</v>
          </cell>
          <cell r="B24" t="str">
            <v>OEC</v>
          </cell>
          <cell r="C24" t="str">
            <v>FIRSTENERGY CORP</v>
          </cell>
          <cell r="D24">
            <v>19971218</v>
          </cell>
          <cell r="E24" t="str">
            <v>EPS</v>
          </cell>
          <cell r="F24" t="str">
            <v>ANN</v>
          </cell>
          <cell r="G24">
            <v>1</v>
          </cell>
          <cell r="H24">
            <v>12</v>
          </cell>
          <cell r="I24">
            <v>2.13</v>
          </cell>
          <cell r="J24">
            <v>2.11</v>
          </cell>
          <cell r="K24">
            <v>1</v>
          </cell>
          <cell r="L24">
            <v>19971231</v>
          </cell>
          <cell r="M24">
            <v>2.16</v>
          </cell>
          <cell r="N24">
            <v>19980120</v>
          </cell>
        </row>
        <row r="25">
          <cell r="A25" t="str">
            <v>OGE</v>
          </cell>
          <cell r="B25" t="str">
            <v>OGE</v>
          </cell>
          <cell r="C25" t="str">
            <v>OGE ENERGY CORP</v>
          </cell>
          <cell r="D25">
            <v>19971218</v>
          </cell>
          <cell r="E25" t="str">
            <v>EPS</v>
          </cell>
          <cell r="F25" t="str">
            <v>ANN</v>
          </cell>
          <cell r="G25">
            <v>1</v>
          </cell>
          <cell r="H25">
            <v>11</v>
          </cell>
          <cell r="I25">
            <v>0.8</v>
          </cell>
          <cell r="J25">
            <v>0.8</v>
          </cell>
          <cell r="K25">
            <v>1</v>
          </cell>
          <cell r="L25">
            <v>19971231</v>
          </cell>
          <cell r="M25">
            <v>0.8075</v>
          </cell>
          <cell r="N25">
            <v>19980126</v>
          </cell>
        </row>
        <row r="26">
          <cell r="A26" t="str">
            <v>OTTR</v>
          </cell>
          <cell r="B26" t="str">
            <v>OTTR</v>
          </cell>
          <cell r="C26" t="str">
            <v>OTTER TAIL PWR</v>
          </cell>
          <cell r="D26">
            <v>19971218</v>
          </cell>
          <cell r="E26" t="str">
            <v>EPS</v>
          </cell>
          <cell r="F26" t="str">
            <v>ANN</v>
          </cell>
          <cell r="G26">
            <v>1</v>
          </cell>
          <cell r="H26">
            <v>2</v>
          </cell>
          <cell r="I26">
            <v>1.28</v>
          </cell>
          <cell r="J26">
            <v>1.28</v>
          </cell>
          <cell r="K26">
            <v>1</v>
          </cell>
          <cell r="L26">
            <v>19971231</v>
          </cell>
          <cell r="M26">
            <v>1.2749999999999999</v>
          </cell>
          <cell r="N26">
            <v>19980202</v>
          </cell>
        </row>
        <row r="27">
          <cell r="A27" t="str">
            <v>PCG</v>
          </cell>
          <cell r="B27" t="str">
            <v>PCG</v>
          </cell>
          <cell r="C27" t="str">
            <v>P G &amp; E CORP</v>
          </cell>
          <cell r="D27">
            <v>19971218</v>
          </cell>
          <cell r="E27" t="str">
            <v>EPS</v>
          </cell>
          <cell r="F27" t="str">
            <v>ANN</v>
          </cell>
          <cell r="G27">
            <v>1</v>
          </cell>
          <cell r="H27">
            <v>18</v>
          </cell>
          <cell r="I27">
            <v>1.76</v>
          </cell>
          <cell r="J27">
            <v>1.8</v>
          </cell>
          <cell r="K27">
            <v>1</v>
          </cell>
          <cell r="L27">
            <v>19971231</v>
          </cell>
          <cell r="M27">
            <v>1.75</v>
          </cell>
          <cell r="N27">
            <v>19980121</v>
          </cell>
        </row>
        <row r="28">
          <cell r="A28" t="str">
            <v>PEG</v>
          </cell>
          <cell r="B28" t="str">
            <v>PEG</v>
          </cell>
          <cell r="C28" t="str">
            <v>PUB SVC ENTERS</v>
          </cell>
          <cell r="D28">
            <v>19971218</v>
          </cell>
          <cell r="E28" t="str">
            <v>EPS</v>
          </cell>
          <cell r="F28" t="str">
            <v>ANN</v>
          </cell>
          <cell r="G28">
            <v>1</v>
          </cell>
          <cell r="H28">
            <v>16</v>
          </cell>
          <cell r="I28">
            <v>1.32</v>
          </cell>
          <cell r="J28">
            <v>1.33</v>
          </cell>
          <cell r="K28">
            <v>1</v>
          </cell>
          <cell r="L28">
            <v>19971231</v>
          </cell>
          <cell r="M28">
            <v>1.32</v>
          </cell>
          <cell r="N28">
            <v>19980120</v>
          </cell>
        </row>
        <row r="29">
          <cell r="A29" t="str">
            <v>PNM</v>
          </cell>
          <cell r="B29" t="str">
            <v>PNM</v>
          </cell>
          <cell r="C29" t="str">
            <v>PUB SVC N MEX</v>
          </cell>
          <cell r="D29">
            <v>19971218</v>
          </cell>
          <cell r="E29" t="str">
            <v>EPS</v>
          </cell>
          <cell r="F29" t="str">
            <v>ANN</v>
          </cell>
          <cell r="G29">
            <v>1</v>
          </cell>
          <cell r="H29">
            <v>10</v>
          </cell>
          <cell r="I29">
            <v>1.28</v>
          </cell>
          <cell r="J29">
            <v>1.27</v>
          </cell>
          <cell r="K29">
            <v>1</v>
          </cell>
          <cell r="L29">
            <v>19971231</v>
          </cell>
          <cell r="M29">
            <v>1.3067</v>
          </cell>
          <cell r="N29">
            <v>19980127</v>
          </cell>
        </row>
        <row r="30">
          <cell r="A30" t="str">
            <v>POM</v>
          </cell>
          <cell r="B30" t="str">
            <v>POM</v>
          </cell>
          <cell r="C30" t="str">
            <v>POTOMAC ELEC</v>
          </cell>
          <cell r="D30">
            <v>19971218</v>
          </cell>
          <cell r="E30" t="str">
            <v>EPS</v>
          </cell>
          <cell r="F30" t="str">
            <v>ANN</v>
          </cell>
          <cell r="G30">
            <v>1</v>
          </cell>
          <cell r="H30">
            <v>17</v>
          </cell>
          <cell r="I30">
            <v>1.8</v>
          </cell>
          <cell r="J30">
            <v>1.79</v>
          </cell>
          <cell r="K30">
            <v>1</v>
          </cell>
          <cell r="L30">
            <v>19971231</v>
          </cell>
          <cell r="M30">
            <v>1.68</v>
          </cell>
          <cell r="N30">
            <v>19980122</v>
          </cell>
        </row>
        <row r="31">
          <cell r="A31" t="str">
            <v>PPL</v>
          </cell>
          <cell r="B31" t="str">
            <v>PPL</v>
          </cell>
          <cell r="C31" t="str">
            <v>PP&amp;L RESOURCES</v>
          </cell>
          <cell r="D31">
            <v>19971218</v>
          </cell>
          <cell r="E31" t="str">
            <v>EPS</v>
          </cell>
          <cell r="F31" t="str">
            <v>ANN</v>
          </cell>
          <cell r="G31">
            <v>1</v>
          </cell>
          <cell r="H31">
            <v>17</v>
          </cell>
          <cell r="I31">
            <v>1.02</v>
          </cell>
          <cell r="J31">
            <v>1.03</v>
          </cell>
          <cell r="K31">
            <v>1</v>
          </cell>
          <cell r="L31">
            <v>19971231</v>
          </cell>
          <cell r="M31">
            <v>1.0149999999999999</v>
          </cell>
          <cell r="N31">
            <v>19980123</v>
          </cell>
        </row>
        <row r="32">
          <cell r="A32" t="str">
            <v>PSD</v>
          </cell>
          <cell r="B32" t="str">
            <v>PSD</v>
          </cell>
          <cell r="C32" t="str">
            <v>PUGET SOUND ENGY</v>
          </cell>
          <cell r="D32">
            <v>19971218</v>
          </cell>
          <cell r="E32" t="str">
            <v>EPS</v>
          </cell>
          <cell r="F32" t="str">
            <v>ANN</v>
          </cell>
          <cell r="G32">
            <v>1</v>
          </cell>
          <cell r="H32">
            <v>8</v>
          </cell>
          <cell r="I32">
            <v>1.75</v>
          </cell>
          <cell r="J32">
            <v>1.78</v>
          </cell>
          <cell r="K32">
            <v>1</v>
          </cell>
          <cell r="L32">
            <v>19971231</v>
          </cell>
          <cell r="M32">
            <v>1.55</v>
          </cell>
          <cell r="N32">
            <v>19980220</v>
          </cell>
        </row>
        <row r="33">
          <cell r="A33" t="str">
            <v>EIX</v>
          </cell>
          <cell r="B33" t="str">
            <v>SCE</v>
          </cell>
          <cell r="C33" t="str">
            <v>EDISON INTL</v>
          </cell>
          <cell r="D33">
            <v>19971218</v>
          </cell>
          <cell r="E33" t="str">
            <v>EPS</v>
          </cell>
          <cell r="F33" t="str">
            <v>ANN</v>
          </cell>
          <cell r="G33">
            <v>1</v>
          </cell>
          <cell r="H33">
            <v>18</v>
          </cell>
          <cell r="I33">
            <v>1.7</v>
          </cell>
          <cell r="J33">
            <v>1.71</v>
          </cell>
          <cell r="K33">
            <v>1</v>
          </cell>
          <cell r="L33">
            <v>19971231</v>
          </cell>
          <cell r="M33">
            <v>1.76</v>
          </cell>
          <cell r="N33">
            <v>19980116</v>
          </cell>
        </row>
        <row r="34">
          <cell r="A34" t="str">
            <v>SCG</v>
          </cell>
          <cell r="B34" t="str">
            <v>SCG</v>
          </cell>
          <cell r="C34" t="str">
            <v>SCANA CP</v>
          </cell>
          <cell r="D34">
            <v>19971218</v>
          </cell>
          <cell r="E34" t="str">
            <v>EPS</v>
          </cell>
          <cell r="F34" t="str">
            <v>ANN</v>
          </cell>
          <cell r="G34">
            <v>1</v>
          </cell>
          <cell r="H34">
            <v>14</v>
          </cell>
          <cell r="I34">
            <v>1.91</v>
          </cell>
          <cell r="J34">
            <v>1.95</v>
          </cell>
          <cell r="K34">
            <v>1</v>
          </cell>
          <cell r="L34">
            <v>19971231</v>
          </cell>
          <cell r="M34">
            <v>1.9</v>
          </cell>
          <cell r="N34">
            <v>19980209</v>
          </cell>
        </row>
        <row r="35">
          <cell r="A35" t="str">
            <v>SO</v>
          </cell>
          <cell r="B35" t="str">
            <v>SO</v>
          </cell>
          <cell r="C35" t="str">
            <v>SOUTHN CO</v>
          </cell>
          <cell r="D35">
            <v>19971218</v>
          </cell>
          <cell r="E35" t="str">
            <v>EPS</v>
          </cell>
          <cell r="F35" t="str">
            <v>ANN</v>
          </cell>
          <cell r="G35">
            <v>1</v>
          </cell>
          <cell r="H35">
            <v>22</v>
          </cell>
          <cell r="I35">
            <v>1.65</v>
          </cell>
          <cell r="J35">
            <v>1.68</v>
          </cell>
          <cell r="K35">
            <v>1</v>
          </cell>
          <cell r="L35">
            <v>19971231</v>
          </cell>
          <cell r="M35">
            <v>1.59</v>
          </cell>
          <cell r="N35">
            <v>19980120</v>
          </cell>
        </row>
        <row r="36">
          <cell r="A36" t="str">
            <v>TE</v>
          </cell>
          <cell r="B36" t="str">
            <v>TE</v>
          </cell>
          <cell r="C36" t="str">
            <v>TECO ENERGY INC</v>
          </cell>
          <cell r="D36">
            <v>19971218</v>
          </cell>
          <cell r="E36" t="str">
            <v>EPS</v>
          </cell>
          <cell r="F36" t="str">
            <v>ANN</v>
          </cell>
          <cell r="G36">
            <v>1</v>
          </cell>
          <cell r="H36">
            <v>20</v>
          </cell>
          <cell r="I36">
            <v>1.7</v>
          </cell>
          <cell r="J36">
            <v>1.72</v>
          </cell>
          <cell r="K36">
            <v>1</v>
          </cell>
          <cell r="L36">
            <v>19971231</v>
          </cell>
          <cell r="M36">
            <v>1.54</v>
          </cell>
          <cell r="N36">
            <v>19980115</v>
          </cell>
        </row>
        <row r="37">
          <cell r="A37" t="str">
            <v>UIL</v>
          </cell>
          <cell r="B37" t="str">
            <v>UIL</v>
          </cell>
          <cell r="C37" t="str">
            <v>UTD ILLUM COO</v>
          </cell>
          <cell r="D37">
            <v>19971218</v>
          </cell>
          <cell r="E37" t="str">
            <v>EPS</v>
          </cell>
          <cell r="F37" t="str">
            <v>ANN</v>
          </cell>
          <cell r="G37">
            <v>1</v>
          </cell>
          <cell r="H37">
            <v>5</v>
          </cell>
          <cell r="I37">
            <v>2.0099999999999998</v>
          </cell>
          <cell r="J37">
            <v>1.96</v>
          </cell>
          <cell r="K37">
            <v>1</v>
          </cell>
          <cell r="L37">
            <v>19971231</v>
          </cell>
          <cell r="M37">
            <v>1.974</v>
          </cell>
          <cell r="N37">
            <v>19980126</v>
          </cell>
        </row>
        <row r="38">
          <cell r="A38" t="str">
            <v>WEC</v>
          </cell>
          <cell r="B38" t="str">
            <v>WPC</v>
          </cell>
          <cell r="C38" t="str">
            <v>WISCONSIN ENERGY</v>
          </cell>
          <cell r="D38">
            <v>19971218</v>
          </cell>
          <cell r="E38" t="str">
            <v>EPS</v>
          </cell>
          <cell r="F38" t="str">
            <v>ANN</v>
          </cell>
          <cell r="G38">
            <v>1</v>
          </cell>
          <cell r="H38">
            <v>17</v>
          </cell>
          <cell r="I38">
            <v>0.65</v>
          </cell>
          <cell r="J38">
            <v>0.68</v>
          </cell>
          <cell r="K38">
            <v>1</v>
          </cell>
          <cell r="L38">
            <v>19971231</v>
          </cell>
          <cell r="M38">
            <v>0.52</v>
          </cell>
          <cell r="N38">
            <v>19980129</v>
          </cell>
        </row>
        <row r="39">
          <cell r="A39" t="str">
            <v>WPS</v>
          </cell>
          <cell r="B39" t="str">
            <v>WPS</v>
          </cell>
          <cell r="C39" t="str">
            <v>WPS RESOURCES CP</v>
          </cell>
          <cell r="D39">
            <v>19971218</v>
          </cell>
          <cell r="E39" t="str">
            <v>EPS</v>
          </cell>
          <cell r="F39" t="str">
            <v>ANN</v>
          </cell>
          <cell r="G39">
            <v>1</v>
          </cell>
          <cell r="H39">
            <v>7</v>
          </cell>
          <cell r="I39">
            <v>2.25</v>
          </cell>
          <cell r="J39">
            <v>2.21</v>
          </cell>
          <cell r="K39">
            <v>1</v>
          </cell>
          <cell r="L39">
            <v>19971231</v>
          </cell>
          <cell r="M39">
            <v>2.2000000000000002</v>
          </cell>
          <cell r="N39">
            <v>19980129</v>
          </cell>
        </row>
        <row r="40">
          <cell r="A40" t="str">
            <v>DPL</v>
          </cell>
          <cell r="B40" t="str">
            <v>@3DK</v>
          </cell>
          <cell r="C40" t="str">
            <v>DANKOTUWA PORC.</v>
          </cell>
          <cell r="D40">
            <v>19971218</v>
          </cell>
          <cell r="E40" t="str">
            <v>EPS</v>
          </cell>
          <cell r="F40" t="str">
            <v>ANN</v>
          </cell>
          <cell r="G40">
            <v>1</v>
          </cell>
          <cell r="H40">
            <v>4</v>
          </cell>
          <cell r="I40">
            <v>2.71</v>
          </cell>
          <cell r="J40">
            <v>2.72</v>
          </cell>
          <cell r="K40">
            <v>0</v>
          </cell>
          <cell r="L40">
            <v>19971231</v>
          </cell>
          <cell r="M40">
            <v>2.1760999999999999</v>
          </cell>
          <cell r="N40">
            <v>19980624</v>
          </cell>
        </row>
        <row r="41">
          <cell r="A41" t="str">
            <v>CV</v>
          </cell>
          <cell r="B41" t="str">
            <v>@3MT</v>
          </cell>
          <cell r="C41" t="str">
            <v>COATS VIYELLA</v>
          </cell>
          <cell r="D41">
            <v>19971218</v>
          </cell>
          <cell r="E41" t="str">
            <v>EPS</v>
          </cell>
          <cell r="F41" t="str">
            <v>ANN</v>
          </cell>
          <cell r="G41">
            <v>1</v>
          </cell>
          <cell r="H41">
            <v>4</v>
          </cell>
          <cell r="I41">
            <v>3.98</v>
          </cell>
          <cell r="J41">
            <v>3.77</v>
          </cell>
          <cell r="K41">
            <v>0</v>
          </cell>
          <cell r="L41">
            <v>19971231</v>
          </cell>
        </row>
        <row r="42">
          <cell r="A42" t="str">
            <v>EXC</v>
          </cell>
          <cell r="B42" t="str">
            <v>@5EM</v>
          </cell>
          <cell r="C42" t="str">
            <v>EXCEL MED HLDGS</v>
          </cell>
          <cell r="D42">
            <v>19971218</v>
          </cell>
          <cell r="E42" t="str">
            <v>EPS</v>
          </cell>
          <cell r="F42" t="str">
            <v>ANN</v>
          </cell>
          <cell r="G42">
            <v>1</v>
          </cell>
          <cell r="H42">
            <v>1</v>
          </cell>
          <cell r="I42">
            <v>0.09</v>
          </cell>
          <cell r="J42">
            <v>0.09</v>
          </cell>
          <cell r="K42">
            <v>0</v>
          </cell>
          <cell r="L42">
            <v>19980731</v>
          </cell>
        </row>
        <row r="43">
          <cell r="A43" t="str">
            <v>AGR</v>
          </cell>
          <cell r="B43" t="str">
            <v>@A7S</v>
          </cell>
          <cell r="C43" t="str">
            <v>AGROB ST</v>
          </cell>
          <cell r="D43">
            <v>19971218</v>
          </cell>
          <cell r="E43" t="str">
            <v>EPS</v>
          </cell>
          <cell r="F43" t="str">
            <v>ANN</v>
          </cell>
          <cell r="G43">
            <v>1</v>
          </cell>
          <cell r="H43">
            <v>1</v>
          </cell>
          <cell r="I43">
            <v>0.5</v>
          </cell>
          <cell r="J43">
            <v>0.5</v>
          </cell>
          <cell r="K43">
            <v>0</v>
          </cell>
          <cell r="L43">
            <v>19971231</v>
          </cell>
          <cell r="M43">
            <v>8.2000000000000007E-3</v>
          </cell>
          <cell r="N43">
            <v>19981221</v>
          </cell>
        </row>
        <row r="44">
          <cell r="A44" t="str">
            <v>AGR</v>
          </cell>
          <cell r="B44" t="str">
            <v>@AG6</v>
          </cell>
          <cell r="C44" t="str">
            <v>AGRESSO GROUP</v>
          </cell>
          <cell r="D44">
            <v>19971218</v>
          </cell>
          <cell r="E44" t="str">
            <v>EPS</v>
          </cell>
          <cell r="F44" t="str">
            <v>ANN</v>
          </cell>
          <cell r="G44">
            <v>1</v>
          </cell>
          <cell r="H44">
            <v>2</v>
          </cell>
          <cell r="I44">
            <v>0.2</v>
          </cell>
          <cell r="J44">
            <v>0.2</v>
          </cell>
          <cell r="K44">
            <v>0</v>
          </cell>
          <cell r="L44">
            <v>19971231</v>
          </cell>
          <cell r="M44">
            <v>0.09</v>
          </cell>
          <cell r="N44">
            <v>19980220</v>
          </cell>
        </row>
        <row r="45">
          <cell r="A45" t="str">
            <v>AGR</v>
          </cell>
          <cell r="B45" t="str">
            <v>@AGM</v>
          </cell>
          <cell r="C45" t="str">
            <v>AGROMAN</v>
          </cell>
          <cell r="D45">
            <v>19971218</v>
          </cell>
          <cell r="E45" t="str">
            <v>EPS</v>
          </cell>
          <cell r="F45" t="str">
            <v>ANN</v>
          </cell>
          <cell r="G45">
            <v>1</v>
          </cell>
          <cell r="H45">
            <v>8</v>
          </cell>
          <cell r="I45">
            <v>14</v>
          </cell>
          <cell r="J45">
            <v>13</v>
          </cell>
          <cell r="K45">
            <v>0</v>
          </cell>
          <cell r="L45">
            <v>19971231</v>
          </cell>
          <cell r="M45">
            <v>9.5600000000000004E-2</v>
          </cell>
          <cell r="N45">
            <v>19980218</v>
          </cell>
        </row>
        <row r="46">
          <cell r="A46" t="str">
            <v>AGR</v>
          </cell>
          <cell r="B46" t="str">
            <v>@AGM</v>
          </cell>
          <cell r="C46" t="str">
            <v>AGROMAN</v>
          </cell>
          <cell r="D46">
            <v>19971218</v>
          </cell>
          <cell r="E46" t="str">
            <v>EPS</v>
          </cell>
          <cell r="F46" t="str">
            <v>ANN</v>
          </cell>
          <cell r="G46">
            <v>1</v>
          </cell>
          <cell r="H46">
            <v>8</v>
          </cell>
          <cell r="I46">
            <v>14</v>
          </cell>
          <cell r="J46">
            <v>13</v>
          </cell>
          <cell r="K46">
            <v>0</v>
          </cell>
          <cell r="L46">
            <v>19971231</v>
          </cell>
          <cell r="M46">
            <v>15.9</v>
          </cell>
          <cell r="N46">
            <v>19980218</v>
          </cell>
        </row>
        <row r="47">
          <cell r="A47" t="str">
            <v>AVA</v>
          </cell>
          <cell r="B47" t="str">
            <v>@AHV</v>
          </cell>
          <cell r="C47" t="str">
            <v>AVA</v>
          </cell>
          <cell r="D47">
            <v>19971218</v>
          </cell>
          <cell r="E47" t="str">
            <v>EPS</v>
          </cell>
          <cell r="F47" t="str">
            <v>ANN</v>
          </cell>
          <cell r="G47">
            <v>1</v>
          </cell>
          <cell r="H47">
            <v>31</v>
          </cell>
          <cell r="I47">
            <v>0.9</v>
          </cell>
          <cell r="J47">
            <v>1</v>
          </cell>
          <cell r="K47">
            <v>0</v>
          </cell>
          <cell r="L47">
            <v>19971231</v>
          </cell>
          <cell r="M47">
            <v>0.38350000000000001</v>
          </cell>
          <cell r="N47">
            <v>19980713</v>
          </cell>
        </row>
        <row r="48">
          <cell r="A48" t="str">
            <v>AVA</v>
          </cell>
          <cell r="B48" t="str">
            <v>@AHV</v>
          </cell>
          <cell r="C48" t="str">
            <v>AVA</v>
          </cell>
          <cell r="D48">
            <v>19971218</v>
          </cell>
          <cell r="E48" t="str">
            <v>EPS</v>
          </cell>
          <cell r="F48" t="str">
            <v>ANN</v>
          </cell>
          <cell r="G48">
            <v>1</v>
          </cell>
          <cell r="H48">
            <v>31</v>
          </cell>
          <cell r="I48">
            <v>0.9</v>
          </cell>
          <cell r="J48">
            <v>1</v>
          </cell>
          <cell r="K48">
            <v>0</v>
          </cell>
          <cell r="L48">
            <v>19971231</v>
          </cell>
          <cell r="M48">
            <v>0.75</v>
          </cell>
          <cell r="N48">
            <v>19980713</v>
          </cell>
        </row>
        <row r="49">
          <cell r="A49" t="str">
            <v>ALE</v>
          </cell>
          <cell r="B49" t="str">
            <v>@AVG</v>
          </cell>
          <cell r="C49" t="str">
            <v>ABI LEISURE</v>
          </cell>
          <cell r="D49">
            <v>19971218</v>
          </cell>
          <cell r="E49" t="str">
            <v>EPS</v>
          </cell>
          <cell r="F49" t="str">
            <v>ANN</v>
          </cell>
          <cell r="G49">
            <v>1</v>
          </cell>
          <cell r="H49">
            <v>1</v>
          </cell>
          <cell r="I49">
            <v>2</v>
          </cell>
          <cell r="J49">
            <v>2</v>
          </cell>
          <cell r="K49">
            <v>0</v>
          </cell>
          <cell r="L49">
            <v>19980831</v>
          </cell>
        </row>
        <row r="50">
          <cell r="A50" t="str">
            <v>CNP</v>
          </cell>
          <cell r="B50" t="str">
            <v>@CE4</v>
          </cell>
          <cell r="C50" t="str">
            <v>CEMENT N PAC (T)</v>
          </cell>
          <cell r="D50">
            <v>19971218</v>
          </cell>
          <cell r="E50" t="str">
            <v>EPS</v>
          </cell>
          <cell r="F50" t="str">
            <v>ANN</v>
          </cell>
          <cell r="G50">
            <v>1</v>
          </cell>
          <cell r="H50">
            <v>9</v>
          </cell>
          <cell r="I50">
            <v>0.13</v>
          </cell>
          <cell r="J50">
            <v>0.12</v>
          </cell>
          <cell r="K50">
            <v>0</v>
          </cell>
          <cell r="L50">
            <v>19971231</v>
          </cell>
          <cell r="M50">
            <v>0.13</v>
          </cell>
          <cell r="N50">
            <v>19980505</v>
          </cell>
        </row>
        <row r="51">
          <cell r="A51" t="str">
            <v>CEG</v>
          </cell>
          <cell r="B51" t="str">
            <v>@CQ5</v>
          </cell>
          <cell r="C51" t="str">
            <v>CROWN EYEGLASSES</v>
          </cell>
          <cell r="D51">
            <v>19971218</v>
          </cell>
          <cell r="E51" t="str">
            <v>EPS</v>
          </cell>
          <cell r="F51" t="str">
            <v>ANN</v>
          </cell>
          <cell r="G51">
            <v>1</v>
          </cell>
          <cell r="H51">
            <v>1</v>
          </cell>
          <cell r="I51">
            <v>24.4</v>
          </cell>
          <cell r="J51">
            <v>24.4</v>
          </cell>
          <cell r="K51">
            <v>0</v>
          </cell>
          <cell r="L51">
            <v>19980331</v>
          </cell>
          <cell r="M51">
            <v>-5.4</v>
          </cell>
          <cell r="N51">
            <v>19980916</v>
          </cell>
        </row>
        <row r="52">
          <cell r="A52" t="str">
            <v>CIN</v>
          </cell>
          <cell r="B52" t="str">
            <v>@CUW</v>
          </cell>
          <cell r="C52" t="str">
            <v>CITY OF LOND PR</v>
          </cell>
          <cell r="D52">
            <v>19971218</v>
          </cell>
          <cell r="E52" t="str">
            <v>EPS</v>
          </cell>
          <cell r="F52" t="str">
            <v>ANN</v>
          </cell>
          <cell r="G52">
            <v>1</v>
          </cell>
          <cell r="H52">
            <v>1</v>
          </cell>
          <cell r="I52">
            <v>189.1</v>
          </cell>
          <cell r="J52">
            <v>189.1</v>
          </cell>
          <cell r="K52">
            <v>0</v>
          </cell>
          <cell r="L52">
            <v>19980331</v>
          </cell>
          <cell r="M52">
            <v>165.70529999999999</v>
          </cell>
          <cell r="N52">
            <v>19980623</v>
          </cell>
        </row>
        <row r="53">
          <cell r="A53" t="str">
            <v>CNL</v>
          </cell>
          <cell r="B53" t="str">
            <v>@CXU</v>
          </cell>
          <cell r="C53" t="str">
            <v>CONTROL INSTR.</v>
          </cell>
          <cell r="D53">
            <v>19971218</v>
          </cell>
          <cell r="E53" t="str">
            <v>EPS</v>
          </cell>
          <cell r="F53" t="str">
            <v>ANN</v>
          </cell>
          <cell r="G53">
            <v>1</v>
          </cell>
          <cell r="H53">
            <v>1</v>
          </cell>
          <cell r="I53">
            <v>0.13</v>
          </cell>
          <cell r="J53">
            <v>0.13</v>
          </cell>
          <cell r="K53">
            <v>0</v>
          </cell>
          <cell r="L53">
            <v>19980630</v>
          </cell>
        </row>
        <row r="54">
          <cell r="A54" t="str">
            <v>D</v>
          </cell>
          <cell r="B54" t="str">
            <v>@DLM</v>
          </cell>
          <cell r="C54" t="str">
            <v>DALMINE</v>
          </cell>
          <cell r="D54">
            <v>19971218</v>
          </cell>
          <cell r="E54" t="str">
            <v>EPS</v>
          </cell>
          <cell r="F54" t="str">
            <v>ANN</v>
          </cell>
          <cell r="G54">
            <v>1</v>
          </cell>
          <cell r="H54">
            <v>6</v>
          </cell>
          <cell r="I54">
            <v>26</v>
          </cell>
          <cell r="J54">
            <v>26</v>
          </cell>
          <cell r="K54">
            <v>0</v>
          </cell>
          <cell r="L54">
            <v>19971231</v>
          </cell>
          <cell r="M54">
            <v>22.41</v>
          </cell>
          <cell r="N54">
            <v>19980326</v>
          </cell>
        </row>
        <row r="55">
          <cell r="A55" t="str">
            <v>D</v>
          </cell>
          <cell r="B55" t="str">
            <v>@DLM</v>
          </cell>
          <cell r="C55" t="str">
            <v>DALMINE</v>
          </cell>
          <cell r="D55">
            <v>19971218</v>
          </cell>
          <cell r="E55" t="str">
            <v>EPS</v>
          </cell>
          <cell r="F55" t="str">
            <v>ANN</v>
          </cell>
          <cell r="G55">
            <v>1</v>
          </cell>
          <cell r="H55">
            <v>6</v>
          </cell>
          <cell r="I55">
            <v>26</v>
          </cell>
          <cell r="J55">
            <v>26</v>
          </cell>
          <cell r="K55">
            <v>0</v>
          </cell>
          <cell r="L55">
            <v>19971231</v>
          </cell>
          <cell r="M55">
            <v>1.1599999999999999E-2</v>
          </cell>
          <cell r="N55">
            <v>19980326</v>
          </cell>
        </row>
        <row r="56">
          <cell r="A56" t="str">
            <v>DTE</v>
          </cell>
          <cell r="B56" t="str">
            <v>@DT</v>
          </cell>
          <cell r="C56" t="str">
            <v>DEUTSCHE TELEKOM</v>
          </cell>
          <cell r="D56">
            <v>19971218</v>
          </cell>
          <cell r="E56" t="str">
            <v>EPS</v>
          </cell>
          <cell r="F56" t="str">
            <v>ANN</v>
          </cell>
          <cell r="G56">
            <v>1</v>
          </cell>
          <cell r="H56">
            <v>41</v>
          </cell>
          <cell r="I56">
            <v>1.7</v>
          </cell>
          <cell r="J56">
            <v>1.7</v>
          </cell>
          <cell r="K56">
            <v>0</v>
          </cell>
          <cell r="L56">
            <v>19971231</v>
          </cell>
          <cell r="M56">
            <v>0.72529999999999994</v>
          </cell>
          <cell r="N56">
            <v>19980122</v>
          </cell>
        </row>
        <row r="57">
          <cell r="A57" t="str">
            <v>DTE</v>
          </cell>
          <cell r="B57" t="str">
            <v>@DT</v>
          </cell>
          <cell r="C57" t="str">
            <v>DEUTSCHE TELEKOM</v>
          </cell>
          <cell r="D57">
            <v>19971218</v>
          </cell>
          <cell r="E57" t="str">
            <v>EPS</v>
          </cell>
          <cell r="F57" t="str">
            <v>ANN</v>
          </cell>
          <cell r="G57">
            <v>1</v>
          </cell>
          <cell r="H57">
            <v>41</v>
          </cell>
          <cell r="I57">
            <v>1.7</v>
          </cell>
          <cell r="J57">
            <v>1.7</v>
          </cell>
          <cell r="K57">
            <v>0</v>
          </cell>
          <cell r="L57">
            <v>19971231</v>
          </cell>
          <cell r="M57">
            <v>1.4187000000000001</v>
          </cell>
          <cell r="N57">
            <v>19980122</v>
          </cell>
        </row>
        <row r="58">
          <cell r="A58" t="str">
            <v>EXC</v>
          </cell>
          <cell r="B58" t="str">
            <v>@ECH</v>
          </cell>
          <cell r="C58" t="str">
            <v>EX-CELL-O-HLDG</v>
          </cell>
          <cell r="D58">
            <v>19971218</v>
          </cell>
          <cell r="E58" t="str">
            <v>EPS</v>
          </cell>
          <cell r="F58" t="str">
            <v>ANN</v>
          </cell>
          <cell r="G58">
            <v>1</v>
          </cell>
          <cell r="H58">
            <v>2</v>
          </cell>
          <cell r="I58">
            <v>6.3</v>
          </cell>
          <cell r="J58">
            <v>6.3</v>
          </cell>
          <cell r="K58">
            <v>0</v>
          </cell>
          <cell r="L58">
            <v>19971231</v>
          </cell>
          <cell r="M58">
            <v>5.0175000000000001</v>
          </cell>
          <cell r="N58">
            <v>19980611</v>
          </cell>
        </row>
        <row r="59">
          <cell r="A59" t="str">
            <v>EXC</v>
          </cell>
          <cell r="B59" t="str">
            <v>@ECH</v>
          </cell>
          <cell r="C59" t="str">
            <v>EX-CELL-O-HLDG</v>
          </cell>
          <cell r="D59">
            <v>19971218</v>
          </cell>
          <cell r="E59" t="str">
            <v>EPS</v>
          </cell>
          <cell r="F59" t="str">
            <v>ANN</v>
          </cell>
          <cell r="G59">
            <v>1</v>
          </cell>
          <cell r="H59">
            <v>2</v>
          </cell>
          <cell r="I59">
            <v>6.3</v>
          </cell>
          <cell r="J59">
            <v>6.3</v>
          </cell>
          <cell r="K59">
            <v>0</v>
          </cell>
          <cell r="L59">
            <v>19971231</v>
          </cell>
          <cell r="M59">
            <v>9.8132999999999999</v>
          </cell>
          <cell r="N59">
            <v>19980611</v>
          </cell>
        </row>
        <row r="60">
          <cell r="A60" t="str">
            <v>EXC</v>
          </cell>
          <cell r="B60" t="str">
            <v>@EX</v>
          </cell>
          <cell r="C60" t="str">
            <v>EXCEL MACHINE</v>
          </cell>
          <cell r="D60">
            <v>19971218</v>
          </cell>
          <cell r="E60" t="str">
            <v>EPS</v>
          </cell>
          <cell r="F60" t="str">
            <v>ANN</v>
          </cell>
          <cell r="G60">
            <v>1</v>
          </cell>
          <cell r="H60">
            <v>5</v>
          </cell>
          <cell r="I60">
            <v>3.2000000000000001E-2</v>
          </cell>
          <cell r="J60">
            <v>3.2000000000000001E-2</v>
          </cell>
          <cell r="K60">
            <v>0</v>
          </cell>
          <cell r="L60">
            <v>19971231</v>
          </cell>
        </row>
        <row r="61">
          <cell r="A61" t="str">
            <v>EXC</v>
          </cell>
          <cell r="B61" t="str">
            <v>@EXG</v>
          </cell>
          <cell r="C61" t="str">
            <v>EXCO</v>
          </cell>
          <cell r="D61">
            <v>19971218</v>
          </cell>
          <cell r="E61" t="str">
            <v>EPS</v>
          </cell>
          <cell r="F61" t="str">
            <v>ANN</v>
          </cell>
          <cell r="G61">
            <v>1</v>
          </cell>
          <cell r="H61">
            <v>5</v>
          </cell>
          <cell r="I61">
            <v>3.3</v>
          </cell>
          <cell r="J61">
            <v>3.39</v>
          </cell>
          <cell r="K61">
            <v>0</v>
          </cell>
          <cell r="L61">
            <v>19971231</v>
          </cell>
          <cell r="M61">
            <v>2.74</v>
          </cell>
          <cell r="N61">
            <v>19980331</v>
          </cell>
        </row>
        <row r="62">
          <cell r="A62" t="str">
            <v>CMS</v>
          </cell>
          <cell r="B62" t="str">
            <v>@HMD</v>
          </cell>
          <cell r="C62" t="str">
            <v>CAHYA MATA SARA.</v>
          </cell>
          <cell r="D62">
            <v>19971218</v>
          </cell>
          <cell r="E62" t="str">
            <v>EPS</v>
          </cell>
          <cell r="F62" t="str">
            <v>ANN</v>
          </cell>
          <cell r="G62">
            <v>1</v>
          </cell>
          <cell r="H62">
            <v>11</v>
          </cell>
          <cell r="I62">
            <v>0.16900000000000001</v>
          </cell>
          <cell r="J62">
            <v>0.16900000000000001</v>
          </cell>
          <cell r="K62">
            <v>0</v>
          </cell>
          <cell r="L62">
            <v>19971231</v>
          </cell>
          <cell r="M62">
            <v>0.11</v>
          </cell>
          <cell r="N62">
            <v>19980327</v>
          </cell>
        </row>
        <row r="63">
          <cell r="A63" t="str">
            <v>DUK</v>
          </cell>
          <cell r="B63" t="str">
            <v>@IKR</v>
          </cell>
          <cell r="C63" t="str">
            <v>DUIKER MINING</v>
          </cell>
          <cell r="D63">
            <v>19971218</v>
          </cell>
          <cell r="E63" t="str">
            <v>EPS</v>
          </cell>
          <cell r="F63" t="str">
            <v>ANN</v>
          </cell>
          <cell r="G63">
            <v>1</v>
          </cell>
          <cell r="H63">
            <v>9</v>
          </cell>
          <cell r="I63">
            <v>0.9</v>
          </cell>
          <cell r="J63">
            <v>0.9</v>
          </cell>
          <cell r="K63">
            <v>0</v>
          </cell>
          <cell r="L63">
            <v>19980930</v>
          </cell>
          <cell r="M63">
            <v>0.57999999999999996</v>
          </cell>
          <cell r="N63">
            <v>19981130</v>
          </cell>
        </row>
        <row r="64">
          <cell r="A64" t="str">
            <v>FE</v>
          </cell>
          <cell r="B64" t="str">
            <v>@NNF</v>
          </cell>
          <cell r="C64" t="str">
            <v>FINEXTEL</v>
          </cell>
          <cell r="D64">
            <v>19971218</v>
          </cell>
          <cell r="E64" t="str">
            <v>EPS</v>
          </cell>
          <cell r="F64" t="str">
            <v>ANN</v>
          </cell>
          <cell r="G64">
            <v>1</v>
          </cell>
          <cell r="H64">
            <v>2</v>
          </cell>
          <cell r="I64">
            <v>3.85</v>
          </cell>
          <cell r="J64">
            <v>3.85</v>
          </cell>
          <cell r="K64">
            <v>0</v>
          </cell>
          <cell r="L64">
            <v>19971231</v>
          </cell>
          <cell r="M64">
            <v>-1.1388</v>
          </cell>
          <cell r="N64">
            <v>19980326</v>
          </cell>
        </row>
        <row r="65">
          <cell r="A65" t="str">
            <v>FE</v>
          </cell>
          <cell r="B65" t="str">
            <v>@NNF</v>
          </cell>
          <cell r="C65" t="str">
            <v>FINEXTEL</v>
          </cell>
          <cell r="D65">
            <v>19971218</v>
          </cell>
          <cell r="E65" t="str">
            <v>EPS</v>
          </cell>
          <cell r="F65" t="str">
            <v>ANN</v>
          </cell>
          <cell r="G65">
            <v>1</v>
          </cell>
          <cell r="H65">
            <v>2</v>
          </cell>
          <cell r="I65">
            <v>3.85</v>
          </cell>
          <cell r="J65">
            <v>3.85</v>
          </cell>
          <cell r="K65">
            <v>0</v>
          </cell>
          <cell r="L65">
            <v>19971231</v>
          </cell>
          <cell r="M65">
            <v>-7.47</v>
          </cell>
          <cell r="N65">
            <v>19980326</v>
          </cell>
        </row>
        <row r="66">
          <cell r="A66" t="str">
            <v>NST</v>
          </cell>
          <cell r="B66" t="str">
            <v>@NST</v>
          </cell>
          <cell r="C66" t="str">
            <v>N. S. TIMES</v>
          </cell>
          <cell r="D66">
            <v>19971218</v>
          </cell>
          <cell r="E66" t="str">
            <v>EPS</v>
          </cell>
          <cell r="F66" t="str">
            <v>ANN</v>
          </cell>
          <cell r="G66">
            <v>1</v>
          </cell>
          <cell r="H66">
            <v>25</v>
          </cell>
          <cell r="I66">
            <v>0.81499999999999995</v>
          </cell>
          <cell r="J66">
            <v>0.79800000000000004</v>
          </cell>
          <cell r="K66">
            <v>0</v>
          </cell>
          <cell r="L66">
            <v>19980831</v>
          </cell>
          <cell r="M66">
            <v>-0.34899999999999998</v>
          </cell>
          <cell r="N66">
            <v>19981201</v>
          </cell>
        </row>
        <row r="67">
          <cell r="A67" t="str">
            <v>NST</v>
          </cell>
          <cell r="B67" t="str">
            <v>@NSZ</v>
          </cell>
          <cell r="C67" t="str">
            <v>NORDDEUTSCHE STE</v>
          </cell>
          <cell r="D67">
            <v>19971218</v>
          </cell>
          <cell r="E67" t="str">
            <v>EPS</v>
          </cell>
          <cell r="F67" t="str">
            <v>ANN</v>
          </cell>
          <cell r="G67">
            <v>1</v>
          </cell>
          <cell r="H67">
            <v>2</v>
          </cell>
          <cell r="I67">
            <v>2</v>
          </cell>
          <cell r="J67">
            <v>2</v>
          </cell>
          <cell r="K67">
            <v>0</v>
          </cell>
          <cell r="L67">
            <v>19971231</v>
          </cell>
          <cell r="M67">
            <v>0.51129999999999998</v>
          </cell>
          <cell r="N67">
            <v>19980611</v>
          </cell>
        </row>
        <row r="68">
          <cell r="A68" t="str">
            <v>NST</v>
          </cell>
          <cell r="B68" t="str">
            <v>@NSZ</v>
          </cell>
          <cell r="C68" t="str">
            <v>NORDDEUTSCHE STE</v>
          </cell>
          <cell r="D68">
            <v>19971218</v>
          </cell>
          <cell r="E68" t="str">
            <v>EPS</v>
          </cell>
          <cell r="F68" t="str">
            <v>ANN</v>
          </cell>
          <cell r="G68">
            <v>1</v>
          </cell>
          <cell r="H68">
            <v>2</v>
          </cell>
          <cell r="I68">
            <v>2</v>
          </cell>
          <cell r="J68">
            <v>2</v>
          </cell>
          <cell r="K68">
            <v>0</v>
          </cell>
          <cell r="L68">
            <v>19971231</v>
          </cell>
          <cell r="M68">
            <v>1</v>
          </cell>
          <cell r="N68">
            <v>19980611</v>
          </cell>
        </row>
        <row r="69">
          <cell r="A69" t="str">
            <v>PEG</v>
          </cell>
          <cell r="B69" t="str">
            <v>@P7P</v>
          </cell>
          <cell r="C69" t="str">
            <v>PEG PROFILO</v>
          </cell>
          <cell r="D69">
            <v>19971218</v>
          </cell>
          <cell r="E69" t="str">
            <v>EPS</v>
          </cell>
          <cell r="F69" t="str">
            <v>ANN</v>
          </cell>
          <cell r="G69">
            <v>1</v>
          </cell>
          <cell r="H69">
            <v>14</v>
          </cell>
          <cell r="I69">
            <v>7.0000000000000007E-2</v>
          </cell>
          <cell r="J69">
            <v>7.0000000000000007E-2</v>
          </cell>
          <cell r="K69">
            <v>0</v>
          </cell>
          <cell r="L69">
            <v>19971231</v>
          </cell>
          <cell r="M69">
            <v>6.7900000000000002E-2</v>
          </cell>
          <cell r="N69">
            <v>19980317</v>
          </cell>
        </row>
        <row r="70">
          <cell r="A70" t="str">
            <v>POM</v>
          </cell>
          <cell r="B70" t="str">
            <v>@PO8</v>
          </cell>
          <cell r="C70" t="str">
            <v>PLASTIC OMNIUM</v>
          </cell>
          <cell r="D70">
            <v>19971218</v>
          </cell>
          <cell r="E70" t="str">
            <v>EPS</v>
          </cell>
          <cell r="F70" t="str">
            <v>ANN</v>
          </cell>
          <cell r="G70">
            <v>1</v>
          </cell>
          <cell r="H70">
            <v>18</v>
          </cell>
          <cell r="I70">
            <v>0.77</v>
          </cell>
          <cell r="J70">
            <v>0.77</v>
          </cell>
          <cell r="K70">
            <v>0</v>
          </cell>
          <cell r="L70">
            <v>19971231</v>
          </cell>
          <cell r="M70">
            <v>0.78</v>
          </cell>
          <cell r="N70">
            <v>19980326</v>
          </cell>
        </row>
        <row r="71">
          <cell r="A71" t="str">
            <v>POM</v>
          </cell>
          <cell r="B71" t="str">
            <v>@PO8</v>
          </cell>
          <cell r="C71" t="str">
            <v>PLASTIC OMNIUM</v>
          </cell>
          <cell r="D71">
            <v>19971218</v>
          </cell>
          <cell r="E71" t="str">
            <v>EPS</v>
          </cell>
          <cell r="F71" t="str">
            <v>ANN</v>
          </cell>
          <cell r="G71">
            <v>1</v>
          </cell>
          <cell r="H71">
            <v>18</v>
          </cell>
          <cell r="I71">
            <v>0.77</v>
          </cell>
          <cell r="J71">
            <v>0.77</v>
          </cell>
          <cell r="K71">
            <v>0</v>
          </cell>
          <cell r="L71">
            <v>19971231</v>
          </cell>
          <cell r="M71">
            <v>0.11890000000000001</v>
          </cell>
          <cell r="N71">
            <v>19980326</v>
          </cell>
        </row>
        <row r="72">
          <cell r="A72" t="str">
            <v>POR</v>
          </cell>
          <cell r="B72" t="str">
            <v>@PS</v>
          </cell>
          <cell r="C72" t="str">
            <v>PORST HLDG B</v>
          </cell>
          <cell r="D72">
            <v>19971218</v>
          </cell>
          <cell r="E72" t="str">
            <v>EPS</v>
          </cell>
          <cell r="F72" t="str">
            <v>ANN</v>
          </cell>
          <cell r="G72">
            <v>1</v>
          </cell>
          <cell r="H72">
            <v>1</v>
          </cell>
          <cell r="I72">
            <v>18.8</v>
          </cell>
          <cell r="J72">
            <v>18.8</v>
          </cell>
          <cell r="K72">
            <v>0</v>
          </cell>
          <cell r="L72">
            <v>19971231</v>
          </cell>
          <cell r="M72">
            <v>-4.6900000000000004</v>
          </cell>
          <cell r="N72">
            <v>19980330</v>
          </cell>
        </row>
        <row r="73">
          <cell r="A73" t="str">
            <v>PSD</v>
          </cell>
          <cell r="B73" t="str">
            <v>@PS8</v>
          </cell>
          <cell r="C73" t="str">
            <v>PSD GROUP</v>
          </cell>
          <cell r="D73">
            <v>19971218</v>
          </cell>
          <cell r="E73" t="str">
            <v>EPS</v>
          </cell>
          <cell r="F73" t="str">
            <v>ANN</v>
          </cell>
          <cell r="G73">
            <v>1</v>
          </cell>
          <cell r="H73">
            <v>2</v>
          </cell>
          <cell r="I73">
            <v>22.84</v>
          </cell>
          <cell r="J73">
            <v>22.84</v>
          </cell>
          <cell r="K73">
            <v>0</v>
          </cell>
          <cell r="L73">
            <v>19971231</v>
          </cell>
          <cell r="M73">
            <v>26</v>
          </cell>
          <cell r="N73">
            <v>19980310</v>
          </cell>
        </row>
        <row r="74">
          <cell r="A74" t="str">
            <v>SCG</v>
          </cell>
          <cell r="B74" t="str">
            <v>@RRA</v>
          </cell>
          <cell r="C74" t="str">
            <v>SCHARRIGHUISEN</v>
          </cell>
          <cell r="D74">
            <v>19971218</v>
          </cell>
          <cell r="E74" t="str">
            <v>EPS</v>
          </cell>
          <cell r="F74" t="str">
            <v>ANN</v>
          </cell>
          <cell r="G74">
            <v>1</v>
          </cell>
          <cell r="H74">
            <v>1</v>
          </cell>
          <cell r="I74">
            <v>0.92</v>
          </cell>
          <cell r="J74">
            <v>0.92</v>
          </cell>
          <cell r="K74">
            <v>0</v>
          </cell>
          <cell r="L74">
            <v>19971231</v>
          </cell>
        </row>
        <row r="75">
          <cell r="A75" t="str">
            <v>SO</v>
          </cell>
          <cell r="B75" t="str">
            <v>@SOM</v>
          </cell>
          <cell r="C75" t="str">
            <v>SOMMER-ALLIBERT</v>
          </cell>
          <cell r="D75">
            <v>19971218</v>
          </cell>
          <cell r="E75" t="str">
            <v>EPS</v>
          </cell>
          <cell r="F75" t="str">
            <v>ANN</v>
          </cell>
          <cell r="G75">
            <v>1</v>
          </cell>
          <cell r="H75">
            <v>17</v>
          </cell>
          <cell r="I75">
            <v>13.9</v>
          </cell>
          <cell r="J75">
            <v>13.89</v>
          </cell>
          <cell r="K75">
            <v>0</v>
          </cell>
          <cell r="L75">
            <v>19971231</v>
          </cell>
          <cell r="M75">
            <v>14.68</v>
          </cell>
          <cell r="N75">
            <v>19980413</v>
          </cell>
        </row>
        <row r="76">
          <cell r="A76" t="str">
            <v>SO</v>
          </cell>
          <cell r="B76" t="str">
            <v>@SOM</v>
          </cell>
          <cell r="C76" t="str">
            <v>SOMMER-ALLIBERT</v>
          </cell>
          <cell r="D76">
            <v>19971218</v>
          </cell>
          <cell r="E76" t="str">
            <v>EPS</v>
          </cell>
          <cell r="F76" t="str">
            <v>ANN</v>
          </cell>
          <cell r="G76">
            <v>1</v>
          </cell>
          <cell r="H76">
            <v>17</v>
          </cell>
          <cell r="I76">
            <v>13.9</v>
          </cell>
          <cell r="J76">
            <v>13.89</v>
          </cell>
          <cell r="K76">
            <v>0</v>
          </cell>
          <cell r="L76">
            <v>19971231</v>
          </cell>
          <cell r="M76">
            <v>2.238</v>
          </cell>
          <cell r="N76">
            <v>19980413</v>
          </cell>
        </row>
        <row r="77">
          <cell r="A77" t="str">
            <v>POR</v>
          </cell>
          <cell r="B77" t="str">
            <v>@YCP</v>
          </cell>
          <cell r="C77" t="str">
            <v>CEMENT PORTLAND</v>
          </cell>
          <cell r="D77">
            <v>19971218</v>
          </cell>
          <cell r="E77" t="str">
            <v>EPS</v>
          </cell>
          <cell r="F77" t="str">
            <v>ANN</v>
          </cell>
          <cell r="G77">
            <v>1</v>
          </cell>
          <cell r="H77">
            <v>13</v>
          </cell>
          <cell r="I77">
            <v>218</v>
          </cell>
          <cell r="J77">
            <v>222</v>
          </cell>
          <cell r="K77">
            <v>0</v>
          </cell>
          <cell r="L77">
            <v>19971231</v>
          </cell>
          <cell r="M77">
            <v>1.3936999999999999</v>
          </cell>
          <cell r="N77">
            <v>19980306</v>
          </cell>
        </row>
        <row r="78">
          <cell r="A78" t="str">
            <v>POR</v>
          </cell>
          <cell r="B78" t="str">
            <v>@YCP</v>
          </cell>
          <cell r="C78" t="str">
            <v>CEMENT PORTLAND</v>
          </cell>
          <cell r="D78">
            <v>19971218</v>
          </cell>
          <cell r="E78" t="str">
            <v>EPS</v>
          </cell>
          <cell r="F78" t="str">
            <v>ANN</v>
          </cell>
          <cell r="G78">
            <v>1</v>
          </cell>
          <cell r="H78">
            <v>13</v>
          </cell>
          <cell r="I78">
            <v>218</v>
          </cell>
          <cell r="J78">
            <v>222</v>
          </cell>
          <cell r="K78">
            <v>0</v>
          </cell>
          <cell r="L78">
            <v>19971231</v>
          </cell>
          <cell r="M78">
            <v>231.88759999999999</v>
          </cell>
          <cell r="N78">
            <v>19980306</v>
          </cell>
        </row>
        <row r="79">
          <cell r="A79" t="str">
            <v>CIN</v>
          </cell>
          <cell r="B79" t="str">
            <v>@YYN</v>
          </cell>
          <cell r="C79" t="str">
            <v>CIN</v>
          </cell>
          <cell r="D79">
            <v>19971218</v>
          </cell>
          <cell r="E79" t="str">
            <v>EPS</v>
          </cell>
          <cell r="F79" t="str">
            <v>ANN</v>
          </cell>
          <cell r="G79">
            <v>1</v>
          </cell>
          <cell r="H79">
            <v>10</v>
          </cell>
          <cell r="I79">
            <v>96</v>
          </cell>
          <cell r="J79">
            <v>96</v>
          </cell>
          <cell r="K79">
            <v>0</v>
          </cell>
          <cell r="L79">
            <v>19971231</v>
          </cell>
          <cell r="M79">
            <v>0.46210000000000001</v>
          </cell>
          <cell r="N79">
            <v>19980424</v>
          </cell>
        </row>
        <row r="80">
          <cell r="A80" t="str">
            <v>CIN</v>
          </cell>
          <cell r="B80" t="str">
            <v>@YYN</v>
          </cell>
          <cell r="C80" t="str">
            <v>CIN</v>
          </cell>
          <cell r="D80">
            <v>19971218</v>
          </cell>
          <cell r="E80" t="str">
            <v>EPS</v>
          </cell>
          <cell r="F80" t="str">
            <v>ANN</v>
          </cell>
          <cell r="G80">
            <v>1</v>
          </cell>
          <cell r="H80">
            <v>10</v>
          </cell>
          <cell r="I80">
            <v>96</v>
          </cell>
          <cell r="J80">
            <v>96</v>
          </cell>
          <cell r="K80">
            <v>0</v>
          </cell>
          <cell r="L80">
            <v>19971231</v>
          </cell>
          <cell r="M80">
            <v>92.64</v>
          </cell>
          <cell r="N80">
            <v>19980424</v>
          </cell>
        </row>
        <row r="81">
          <cell r="A81" t="str">
            <v>AGR</v>
          </cell>
          <cell r="B81" t="str">
            <v>AGR1</v>
          </cell>
          <cell r="C81" t="str">
            <v>AGRA INC</v>
          </cell>
          <cell r="D81">
            <v>19971218</v>
          </cell>
          <cell r="E81" t="str">
            <v>EPS</v>
          </cell>
          <cell r="F81" t="str">
            <v>ANN</v>
          </cell>
          <cell r="G81">
            <v>1</v>
          </cell>
          <cell r="H81">
            <v>6</v>
          </cell>
          <cell r="I81">
            <v>0.5</v>
          </cell>
          <cell r="J81">
            <v>0.47</v>
          </cell>
          <cell r="K81">
            <v>0</v>
          </cell>
          <cell r="L81">
            <v>19980731</v>
          </cell>
          <cell r="M81">
            <v>0.53</v>
          </cell>
          <cell r="N81">
            <v>19981013</v>
          </cell>
        </row>
        <row r="82">
          <cell r="A82" t="str">
            <v>ALE</v>
          </cell>
          <cell r="B82" t="str">
            <v>ALE1</v>
          </cell>
          <cell r="C82" t="str">
            <v>SLEEMAN BREWS</v>
          </cell>
          <cell r="D82">
            <v>19971218</v>
          </cell>
          <cell r="E82" t="str">
            <v>EPS</v>
          </cell>
          <cell r="F82" t="str">
            <v>ANN</v>
          </cell>
          <cell r="G82">
            <v>1</v>
          </cell>
          <cell r="H82">
            <v>3</v>
          </cell>
          <cell r="I82">
            <v>0.25</v>
          </cell>
          <cell r="J82">
            <v>0.27</v>
          </cell>
          <cell r="K82">
            <v>0</v>
          </cell>
          <cell r="L82">
            <v>19971231</v>
          </cell>
          <cell r="M82">
            <v>0.28999999999999998</v>
          </cell>
          <cell r="N82">
            <v>19980318</v>
          </cell>
        </row>
        <row r="83">
          <cell r="A83" t="str">
            <v>CMS</v>
          </cell>
          <cell r="B83" t="str">
            <v>CMS1</v>
          </cell>
          <cell r="C83" t="str">
            <v>C-MAC</v>
          </cell>
          <cell r="D83">
            <v>19971218</v>
          </cell>
          <cell r="E83" t="str">
            <v>EPS</v>
          </cell>
          <cell r="F83" t="str">
            <v>ANN</v>
          </cell>
          <cell r="G83">
            <v>1</v>
          </cell>
          <cell r="H83">
            <v>7</v>
          </cell>
          <cell r="I83">
            <v>0.38</v>
          </cell>
          <cell r="J83">
            <v>0.38</v>
          </cell>
          <cell r="K83">
            <v>0</v>
          </cell>
          <cell r="L83">
            <v>19971231</v>
          </cell>
          <cell r="M83">
            <v>0.39500000000000002</v>
          </cell>
          <cell r="N83">
            <v>19980205</v>
          </cell>
        </row>
        <row r="84">
          <cell r="A84" t="str">
            <v>CNP</v>
          </cell>
          <cell r="B84" t="str">
            <v>CNP1</v>
          </cell>
          <cell r="C84" t="str">
            <v>CORNUCOPIA RES L</v>
          </cell>
          <cell r="D84">
            <v>19971218</v>
          </cell>
          <cell r="E84" t="str">
            <v>EPS</v>
          </cell>
          <cell r="F84" t="str">
            <v>ANN</v>
          </cell>
          <cell r="G84">
            <v>1</v>
          </cell>
          <cell r="H84">
            <v>1</v>
          </cell>
          <cell r="I84">
            <v>-0.2</v>
          </cell>
          <cell r="J84">
            <v>-0.2</v>
          </cell>
          <cell r="K84">
            <v>0</v>
          </cell>
          <cell r="L84">
            <v>19971231</v>
          </cell>
          <cell r="M84">
            <v>-6.8</v>
          </cell>
          <cell r="N84">
            <v>19980527</v>
          </cell>
        </row>
        <row r="85">
          <cell r="A85" t="str">
            <v>FPL</v>
          </cell>
          <cell r="B85" t="str">
            <v>FPI1</v>
          </cell>
          <cell r="C85" t="str">
            <v>FPI LTD</v>
          </cell>
          <cell r="D85">
            <v>19971218</v>
          </cell>
          <cell r="E85" t="str">
            <v>EPS</v>
          </cell>
          <cell r="F85" t="str">
            <v>ANN</v>
          </cell>
          <cell r="G85">
            <v>1</v>
          </cell>
          <cell r="H85">
            <v>2</v>
          </cell>
          <cell r="I85">
            <v>0.53</v>
          </cell>
          <cell r="J85">
            <v>0.53</v>
          </cell>
          <cell r="K85">
            <v>0</v>
          </cell>
          <cell r="L85">
            <v>19971231</v>
          </cell>
          <cell r="M85">
            <v>0.51</v>
          </cell>
          <cell r="N85">
            <v>19980224</v>
          </cell>
        </row>
        <row r="86">
          <cell r="A86" t="str">
            <v>PGN</v>
          </cell>
          <cell r="B86" t="str">
            <v>PGN1</v>
          </cell>
          <cell r="C86" t="str">
            <v>PARAGON PETE</v>
          </cell>
          <cell r="D86">
            <v>19971218</v>
          </cell>
          <cell r="E86" t="str">
            <v>EPS</v>
          </cell>
          <cell r="F86" t="str">
            <v>ANN</v>
          </cell>
          <cell r="G86">
            <v>1</v>
          </cell>
          <cell r="H86">
            <v>7</v>
          </cell>
          <cell r="I86">
            <v>0.15</v>
          </cell>
          <cell r="J86">
            <v>0.15</v>
          </cell>
          <cell r="K86">
            <v>0</v>
          </cell>
          <cell r="L86">
            <v>19971231</v>
          </cell>
        </row>
        <row r="87">
          <cell r="A87" t="str">
            <v>SCG</v>
          </cell>
          <cell r="B87" t="str">
            <v>SCG1</v>
          </cell>
          <cell r="C87" t="str">
            <v>SANTZ CRUZ GOLD</v>
          </cell>
          <cell r="D87">
            <v>19971218</v>
          </cell>
          <cell r="E87" t="str">
            <v>EPS</v>
          </cell>
          <cell r="F87" t="str">
            <v>ANN</v>
          </cell>
          <cell r="G87">
            <v>1</v>
          </cell>
          <cell r="H87">
            <v>1</v>
          </cell>
          <cell r="I87">
            <v>0</v>
          </cell>
          <cell r="J87">
            <v>0</v>
          </cell>
          <cell r="K87">
            <v>0</v>
          </cell>
          <cell r="L87">
            <v>19971231</v>
          </cell>
          <cell r="M87">
            <v>-0.09</v>
          </cell>
          <cell r="N87">
            <v>19980601</v>
          </cell>
        </row>
      </sheetData>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RDS"/>
    </sheetNames>
    <sheetDataSet>
      <sheetData sheetId="0">
        <row r="1">
          <cell r="A1" t="str">
            <v>OFTIC</v>
          </cell>
          <cell r="B1" t="str">
            <v>IBES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USFIRM=0 if from .INT file and USFIRM=1 if from .US file</v>
          </cell>
          <cell r="M1" t="str">
            <v>Forecast Period End Date (SAS Format)</v>
          </cell>
          <cell r="N1" t="str">
            <v>Actual Value, from the Detail Actuals File</v>
          </cell>
          <cell r="O1" t="str">
            <v>Announce date of the Actual, from the Detail Actuals File</v>
          </cell>
        </row>
        <row r="2">
          <cell r="A2" t="str">
            <v>AGR</v>
          </cell>
          <cell r="B2" t="str">
            <v>AGR2</v>
          </cell>
          <cell r="C2" t="str">
            <v>ARGENTARIA</v>
          </cell>
          <cell r="D2">
            <v>19971218</v>
          </cell>
          <cell r="E2" t="str">
            <v>EPS</v>
          </cell>
          <cell r="F2" t="str">
            <v>LTG</v>
          </cell>
          <cell r="G2">
            <v>0</v>
          </cell>
          <cell r="H2">
            <v>1</v>
          </cell>
          <cell r="I2">
            <v>1.8</v>
          </cell>
          <cell r="J2">
            <v>1.8</v>
          </cell>
          <cell r="L2">
            <v>1</v>
          </cell>
        </row>
        <row r="3">
          <cell r="A3" t="str">
            <v>PNW</v>
          </cell>
          <cell r="B3" t="str">
            <v>AZP</v>
          </cell>
          <cell r="C3" t="str">
            <v>PINNACLE WST CAP</v>
          </cell>
          <cell r="D3">
            <v>19971218</v>
          </cell>
          <cell r="E3" t="str">
            <v>EPS</v>
          </cell>
          <cell r="F3" t="str">
            <v>LTG</v>
          </cell>
          <cell r="G3">
            <v>0</v>
          </cell>
          <cell r="H3">
            <v>9</v>
          </cell>
          <cell r="I3">
            <v>5</v>
          </cell>
          <cell r="J3">
            <v>5.42</v>
          </cell>
          <cell r="K3">
            <v>1.57</v>
          </cell>
          <cell r="L3">
            <v>1</v>
          </cell>
        </row>
        <row r="4">
          <cell r="A4" t="str">
            <v>BKH</v>
          </cell>
          <cell r="B4" t="str">
            <v>BHP</v>
          </cell>
          <cell r="C4" t="str">
            <v>BLACK HILLS CP</v>
          </cell>
          <cell r="D4">
            <v>19971218</v>
          </cell>
          <cell r="E4" t="str">
            <v>EPS</v>
          </cell>
          <cell r="F4" t="str">
            <v>LTG</v>
          </cell>
          <cell r="G4">
            <v>0</v>
          </cell>
          <cell r="H4">
            <v>3</v>
          </cell>
          <cell r="I4">
            <v>4</v>
          </cell>
          <cell r="J4">
            <v>4.67</v>
          </cell>
          <cell r="K4">
            <v>1.1499999999999999</v>
          </cell>
          <cell r="L4">
            <v>1</v>
          </cell>
        </row>
        <row r="5">
          <cell r="A5" t="str">
            <v>CIN</v>
          </cell>
          <cell r="B5" t="str">
            <v>CIN</v>
          </cell>
          <cell r="C5" t="str">
            <v>CINERGY CORP</v>
          </cell>
          <cell r="D5">
            <v>19971218</v>
          </cell>
          <cell r="E5" t="str">
            <v>EPS</v>
          </cell>
          <cell r="F5" t="str">
            <v>LTG</v>
          </cell>
          <cell r="G5">
            <v>0</v>
          </cell>
          <cell r="H5">
            <v>17</v>
          </cell>
          <cell r="I5">
            <v>4.5</v>
          </cell>
          <cell r="J5">
            <v>4.6500000000000004</v>
          </cell>
          <cell r="K5">
            <v>1.43</v>
          </cell>
          <cell r="L5">
            <v>1</v>
          </cell>
        </row>
        <row r="6">
          <cell r="A6" t="str">
            <v>CMS</v>
          </cell>
          <cell r="B6" t="str">
            <v>CMS</v>
          </cell>
          <cell r="C6" t="str">
            <v>CMS ENERGY CORP</v>
          </cell>
          <cell r="D6">
            <v>19971218</v>
          </cell>
          <cell r="E6" t="str">
            <v>EPS</v>
          </cell>
          <cell r="F6" t="str">
            <v>LTG</v>
          </cell>
          <cell r="G6">
            <v>0</v>
          </cell>
          <cell r="H6">
            <v>11</v>
          </cell>
          <cell r="I6">
            <v>8</v>
          </cell>
          <cell r="J6">
            <v>8.09</v>
          </cell>
          <cell r="K6">
            <v>1.97</v>
          </cell>
          <cell r="L6">
            <v>1</v>
          </cell>
        </row>
        <row r="7">
          <cell r="A7" t="str">
            <v>CNL</v>
          </cell>
          <cell r="B7" t="str">
            <v>CNL</v>
          </cell>
          <cell r="C7" t="str">
            <v>CENT LA ELEC INC</v>
          </cell>
          <cell r="D7">
            <v>19971218</v>
          </cell>
          <cell r="E7" t="str">
            <v>EPS</v>
          </cell>
          <cell r="F7" t="str">
            <v>LTG</v>
          </cell>
          <cell r="G7">
            <v>0</v>
          </cell>
          <cell r="H7">
            <v>3</v>
          </cell>
          <cell r="I7">
            <v>3</v>
          </cell>
          <cell r="J7">
            <v>2.67</v>
          </cell>
          <cell r="K7">
            <v>1.53</v>
          </cell>
          <cell r="L7">
            <v>1</v>
          </cell>
        </row>
        <row r="8">
          <cell r="A8" t="str">
            <v>D</v>
          </cell>
          <cell r="B8" t="str">
            <v>D</v>
          </cell>
          <cell r="C8" t="str">
            <v>DOMINION RES INC</v>
          </cell>
          <cell r="D8">
            <v>19971218</v>
          </cell>
          <cell r="E8" t="str">
            <v>EPS</v>
          </cell>
          <cell r="F8" t="str">
            <v>LTG</v>
          </cell>
          <cell r="G8">
            <v>0</v>
          </cell>
          <cell r="H8">
            <v>12</v>
          </cell>
          <cell r="I8">
            <v>3</v>
          </cell>
          <cell r="J8">
            <v>3.37</v>
          </cell>
          <cell r="K8">
            <v>0.69</v>
          </cell>
          <cell r="L8">
            <v>1</v>
          </cell>
        </row>
        <row r="9">
          <cell r="A9" t="str">
            <v>DPL</v>
          </cell>
          <cell r="B9" t="str">
            <v>DPL</v>
          </cell>
          <cell r="C9" t="str">
            <v>DPL INC</v>
          </cell>
          <cell r="D9">
            <v>19971218</v>
          </cell>
          <cell r="E9" t="str">
            <v>EPS</v>
          </cell>
          <cell r="F9" t="str">
            <v>LTG</v>
          </cell>
          <cell r="G9">
            <v>0</v>
          </cell>
          <cell r="H9">
            <v>13</v>
          </cell>
          <cell r="I9">
            <v>4</v>
          </cell>
          <cell r="J9">
            <v>4.3</v>
          </cell>
          <cell r="K9">
            <v>0.73</v>
          </cell>
          <cell r="L9">
            <v>1</v>
          </cell>
        </row>
        <row r="10">
          <cell r="A10" t="str">
            <v>DTE</v>
          </cell>
          <cell r="B10" t="str">
            <v>DTE</v>
          </cell>
          <cell r="C10" t="str">
            <v>DTE ENERGY</v>
          </cell>
          <cell r="D10">
            <v>19971218</v>
          </cell>
          <cell r="E10" t="str">
            <v>EPS</v>
          </cell>
          <cell r="F10" t="str">
            <v>LTG</v>
          </cell>
          <cell r="G10">
            <v>0</v>
          </cell>
          <cell r="H10">
            <v>11</v>
          </cell>
          <cell r="I10">
            <v>2.5</v>
          </cell>
          <cell r="J10">
            <v>2.57</v>
          </cell>
          <cell r="K10">
            <v>0.97</v>
          </cell>
          <cell r="L10">
            <v>1</v>
          </cell>
        </row>
        <row r="11">
          <cell r="A11" t="str">
            <v>DUK</v>
          </cell>
          <cell r="B11" t="str">
            <v>DUK</v>
          </cell>
          <cell r="C11" t="str">
            <v>DUKE ENERGY CORP</v>
          </cell>
          <cell r="D11">
            <v>19971218</v>
          </cell>
          <cell r="E11" t="str">
            <v>EPS</v>
          </cell>
          <cell r="F11" t="str">
            <v>LTG</v>
          </cell>
          <cell r="G11">
            <v>0</v>
          </cell>
          <cell r="H11">
            <v>15</v>
          </cell>
          <cell r="I11">
            <v>5</v>
          </cell>
          <cell r="J11">
            <v>5.4</v>
          </cell>
          <cell r="K11">
            <v>2.75</v>
          </cell>
          <cell r="L11">
            <v>1</v>
          </cell>
        </row>
        <row r="12">
          <cell r="A12" t="str">
            <v>ED</v>
          </cell>
          <cell r="B12" t="str">
            <v>ED</v>
          </cell>
          <cell r="C12" t="str">
            <v>CONS EDISON CO</v>
          </cell>
          <cell r="D12">
            <v>19971218</v>
          </cell>
          <cell r="E12" t="str">
            <v>EPS</v>
          </cell>
          <cell r="F12" t="str">
            <v>LTG</v>
          </cell>
          <cell r="G12">
            <v>0</v>
          </cell>
          <cell r="H12">
            <v>9</v>
          </cell>
          <cell r="I12">
            <v>2</v>
          </cell>
          <cell r="J12">
            <v>2.39</v>
          </cell>
          <cell r="K12">
            <v>0.93</v>
          </cell>
          <cell r="L12">
            <v>1</v>
          </cell>
        </row>
        <row r="13">
          <cell r="A13" t="str">
            <v>EXC</v>
          </cell>
          <cell r="B13" t="str">
            <v>EXC</v>
          </cell>
          <cell r="C13" t="str">
            <v>EXCEL INDS INC</v>
          </cell>
          <cell r="D13">
            <v>19971218</v>
          </cell>
          <cell r="E13" t="str">
            <v>EPS</v>
          </cell>
          <cell r="F13" t="str">
            <v>LTG</v>
          </cell>
          <cell r="G13">
            <v>0</v>
          </cell>
          <cell r="H13">
            <v>2</v>
          </cell>
          <cell r="I13">
            <v>13</v>
          </cell>
          <cell r="J13">
            <v>13</v>
          </cell>
          <cell r="K13">
            <v>2.83</v>
          </cell>
          <cell r="L13">
            <v>1</v>
          </cell>
        </row>
        <row r="14">
          <cell r="A14" t="str">
            <v>FPL</v>
          </cell>
          <cell r="B14" t="str">
            <v>FPL</v>
          </cell>
          <cell r="C14" t="str">
            <v>FPL GROUP</v>
          </cell>
          <cell r="D14">
            <v>19971218</v>
          </cell>
          <cell r="E14" t="str">
            <v>EPS</v>
          </cell>
          <cell r="F14" t="str">
            <v>LTG</v>
          </cell>
          <cell r="G14">
            <v>0</v>
          </cell>
          <cell r="H14">
            <v>15</v>
          </cell>
          <cell r="I14">
            <v>5</v>
          </cell>
          <cell r="J14">
            <v>5.36</v>
          </cell>
          <cell r="K14">
            <v>0.73</v>
          </cell>
          <cell r="L14">
            <v>1</v>
          </cell>
        </row>
        <row r="15">
          <cell r="A15" t="str">
            <v>HE</v>
          </cell>
          <cell r="B15" t="str">
            <v>HE</v>
          </cell>
          <cell r="C15" t="str">
            <v>HAWAIIAN ELEC</v>
          </cell>
          <cell r="D15">
            <v>19971218</v>
          </cell>
          <cell r="E15" t="str">
            <v>EPS</v>
          </cell>
          <cell r="F15" t="str">
            <v>LTG</v>
          </cell>
          <cell r="G15">
            <v>0</v>
          </cell>
          <cell r="H15">
            <v>5</v>
          </cell>
          <cell r="I15">
            <v>3</v>
          </cell>
          <cell r="J15">
            <v>3.2</v>
          </cell>
          <cell r="K15">
            <v>1.3</v>
          </cell>
          <cell r="L15">
            <v>1</v>
          </cell>
        </row>
        <row r="16">
          <cell r="A16" t="str">
            <v>IDA</v>
          </cell>
          <cell r="B16" t="str">
            <v>IDA</v>
          </cell>
          <cell r="C16" t="str">
            <v>IDAHO POWER CO</v>
          </cell>
          <cell r="D16">
            <v>19971218</v>
          </cell>
          <cell r="E16" t="str">
            <v>EPS</v>
          </cell>
          <cell r="F16" t="str">
            <v>LTG</v>
          </cell>
          <cell r="G16">
            <v>0</v>
          </cell>
          <cell r="H16">
            <v>4</v>
          </cell>
          <cell r="I16">
            <v>3.5</v>
          </cell>
          <cell r="J16">
            <v>3.5</v>
          </cell>
          <cell r="K16">
            <v>1.29</v>
          </cell>
          <cell r="L16">
            <v>1</v>
          </cell>
        </row>
        <row r="17">
          <cell r="A17" t="str">
            <v>WR</v>
          </cell>
          <cell r="B17" t="str">
            <v>KAN</v>
          </cell>
          <cell r="C17" t="str">
            <v>WESTN RESOURCES</v>
          </cell>
          <cell r="D17">
            <v>19971218</v>
          </cell>
          <cell r="E17" t="str">
            <v>EPS</v>
          </cell>
          <cell r="F17" t="str">
            <v>LTG</v>
          </cell>
          <cell r="G17">
            <v>0</v>
          </cell>
          <cell r="H17">
            <v>10</v>
          </cell>
          <cell r="I17">
            <v>3</v>
          </cell>
          <cell r="J17">
            <v>2.8</v>
          </cell>
          <cell r="K17">
            <v>0.63</v>
          </cell>
          <cell r="L17">
            <v>1</v>
          </cell>
        </row>
        <row r="18">
          <cell r="A18" t="str">
            <v>PGN</v>
          </cell>
          <cell r="B18" t="str">
            <v>LCA</v>
          </cell>
          <cell r="C18" t="str">
            <v>PARAGON HEALTH</v>
          </cell>
          <cell r="D18">
            <v>19971218</v>
          </cell>
          <cell r="E18" t="str">
            <v>EPS</v>
          </cell>
          <cell r="F18" t="str">
            <v>LTG</v>
          </cell>
          <cell r="G18">
            <v>0</v>
          </cell>
          <cell r="H18">
            <v>6</v>
          </cell>
          <cell r="I18">
            <v>16</v>
          </cell>
          <cell r="J18">
            <v>17</v>
          </cell>
          <cell r="K18">
            <v>5.0999999999999996</v>
          </cell>
          <cell r="L18">
            <v>1</v>
          </cell>
        </row>
        <row r="19">
          <cell r="A19" t="str">
            <v>ETR</v>
          </cell>
          <cell r="B19" t="str">
            <v>MSU</v>
          </cell>
          <cell r="C19" t="str">
            <v>ENTERGY CP</v>
          </cell>
          <cell r="D19">
            <v>19971218</v>
          </cell>
          <cell r="E19" t="str">
            <v>EPS</v>
          </cell>
          <cell r="F19" t="str">
            <v>LTG</v>
          </cell>
          <cell r="G19">
            <v>0</v>
          </cell>
          <cell r="H19">
            <v>10</v>
          </cell>
          <cell r="I19">
            <v>4</v>
          </cell>
          <cell r="J19">
            <v>3.85</v>
          </cell>
          <cell r="K19">
            <v>0.75</v>
          </cell>
          <cell r="L19">
            <v>1</v>
          </cell>
        </row>
        <row r="20">
          <cell r="A20" t="str">
            <v>NU</v>
          </cell>
          <cell r="B20" t="str">
            <v>NU</v>
          </cell>
          <cell r="C20" t="str">
            <v>NORTHEAST UTILS</v>
          </cell>
          <cell r="D20">
            <v>19971218</v>
          </cell>
          <cell r="E20" t="str">
            <v>EPS</v>
          </cell>
          <cell r="F20" t="str">
            <v>LTG</v>
          </cell>
          <cell r="G20">
            <v>0</v>
          </cell>
          <cell r="H20">
            <v>5</v>
          </cell>
          <cell r="I20">
            <v>1</v>
          </cell>
          <cell r="J20">
            <v>-0.6</v>
          </cell>
          <cell r="K20">
            <v>4.22</v>
          </cell>
          <cell r="L20">
            <v>1</v>
          </cell>
        </row>
        <row r="21">
          <cell r="A21" t="str">
            <v>FE</v>
          </cell>
          <cell r="B21" t="str">
            <v>OEC</v>
          </cell>
          <cell r="C21" t="str">
            <v>FIRSTENERGY CORP</v>
          </cell>
          <cell r="D21">
            <v>19971218</v>
          </cell>
          <cell r="E21" t="str">
            <v>EPS</v>
          </cell>
          <cell r="F21" t="str">
            <v>LTG</v>
          </cell>
          <cell r="G21">
            <v>0</v>
          </cell>
          <cell r="H21">
            <v>11</v>
          </cell>
          <cell r="I21">
            <v>3</v>
          </cell>
          <cell r="J21">
            <v>2.93</v>
          </cell>
          <cell r="K21">
            <v>1.32</v>
          </cell>
          <cell r="L21">
            <v>1</v>
          </cell>
        </row>
        <row r="22">
          <cell r="A22" t="str">
            <v>OGE</v>
          </cell>
          <cell r="B22" t="str">
            <v>OGE</v>
          </cell>
          <cell r="C22" t="str">
            <v>OGE ENERGY CORP</v>
          </cell>
          <cell r="D22">
            <v>19971218</v>
          </cell>
          <cell r="E22" t="str">
            <v>EPS</v>
          </cell>
          <cell r="F22" t="str">
            <v>LTG</v>
          </cell>
          <cell r="G22">
            <v>0</v>
          </cell>
          <cell r="H22">
            <v>6</v>
          </cell>
          <cell r="I22">
            <v>3</v>
          </cell>
          <cell r="J22">
            <v>3.1</v>
          </cell>
          <cell r="K22">
            <v>1.52</v>
          </cell>
          <cell r="L22">
            <v>1</v>
          </cell>
        </row>
        <row r="23">
          <cell r="A23" t="str">
            <v>OTTR</v>
          </cell>
          <cell r="B23" t="str">
            <v>OTTR</v>
          </cell>
          <cell r="C23" t="str">
            <v>OTTER TAIL PWR</v>
          </cell>
          <cell r="D23">
            <v>19971218</v>
          </cell>
          <cell r="E23" t="str">
            <v>EPS</v>
          </cell>
          <cell r="F23" t="str">
            <v>LTG</v>
          </cell>
          <cell r="G23">
            <v>0</v>
          </cell>
          <cell r="H23">
            <v>1</v>
          </cell>
          <cell r="I23">
            <v>5</v>
          </cell>
          <cell r="J23">
            <v>5</v>
          </cell>
          <cell r="L23">
            <v>1</v>
          </cell>
        </row>
        <row r="24">
          <cell r="A24" t="str">
            <v>PCG</v>
          </cell>
          <cell r="B24" t="str">
            <v>PCG</v>
          </cell>
          <cell r="C24" t="str">
            <v>P G &amp; E CORP</v>
          </cell>
          <cell r="D24">
            <v>19971218</v>
          </cell>
          <cell r="E24" t="str">
            <v>EPS</v>
          </cell>
          <cell r="F24" t="str">
            <v>LTG</v>
          </cell>
          <cell r="G24">
            <v>0</v>
          </cell>
          <cell r="H24">
            <v>8</v>
          </cell>
          <cell r="I24">
            <v>2.5</v>
          </cell>
          <cell r="J24">
            <v>3.15</v>
          </cell>
          <cell r="K24">
            <v>2.73</v>
          </cell>
          <cell r="L24">
            <v>1</v>
          </cell>
        </row>
        <row r="25">
          <cell r="A25" t="str">
            <v>PEG</v>
          </cell>
          <cell r="B25" t="str">
            <v>PEG</v>
          </cell>
          <cell r="C25" t="str">
            <v>PUB SVC ENTERS</v>
          </cell>
          <cell r="D25">
            <v>19971218</v>
          </cell>
          <cell r="E25" t="str">
            <v>EPS</v>
          </cell>
          <cell r="F25" t="str">
            <v>LTG</v>
          </cell>
          <cell r="G25">
            <v>0</v>
          </cell>
          <cell r="H25">
            <v>9</v>
          </cell>
          <cell r="I25">
            <v>2</v>
          </cell>
          <cell r="J25">
            <v>1.83</v>
          </cell>
          <cell r="K25">
            <v>0.79</v>
          </cell>
          <cell r="L25">
            <v>1</v>
          </cell>
        </row>
        <row r="26">
          <cell r="A26" t="str">
            <v>PNM</v>
          </cell>
          <cell r="B26" t="str">
            <v>PNM</v>
          </cell>
          <cell r="C26" t="str">
            <v>PUB SVC N MEX</v>
          </cell>
          <cell r="D26">
            <v>19971218</v>
          </cell>
          <cell r="E26" t="str">
            <v>EPS</v>
          </cell>
          <cell r="F26" t="str">
            <v>LTG</v>
          </cell>
          <cell r="G26">
            <v>0</v>
          </cell>
          <cell r="H26">
            <v>8</v>
          </cell>
          <cell r="I26">
            <v>4</v>
          </cell>
          <cell r="J26">
            <v>4.1900000000000004</v>
          </cell>
          <cell r="K26">
            <v>0.92</v>
          </cell>
          <cell r="L26">
            <v>1</v>
          </cell>
        </row>
        <row r="27">
          <cell r="A27" t="str">
            <v>POM</v>
          </cell>
          <cell r="B27" t="str">
            <v>POM</v>
          </cell>
          <cell r="C27" t="str">
            <v>POTOMAC ELEC</v>
          </cell>
          <cell r="D27">
            <v>19971218</v>
          </cell>
          <cell r="E27" t="str">
            <v>EPS</v>
          </cell>
          <cell r="F27" t="str">
            <v>LTG</v>
          </cell>
          <cell r="G27">
            <v>0</v>
          </cell>
          <cell r="H27">
            <v>8</v>
          </cell>
          <cell r="I27">
            <v>2</v>
          </cell>
          <cell r="J27">
            <v>1.81</v>
          </cell>
          <cell r="K27">
            <v>0.75</v>
          </cell>
          <cell r="L27">
            <v>1</v>
          </cell>
        </row>
        <row r="28">
          <cell r="A28" t="str">
            <v>PPL</v>
          </cell>
          <cell r="B28" t="str">
            <v>PPL</v>
          </cell>
          <cell r="C28" t="str">
            <v>PP&amp;L RESOURCES</v>
          </cell>
          <cell r="D28">
            <v>19971218</v>
          </cell>
          <cell r="E28" t="str">
            <v>EPS</v>
          </cell>
          <cell r="F28" t="str">
            <v>LTG</v>
          </cell>
          <cell r="G28">
            <v>0</v>
          </cell>
          <cell r="H28">
            <v>9</v>
          </cell>
          <cell r="I28">
            <v>2</v>
          </cell>
          <cell r="J28">
            <v>2.17</v>
          </cell>
          <cell r="K28">
            <v>1.27</v>
          </cell>
          <cell r="L28">
            <v>1</v>
          </cell>
        </row>
        <row r="29">
          <cell r="A29" t="str">
            <v>PSD</v>
          </cell>
          <cell r="B29" t="str">
            <v>PSD</v>
          </cell>
          <cell r="C29" t="str">
            <v>PUGET SOUND ENGY</v>
          </cell>
          <cell r="D29">
            <v>19971218</v>
          </cell>
          <cell r="E29" t="str">
            <v>EPS</v>
          </cell>
          <cell r="F29" t="str">
            <v>LTG</v>
          </cell>
          <cell r="G29">
            <v>0</v>
          </cell>
          <cell r="H29">
            <v>6</v>
          </cell>
          <cell r="I29">
            <v>2.5</v>
          </cell>
          <cell r="J29">
            <v>3.2</v>
          </cell>
          <cell r="K29">
            <v>2.21</v>
          </cell>
          <cell r="L29">
            <v>1</v>
          </cell>
        </row>
        <row r="30">
          <cell r="A30" t="str">
            <v>EIX</v>
          </cell>
          <cell r="B30" t="str">
            <v>SCE</v>
          </cell>
          <cell r="C30" t="str">
            <v>EDISON INTL</v>
          </cell>
          <cell r="D30">
            <v>19971218</v>
          </cell>
          <cell r="E30" t="str">
            <v>EPS</v>
          </cell>
          <cell r="F30" t="str">
            <v>LTG</v>
          </cell>
          <cell r="G30">
            <v>0</v>
          </cell>
          <cell r="H30">
            <v>9</v>
          </cell>
          <cell r="I30">
            <v>4</v>
          </cell>
          <cell r="J30">
            <v>4.4400000000000004</v>
          </cell>
          <cell r="K30">
            <v>2.74</v>
          </cell>
          <cell r="L30">
            <v>1</v>
          </cell>
        </row>
        <row r="31">
          <cell r="A31" t="str">
            <v>SCG</v>
          </cell>
          <cell r="B31" t="str">
            <v>SCG</v>
          </cell>
          <cell r="C31" t="str">
            <v>SCANA CP</v>
          </cell>
          <cell r="D31">
            <v>19971218</v>
          </cell>
          <cell r="E31" t="str">
            <v>EPS</v>
          </cell>
          <cell r="F31" t="str">
            <v>LTG</v>
          </cell>
          <cell r="G31">
            <v>0</v>
          </cell>
          <cell r="H31">
            <v>8</v>
          </cell>
          <cell r="I31">
            <v>3.5</v>
          </cell>
          <cell r="J31">
            <v>3.38</v>
          </cell>
          <cell r="K31">
            <v>1.06</v>
          </cell>
          <cell r="L31">
            <v>1</v>
          </cell>
        </row>
        <row r="32">
          <cell r="A32" t="str">
            <v>SO</v>
          </cell>
          <cell r="B32" t="str">
            <v>SO</v>
          </cell>
          <cell r="C32" t="str">
            <v>SOUTHN CO</v>
          </cell>
          <cell r="D32">
            <v>19971218</v>
          </cell>
          <cell r="E32" t="str">
            <v>EPS</v>
          </cell>
          <cell r="F32" t="str">
            <v>LTG</v>
          </cell>
          <cell r="G32">
            <v>0</v>
          </cell>
          <cell r="H32">
            <v>13</v>
          </cell>
          <cell r="I32">
            <v>4</v>
          </cell>
          <cell r="J32">
            <v>3.76</v>
          </cell>
          <cell r="K32">
            <v>0.64</v>
          </cell>
          <cell r="L32">
            <v>1</v>
          </cell>
        </row>
        <row r="33">
          <cell r="A33" t="str">
            <v>TE</v>
          </cell>
          <cell r="B33" t="str">
            <v>TE</v>
          </cell>
          <cell r="C33" t="str">
            <v>TECO ENERGY INC</v>
          </cell>
          <cell r="D33">
            <v>19971218</v>
          </cell>
          <cell r="E33" t="str">
            <v>EPS</v>
          </cell>
          <cell r="F33" t="str">
            <v>LTG</v>
          </cell>
          <cell r="G33">
            <v>0</v>
          </cell>
          <cell r="H33">
            <v>14</v>
          </cell>
          <cell r="I33">
            <v>5</v>
          </cell>
          <cell r="J33">
            <v>4.8</v>
          </cell>
          <cell r="K33">
            <v>1.07</v>
          </cell>
          <cell r="L33">
            <v>1</v>
          </cell>
        </row>
        <row r="34">
          <cell r="A34" t="str">
            <v>UIL</v>
          </cell>
          <cell r="B34" t="str">
            <v>UIL</v>
          </cell>
          <cell r="C34" t="str">
            <v>UTD ILLUM COO</v>
          </cell>
          <cell r="D34">
            <v>19971218</v>
          </cell>
          <cell r="E34" t="str">
            <v>EPS</v>
          </cell>
          <cell r="F34" t="str">
            <v>LTG</v>
          </cell>
          <cell r="G34">
            <v>0</v>
          </cell>
          <cell r="H34">
            <v>3</v>
          </cell>
          <cell r="I34">
            <v>3</v>
          </cell>
          <cell r="J34">
            <v>2.67</v>
          </cell>
          <cell r="K34">
            <v>0.57999999999999996</v>
          </cell>
          <cell r="L34">
            <v>1</v>
          </cell>
        </row>
        <row r="35">
          <cell r="A35" t="str">
            <v>WEC</v>
          </cell>
          <cell r="B35" t="str">
            <v>WPC</v>
          </cell>
          <cell r="C35" t="str">
            <v>WISCONSIN ENERGY</v>
          </cell>
          <cell r="D35">
            <v>19971218</v>
          </cell>
          <cell r="E35" t="str">
            <v>EPS</v>
          </cell>
          <cell r="F35" t="str">
            <v>LTG</v>
          </cell>
          <cell r="G35">
            <v>0</v>
          </cell>
          <cell r="H35">
            <v>12</v>
          </cell>
          <cell r="I35">
            <v>3</v>
          </cell>
          <cell r="J35">
            <v>3</v>
          </cell>
          <cell r="K35">
            <v>0.95</v>
          </cell>
          <cell r="L35">
            <v>1</v>
          </cell>
        </row>
        <row r="36">
          <cell r="A36" t="str">
            <v>WPS</v>
          </cell>
          <cell r="B36" t="str">
            <v>WPS</v>
          </cell>
          <cell r="C36" t="str">
            <v>WPS RESOURCES CP</v>
          </cell>
          <cell r="D36">
            <v>19971218</v>
          </cell>
          <cell r="E36" t="str">
            <v>EPS</v>
          </cell>
          <cell r="F36" t="str">
            <v>LTG</v>
          </cell>
          <cell r="G36">
            <v>0</v>
          </cell>
          <cell r="H36">
            <v>5</v>
          </cell>
          <cell r="I36">
            <v>2</v>
          </cell>
          <cell r="J36">
            <v>2.52</v>
          </cell>
          <cell r="K36">
            <v>0.74</v>
          </cell>
          <cell r="L36">
            <v>1</v>
          </cell>
        </row>
        <row r="37">
          <cell r="A37" t="str">
            <v>AVA</v>
          </cell>
          <cell r="B37" t="str">
            <v>@AHV</v>
          </cell>
          <cell r="C37" t="str">
            <v>AVA</v>
          </cell>
          <cell r="D37">
            <v>19971218</v>
          </cell>
          <cell r="E37" t="str">
            <v>EPS</v>
          </cell>
          <cell r="F37" t="str">
            <v>LTG</v>
          </cell>
          <cell r="G37">
            <v>0</v>
          </cell>
          <cell r="H37">
            <v>2</v>
          </cell>
          <cell r="I37">
            <v>16.5</v>
          </cell>
          <cell r="J37">
            <v>16.5</v>
          </cell>
          <cell r="K37">
            <v>4.95</v>
          </cell>
          <cell r="L37">
            <v>0</v>
          </cell>
        </row>
        <row r="38">
          <cell r="A38" t="str">
            <v>D</v>
          </cell>
          <cell r="B38" t="str">
            <v>@DLM</v>
          </cell>
          <cell r="C38" t="str">
            <v>DALMINE</v>
          </cell>
          <cell r="D38">
            <v>19971218</v>
          </cell>
          <cell r="E38" t="str">
            <v>EPS</v>
          </cell>
          <cell r="F38" t="str">
            <v>LTG</v>
          </cell>
          <cell r="G38">
            <v>0</v>
          </cell>
          <cell r="H38">
            <v>2</v>
          </cell>
          <cell r="I38">
            <v>66.75</v>
          </cell>
          <cell r="J38">
            <v>66.75</v>
          </cell>
          <cell r="K38">
            <v>47.73</v>
          </cell>
          <cell r="L38">
            <v>0</v>
          </cell>
        </row>
        <row r="39">
          <cell r="A39" t="str">
            <v>DTE</v>
          </cell>
          <cell r="B39" t="str">
            <v>@DT</v>
          </cell>
          <cell r="C39" t="str">
            <v>DEUTSCHE TELEKOM</v>
          </cell>
          <cell r="D39">
            <v>19971218</v>
          </cell>
          <cell r="E39" t="str">
            <v>EPS</v>
          </cell>
          <cell r="F39" t="str">
            <v>LTG</v>
          </cell>
          <cell r="G39">
            <v>0</v>
          </cell>
          <cell r="H39">
            <v>1</v>
          </cell>
          <cell r="I39">
            <v>15</v>
          </cell>
          <cell r="J39">
            <v>15</v>
          </cell>
          <cell r="L39">
            <v>0</v>
          </cell>
        </row>
        <row r="40">
          <cell r="A40" t="str">
            <v>EXC</v>
          </cell>
          <cell r="B40" t="str">
            <v>@EXG</v>
          </cell>
          <cell r="C40" t="str">
            <v>EXCO</v>
          </cell>
          <cell r="D40">
            <v>19971218</v>
          </cell>
          <cell r="E40" t="str">
            <v>EPS</v>
          </cell>
          <cell r="F40" t="str">
            <v>LTG</v>
          </cell>
          <cell r="G40">
            <v>0</v>
          </cell>
          <cell r="H40">
            <v>1</v>
          </cell>
          <cell r="I40">
            <v>-34</v>
          </cell>
          <cell r="J40">
            <v>-34</v>
          </cell>
          <cell r="L40">
            <v>0</v>
          </cell>
        </row>
        <row r="41">
          <cell r="A41" t="str">
            <v>CMS</v>
          </cell>
          <cell r="B41" t="str">
            <v>@HMD</v>
          </cell>
          <cell r="C41" t="str">
            <v>CAHYA MATA SARA.</v>
          </cell>
          <cell r="D41">
            <v>19971218</v>
          </cell>
          <cell r="E41" t="str">
            <v>EPS</v>
          </cell>
          <cell r="F41" t="str">
            <v>LTG</v>
          </cell>
          <cell r="G41">
            <v>0</v>
          </cell>
          <cell r="H41">
            <v>1</v>
          </cell>
          <cell r="I41">
            <v>20</v>
          </cell>
          <cell r="J41">
            <v>20</v>
          </cell>
          <cell r="L41">
            <v>0</v>
          </cell>
        </row>
        <row r="42">
          <cell r="A42" t="str">
            <v>NST</v>
          </cell>
          <cell r="B42" t="str">
            <v>@NST</v>
          </cell>
          <cell r="C42" t="str">
            <v>N. S. TIMES</v>
          </cell>
          <cell r="D42">
            <v>19971218</v>
          </cell>
          <cell r="E42" t="str">
            <v>EPS</v>
          </cell>
          <cell r="F42" t="str">
            <v>LTG</v>
          </cell>
          <cell r="G42">
            <v>0</v>
          </cell>
          <cell r="H42">
            <v>1</v>
          </cell>
          <cell r="I42">
            <v>11</v>
          </cell>
          <cell r="J42">
            <v>11</v>
          </cell>
          <cell r="L42">
            <v>0</v>
          </cell>
        </row>
        <row r="43">
          <cell r="A43" t="str">
            <v>POM</v>
          </cell>
          <cell r="B43" t="str">
            <v>@PO8</v>
          </cell>
          <cell r="C43" t="str">
            <v>PLASTIC OMNIUM</v>
          </cell>
          <cell r="D43">
            <v>19971218</v>
          </cell>
          <cell r="E43" t="str">
            <v>EPS</v>
          </cell>
          <cell r="F43" t="str">
            <v>LTG</v>
          </cell>
          <cell r="G43">
            <v>0</v>
          </cell>
          <cell r="H43">
            <v>1</v>
          </cell>
          <cell r="I43">
            <v>10</v>
          </cell>
          <cell r="J43">
            <v>10</v>
          </cell>
          <cell r="L43">
            <v>0</v>
          </cell>
        </row>
        <row r="44">
          <cell r="A44" t="str">
            <v>POR</v>
          </cell>
          <cell r="B44" t="str">
            <v>@PS</v>
          </cell>
          <cell r="C44" t="str">
            <v>PORST HLDG B</v>
          </cell>
          <cell r="D44">
            <v>19971218</v>
          </cell>
          <cell r="E44" t="str">
            <v>EPS</v>
          </cell>
          <cell r="F44" t="str">
            <v>LTG</v>
          </cell>
          <cell r="G44">
            <v>0</v>
          </cell>
          <cell r="H44">
            <v>1</v>
          </cell>
          <cell r="I44">
            <v>7.5</v>
          </cell>
          <cell r="J44">
            <v>7.5</v>
          </cell>
          <cell r="L44">
            <v>0</v>
          </cell>
        </row>
        <row r="45">
          <cell r="A45" t="str">
            <v>SO</v>
          </cell>
          <cell r="B45" t="str">
            <v>@SOM</v>
          </cell>
          <cell r="C45" t="str">
            <v>SOMMER-ALLIBERT</v>
          </cell>
          <cell r="D45">
            <v>19971218</v>
          </cell>
          <cell r="E45" t="str">
            <v>EPS</v>
          </cell>
          <cell r="F45" t="str">
            <v>LTG</v>
          </cell>
          <cell r="G45">
            <v>0</v>
          </cell>
          <cell r="H45">
            <v>3</v>
          </cell>
          <cell r="I45">
            <v>17.2</v>
          </cell>
          <cell r="J45">
            <v>16.399999999999999</v>
          </cell>
          <cell r="K45">
            <v>9.0299999999999994</v>
          </cell>
          <cell r="L45">
            <v>0</v>
          </cell>
        </row>
        <row r="46">
          <cell r="A46" t="str">
            <v>CIN</v>
          </cell>
          <cell r="B46" t="str">
            <v>@YYN</v>
          </cell>
          <cell r="C46" t="str">
            <v>CIN</v>
          </cell>
          <cell r="D46">
            <v>19971218</v>
          </cell>
          <cell r="E46" t="str">
            <v>EPS</v>
          </cell>
          <cell r="F46" t="str">
            <v>LTG</v>
          </cell>
          <cell r="G46">
            <v>0</v>
          </cell>
          <cell r="H46">
            <v>1</v>
          </cell>
          <cell r="I46">
            <v>21</v>
          </cell>
          <cell r="J46">
            <v>21</v>
          </cell>
          <cell r="L46">
            <v>0</v>
          </cell>
        </row>
      </sheetData>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h1hoozgudibeavg"/>
    </sheetNames>
    <sheetDataSet>
      <sheetData sheetId="0">
        <row r="1">
          <cell r="B1" t="str">
            <v>Official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Forecast Period End Date (SAS Format)</v>
          </cell>
          <cell r="M1" t="str">
            <v>Actual Value, from the Detail Actuals File</v>
          </cell>
          <cell r="N1" t="str">
            <v>Announce date of the Actual, from the Detail Actuals File</v>
          </cell>
        </row>
        <row r="2">
          <cell r="B2" t="str">
            <v>ATG</v>
          </cell>
          <cell r="C2" t="str">
            <v>AGL RESOURCES</v>
          </cell>
          <cell r="D2">
            <v>35782</v>
          </cell>
          <cell r="E2" t="str">
            <v>EPS</v>
          </cell>
          <cell r="F2" t="str">
            <v>ANN</v>
          </cell>
          <cell r="G2" t="str">
            <v>1</v>
          </cell>
          <cell r="H2">
            <v>12</v>
          </cell>
          <cell r="I2">
            <v>1.33</v>
          </cell>
          <cell r="J2">
            <v>1.37</v>
          </cell>
          <cell r="K2">
            <v>0.12</v>
          </cell>
          <cell r="L2">
            <v>36068</v>
          </cell>
          <cell r="M2">
            <v>1.41</v>
          </cell>
          <cell r="N2">
            <v>36105</v>
          </cell>
        </row>
        <row r="3">
          <cell r="B3" t="str">
            <v>KSE</v>
          </cell>
          <cell r="C3" t="str">
            <v>KEYSPAN ENERGY</v>
          </cell>
          <cell r="D3">
            <v>35782</v>
          </cell>
          <cell r="E3" t="str">
            <v>EPS</v>
          </cell>
          <cell r="F3" t="str">
            <v>ANN</v>
          </cell>
          <cell r="G3" t="str">
            <v>1</v>
          </cell>
          <cell r="H3">
            <v>9</v>
          </cell>
          <cell r="I3">
            <v>2.25</v>
          </cell>
          <cell r="J3">
            <v>2.2599999999999998</v>
          </cell>
          <cell r="K3">
            <v>7.0000000000000007E-2</v>
          </cell>
          <cell r="L3">
            <v>36068</v>
          </cell>
        </row>
        <row r="4">
          <cell r="B4" t="str">
            <v>CGC</v>
          </cell>
          <cell r="C4" t="str">
            <v>CASCADE NAT GAS</v>
          </cell>
          <cell r="D4">
            <v>35782</v>
          </cell>
          <cell r="E4" t="str">
            <v>EPS</v>
          </cell>
          <cell r="F4" t="str">
            <v>ANN</v>
          </cell>
          <cell r="G4" t="str">
            <v>1</v>
          </cell>
          <cell r="H4">
            <v>4</v>
          </cell>
          <cell r="I4">
            <v>1.0900000000000001</v>
          </cell>
          <cell r="J4">
            <v>1.0900000000000001</v>
          </cell>
          <cell r="K4">
            <v>0.05</v>
          </cell>
          <cell r="L4">
            <v>36068</v>
          </cell>
          <cell r="M4">
            <v>0.84</v>
          </cell>
          <cell r="N4">
            <v>36104</v>
          </cell>
        </row>
        <row r="5">
          <cell r="B5" t="str">
            <v>ATO</v>
          </cell>
          <cell r="C5" t="str">
            <v>ATMOS ENERGY CP</v>
          </cell>
          <cell r="D5">
            <v>35782</v>
          </cell>
          <cell r="E5" t="str">
            <v>EPS</v>
          </cell>
          <cell r="F5" t="str">
            <v>ANN</v>
          </cell>
          <cell r="G5" t="str">
            <v>1</v>
          </cell>
          <cell r="H5">
            <v>11</v>
          </cell>
          <cell r="I5">
            <v>1.7</v>
          </cell>
          <cell r="J5">
            <v>1.71</v>
          </cell>
          <cell r="K5">
            <v>0.06</v>
          </cell>
          <cell r="L5">
            <v>36068</v>
          </cell>
          <cell r="M5">
            <v>1.84</v>
          </cell>
          <cell r="N5">
            <v>36110</v>
          </cell>
        </row>
        <row r="6">
          <cell r="B6" t="str">
            <v>GAS</v>
          </cell>
          <cell r="C6" t="str">
            <v>NICOR INC</v>
          </cell>
          <cell r="D6">
            <v>35782</v>
          </cell>
          <cell r="E6" t="str">
            <v>EPS</v>
          </cell>
          <cell r="F6" t="str">
            <v>ANN</v>
          </cell>
          <cell r="G6" t="str">
            <v>1</v>
          </cell>
          <cell r="H6">
            <v>9</v>
          </cell>
          <cell r="I6">
            <v>2.5499999999999998</v>
          </cell>
          <cell r="J6">
            <v>2.56</v>
          </cell>
          <cell r="K6">
            <v>0.04</v>
          </cell>
          <cell r="L6">
            <v>35795</v>
          </cell>
          <cell r="M6">
            <v>2.62</v>
          </cell>
          <cell r="N6">
            <v>35822</v>
          </cell>
        </row>
        <row r="7">
          <cell r="B7" t="str">
            <v>LG</v>
          </cell>
          <cell r="C7" t="str">
            <v>LACLEDE GAS</v>
          </cell>
          <cell r="D7">
            <v>35782</v>
          </cell>
          <cell r="E7" t="str">
            <v>EPS</v>
          </cell>
          <cell r="F7" t="str">
            <v>ANN</v>
          </cell>
          <cell r="G7" t="str">
            <v>1</v>
          </cell>
          <cell r="H7">
            <v>2</v>
          </cell>
          <cell r="I7">
            <v>1.77</v>
          </cell>
          <cell r="J7">
            <v>1.77</v>
          </cell>
          <cell r="K7">
            <v>0.04</v>
          </cell>
          <cell r="L7">
            <v>36068</v>
          </cell>
          <cell r="M7">
            <v>1.59</v>
          </cell>
          <cell r="N7">
            <v>36097</v>
          </cell>
        </row>
        <row r="8">
          <cell r="B8" t="str">
            <v>NI</v>
          </cell>
          <cell r="C8" t="str">
            <v>NIPSCO IND INC</v>
          </cell>
          <cell r="D8">
            <v>35782</v>
          </cell>
          <cell r="E8" t="str">
            <v>EPS</v>
          </cell>
          <cell r="F8" t="str">
            <v>ANN</v>
          </cell>
          <cell r="G8" t="str">
            <v>1</v>
          </cell>
          <cell r="H8">
            <v>21</v>
          </cell>
          <cell r="I8">
            <v>1.52</v>
          </cell>
          <cell r="J8">
            <v>1.52</v>
          </cell>
          <cell r="K8">
            <v>0.02</v>
          </cell>
          <cell r="L8">
            <v>35795</v>
          </cell>
          <cell r="M8">
            <v>1.5349999999999999</v>
          </cell>
          <cell r="N8">
            <v>35824</v>
          </cell>
        </row>
        <row r="9">
          <cell r="B9" t="str">
            <v>NJR</v>
          </cell>
          <cell r="C9" t="str">
            <v>NEW JERSEY RES</v>
          </cell>
          <cell r="D9">
            <v>35782</v>
          </cell>
          <cell r="E9" t="str">
            <v>EPS</v>
          </cell>
          <cell r="F9" t="str">
            <v>ANN</v>
          </cell>
          <cell r="G9" t="str">
            <v>1</v>
          </cell>
          <cell r="H9">
            <v>5</v>
          </cell>
          <cell r="I9">
            <v>0.52</v>
          </cell>
          <cell r="J9">
            <v>0.51</v>
          </cell>
          <cell r="K9">
            <v>0.01</v>
          </cell>
          <cell r="L9">
            <v>36068</v>
          </cell>
          <cell r="M9">
            <v>0.51780000000000004</v>
          </cell>
          <cell r="N9">
            <v>36096</v>
          </cell>
        </row>
        <row r="10">
          <cell r="B10" t="str">
            <v>PNY</v>
          </cell>
          <cell r="C10" t="str">
            <v>PIEDMONT NAT GAS</v>
          </cell>
          <cell r="D10">
            <v>35782</v>
          </cell>
          <cell r="E10" t="str">
            <v>EPS</v>
          </cell>
          <cell r="F10" t="str">
            <v>ANN</v>
          </cell>
          <cell r="G10" t="str">
            <v>1</v>
          </cell>
          <cell r="H10">
            <v>7</v>
          </cell>
          <cell r="I10">
            <v>0.94</v>
          </cell>
          <cell r="J10">
            <v>0.95</v>
          </cell>
          <cell r="K10">
            <v>0.02</v>
          </cell>
          <cell r="L10">
            <v>36099</v>
          </cell>
          <cell r="M10">
            <v>0.99</v>
          </cell>
          <cell r="N10">
            <v>36133</v>
          </cell>
        </row>
        <row r="11">
          <cell r="B11" t="str">
            <v>SJI</v>
          </cell>
          <cell r="C11" t="str">
            <v>SO JERSEY INDS</v>
          </cell>
          <cell r="D11">
            <v>35782</v>
          </cell>
          <cell r="E11" t="str">
            <v>EPS</v>
          </cell>
          <cell r="F11" t="str">
            <v>ANN</v>
          </cell>
          <cell r="G11" t="str">
            <v>1</v>
          </cell>
          <cell r="H11">
            <v>2</v>
          </cell>
          <cell r="I11">
            <v>0.42</v>
          </cell>
          <cell r="J11">
            <v>0.42</v>
          </cell>
          <cell r="K11">
            <v>0</v>
          </cell>
          <cell r="L11">
            <v>35795</v>
          </cell>
          <cell r="M11">
            <v>0.42249999999999999</v>
          </cell>
          <cell r="N11">
            <v>35821</v>
          </cell>
        </row>
        <row r="12">
          <cell r="B12" t="str">
            <v>SWX</v>
          </cell>
          <cell r="C12" t="str">
            <v>SOUTHWEST GAS</v>
          </cell>
          <cell r="D12">
            <v>35782</v>
          </cell>
          <cell r="E12" t="str">
            <v>EPS</v>
          </cell>
          <cell r="F12" t="str">
            <v>ANN</v>
          </cell>
          <cell r="G12" t="str">
            <v>1</v>
          </cell>
          <cell r="H12">
            <v>6</v>
          </cell>
          <cell r="I12">
            <v>0.7</v>
          </cell>
          <cell r="J12">
            <v>0.75</v>
          </cell>
          <cell r="K12">
            <v>0.19</v>
          </cell>
          <cell r="L12">
            <v>35795</v>
          </cell>
          <cell r="M12">
            <v>0.76</v>
          </cell>
          <cell r="N12">
            <v>35836</v>
          </cell>
        </row>
        <row r="13">
          <cell r="B13" t="str">
            <v>WGL</v>
          </cell>
          <cell r="C13" t="str">
            <v>WASH GAS LT</v>
          </cell>
          <cell r="D13">
            <v>35782</v>
          </cell>
          <cell r="E13" t="str">
            <v>EPS</v>
          </cell>
          <cell r="F13" t="str">
            <v>ANN</v>
          </cell>
          <cell r="G13" t="str">
            <v>1</v>
          </cell>
          <cell r="H13">
            <v>11</v>
          </cell>
          <cell r="I13">
            <v>1.9</v>
          </cell>
          <cell r="J13">
            <v>1.9</v>
          </cell>
          <cell r="K13">
            <v>7.0000000000000007E-2</v>
          </cell>
          <cell r="L13">
            <v>36068</v>
          </cell>
          <cell r="M13">
            <v>1.6</v>
          </cell>
          <cell r="N13">
            <v>36096</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RDS"/>
    </sheetNames>
    <sheetDataSet>
      <sheetData sheetId="0">
        <row r="1">
          <cell r="A1" t="str">
            <v>OFTIC</v>
          </cell>
          <cell r="B1" t="str">
            <v>IBES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USFIRM=0 if from .INT file and USFIRM=1 if from .US file</v>
          </cell>
          <cell r="L1" t="str">
            <v>Forecast Period End Date (SAS Format)</v>
          </cell>
          <cell r="M1" t="str">
            <v>Actual Value, from the Detail Actuals File</v>
          </cell>
          <cell r="N1" t="str">
            <v>Announce date of the Actual, from the Detail Actuals File</v>
          </cell>
        </row>
        <row r="2">
          <cell r="A2" t="str">
            <v>PGN</v>
          </cell>
          <cell r="B2">
            <v>80</v>
          </cell>
          <cell r="C2" t="str">
            <v>PARAGN OFFSHR</v>
          </cell>
          <cell r="D2">
            <v>20151217</v>
          </cell>
          <cell r="E2" t="str">
            <v>EPS</v>
          </cell>
          <cell r="F2" t="str">
            <v>ANN</v>
          </cell>
          <cell r="G2">
            <v>1</v>
          </cell>
          <cell r="H2">
            <v>2</v>
          </cell>
          <cell r="I2">
            <v>0.75</v>
          </cell>
          <cell r="J2">
            <v>0.75</v>
          </cell>
          <cell r="K2">
            <v>1</v>
          </cell>
          <cell r="L2">
            <v>20151231</v>
          </cell>
          <cell r="M2">
            <v>1.04</v>
          </cell>
          <cell r="N2">
            <v>20160310</v>
          </cell>
        </row>
        <row r="3">
          <cell r="A3" t="str">
            <v>PNW</v>
          </cell>
          <cell r="B3" t="str">
            <v>AZP</v>
          </cell>
          <cell r="C3" t="str">
            <v>PINNACLE WEST</v>
          </cell>
          <cell r="D3">
            <v>20151217</v>
          </cell>
          <cell r="E3" t="str">
            <v>EPS</v>
          </cell>
          <cell r="F3" t="str">
            <v>ANN</v>
          </cell>
          <cell r="G3">
            <v>1</v>
          </cell>
          <cell r="H3">
            <v>16</v>
          </cell>
          <cell r="I3">
            <v>3.79</v>
          </cell>
          <cell r="J3">
            <v>3.79</v>
          </cell>
          <cell r="K3">
            <v>1</v>
          </cell>
          <cell r="L3">
            <v>20151231</v>
          </cell>
          <cell r="M3">
            <v>3.92</v>
          </cell>
          <cell r="N3">
            <v>20160219</v>
          </cell>
        </row>
        <row r="4">
          <cell r="A4" t="str">
            <v>BKH</v>
          </cell>
          <cell r="B4" t="str">
            <v>BHP</v>
          </cell>
          <cell r="C4" t="str">
            <v>BLACK HILLS CP</v>
          </cell>
          <cell r="D4">
            <v>20151217</v>
          </cell>
          <cell r="E4" t="str">
            <v>EPS</v>
          </cell>
          <cell r="F4" t="str">
            <v>ANN</v>
          </cell>
          <cell r="G4">
            <v>1</v>
          </cell>
          <cell r="H4">
            <v>4</v>
          </cell>
          <cell r="I4">
            <v>3</v>
          </cell>
          <cell r="J4">
            <v>2.98</v>
          </cell>
          <cell r="K4">
            <v>1</v>
          </cell>
          <cell r="L4">
            <v>20151231</v>
          </cell>
          <cell r="M4">
            <v>2.98</v>
          </cell>
          <cell r="N4">
            <v>20160202</v>
          </cell>
        </row>
        <row r="5">
          <cell r="A5" t="str">
            <v>CMS</v>
          </cell>
          <cell r="B5" t="str">
            <v>CMS</v>
          </cell>
          <cell r="C5" t="str">
            <v>CMS ENERGY</v>
          </cell>
          <cell r="D5">
            <v>20151217</v>
          </cell>
          <cell r="E5" t="str">
            <v>EPS</v>
          </cell>
          <cell r="F5" t="str">
            <v>ANN</v>
          </cell>
          <cell r="G5">
            <v>1</v>
          </cell>
          <cell r="H5">
            <v>16</v>
          </cell>
          <cell r="I5">
            <v>1.89</v>
          </cell>
          <cell r="J5">
            <v>1.89</v>
          </cell>
          <cell r="K5">
            <v>1</v>
          </cell>
          <cell r="L5">
            <v>20151231</v>
          </cell>
          <cell r="M5">
            <v>1.89</v>
          </cell>
          <cell r="N5">
            <v>20160204</v>
          </cell>
        </row>
        <row r="6">
          <cell r="A6" t="str">
            <v>CNL</v>
          </cell>
          <cell r="B6" t="str">
            <v>CNL</v>
          </cell>
          <cell r="C6" t="str">
            <v>CLECO CORP</v>
          </cell>
          <cell r="D6">
            <v>20151217</v>
          </cell>
          <cell r="E6" t="str">
            <v>EPS</v>
          </cell>
          <cell r="F6" t="str">
            <v>ANN</v>
          </cell>
          <cell r="G6">
            <v>1</v>
          </cell>
          <cell r="H6">
            <v>3</v>
          </cell>
          <cell r="I6">
            <v>2.38</v>
          </cell>
          <cell r="J6">
            <v>2.41</v>
          </cell>
          <cell r="K6">
            <v>1</v>
          </cell>
          <cell r="L6">
            <v>20151231</v>
          </cell>
          <cell r="M6">
            <v>2.29</v>
          </cell>
          <cell r="N6">
            <v>20160226</v>
          </cell>
        </row>
        <row r="7">
          <cell r="A7" t="str">
            <v>D</v>
          </cell>
          <cell r="B7" t="str">
            <v>D</v>
          </cell>
          <cell r="C7" t="str">
            <v>DOMINION RESOURC</v>
          </cell>
          <cell r="D7">
            <v>20151217</v>
          </cell>
          <cell r="E7" t="str">
            <v>EPS</v>
          </cell>
          <cell r="F7" t="str">
            <v>ANN</v>
          </cell>
          <cell r="G7">
            <v>1</v>
          </cell>
          <cell r="H7">
            <v>24</v>
          </cell>
          <cell r="I7">
            <v>3.66</v>
          </cell>
          <cell r="J7">
            <v>3.64</v>
          </cell>
          <cell r="K7">
            <v>1</v>
          </cell>
          <cell r="L7">
            <v>20151231</v>
          </cell>
          <cell r="M7">
            <v>3.44</v>
          </cell>
          <cell r="N7">
            <v>20160201</v>
          </cell>
        </row>
        <row r="8">
          <cell r="A8" t="str">
            <v>DTE</v>
          </cell>
          <cell r="B8" t="str">
            <v>DTE</v>
          </cell>
          <cell r="C8" t="str">
            <v>DTE ENERGY</v>
          </cell>
          <cell r="D8">
            <v>20151217</v>
          </cell>
          <cell r="E8" t="str">
            <v>EPS</v>
          </cell>
          <cell r="F8" t="str">
            <v>ANN</v>
          </cell>
          <cell r="G8">
            <v>1</v>
          </cell>
          <cell r="H8">
            <v>14</v>
          </cell>
          <cell r="I8">
            <v>4.8</v>
          </cell>
          <cell r="J8">
            <v>4.8</v>
          </cell>
          <cell r="K8">
            <v>1</v>
          </cell>
          <cell r="L8">
            <v>20151231</v>
          </cell>
          <cell r="M8">
            <v>4.82</v>
          </cell>
          <cell r="N8">
            <v>20160210</v>
          </cell>
        </row>
        <row r="9">
          <cell r="A9" t="str">
            <v>DUK</v>
          </cell>
          <cell r="B9" t="str">
            <v>DUK</v>
          </cell>
          <cell r="C9" t="str">
            <v>DUKE ENERGY</v>
          </cell>
          <cell r="D9">
            <v>20151217</v>
          </cell>
          <cell r="E9" t="str">
            <v>EPS</v>
          </cell>
          <cell r="F9" t="str">
            <v>ANN</v>
          </cell>
          <cell r="G9">
            <v>1</v>
          </cell>
          <cell r="H9">
            <v>23</v>
          </cell>
          <cell r="I9">
            <v>4.59</v>
          </cell>
          <cell r="J9">
            <v>4.58</v>
          </cell>
          <cell r="K9">
            <v>1</v>
          </cell>
          <cell r="L9">
            <v>20151231</v>
          </cell>
          <cell r="M9">
            <v>4.54</v>
          </cell>
          <cell r="N9">
            <v>20160218</v>
          </cell>
        </row>
        <row r="10">
          <cell r="A10" t="str">
            <v>ED</v>
          </cell>
          <cell r="B10" t="str">
            <v>ED</v>
          </cell>
          <cell r="C10" t="str">
            <v>CONSOLIDATED EDI</v>
          </cell>
          <cell r="D10">
            <v>20151217</v>
          </cell>
          <cell r="E10" t="str">
            <v>EPS</v>
          </cell>
          <cell r="F10" t="str">
            <v>ANN</v>
          </cell>
          <cell r="G10">
            <v>1</v>
          </cell>
          <cell r="H10">
            <v>16</v>
          </cell>
          <cell r="I10">
            <v>4</v>
          </cell>
          <cell r="J10">
            <v>4.01</v>
          </cell>
          <cell r="K10">
            <v>1</v>
          </cell>
          <cell r="L10">
            <v>20151231</v>
          </cell>
          <cell r="M10">
            <v>4.08</v>
          </cell>
          <cell r="N10">
            <v>20160218</v>
          </cell>
        </row>
        <row r="11">
          <cell r="A11" t="str">
            <v>EDE</v>
          </cell>
          <cell r="B11" t="str">
            <v>EDE</v>
          </cell>
          <cell r="C11" t="str">
            <v>EMPIRE DIST ELEC</v>
          </cell>
          <cell r="D11">
            <v>20151217</v>
          </cell>
          <cell r="E11" t="str">
            <v>EPS</v>
          </cell>
          <cell r="F11" t="str">
            <v>ANN</v>
          </cell>
          <cell r="G11">
            <v>1</v>
          </cell>
          <cell r="H11">
            <v>5</v>
          </cell>
          <cell r="I11">
            <v>1.4</v>
          </cell>
          <cell r="J11">
            <v>1.39</v>
          </cell>
          <cell r="K11">
            <v>1</v>
          </cell>
          <cell r="L11">
            <v>20151231</v>
          </cell>
          <cell r="M11">
            <v>1.29</v>
          </cell>
          <cell r="N11">
            <v>20160204</v>
          </cell>
        </row>
        <row r="12">
          <cell r="A12" t="str">
            <v>NEE</v>
          </cell>
          <cell r="B12" t="str">
            <v>FPL</v>
          </cell>
          <cell r="C12" t="str">
            <v>NEXTERA ENER</v>
          </cell>
          <cell r="D12">
            <v>20151217</v>
          </cell>
          <cell r="E12" t="str">
            <v>EPS</v>
          </cell>
          <cell r="F12" t="str">
            <v>ANN</v>
          </cell>
          <cell r="G12">
            <v>1</v>
          </cell>
          <cell r="H12">
            <v>22</v>
          </cell>
          <cell r="I12">
            <v>1.41</v>
          </cell>
          <cell r="J12">
            <v>1.41</v>
          </cell>
          <cell r="K12">
            <v>1</v>
          </cell>
          <cell r="L12">
            <v>20151231</v>
          </cell>
          <cell r="M12">
            <v>1.4275</v>
          </cell>
          <cell r="N12">
            <v>20160128</v>
          </cell>
        </row>
        <row r="13">
          <cell r="A13" t="str">
            <v>HE</v>
          </cell>
          <cell r="B13" t="str">
            <v>HE</v>
          </cell>
          <cell r="C13" t="str">
            <v>HAWAIIAN ELEC</v>
          </cell>
          <cell r="D13">
            <v>20151217</v>
          </cell>
          <cell r="E13" t="str">
            <v>EPS</v>
          </cell>
          <cell r="F13" t="str">
            <v>ANN</v>
          </cell>
          <cell r="G13">
            <v>1</v>
          </cell>
          <cell r="H13">
            <v>4</v>
          </cell>
          <cell r="I13">
            <v>1.63</v>
          </cell>
          <cell r="J13">
            <v>1.63</v>
          </cell>
          <cell r="K13">
            <v>1</v>
          </cell>
          <cell r="L13">
            <v>20151231</v>
          </cell>
          <cell r="M13">
            <v>1.65</v>
          </cell>
          <cell r="N13">
            <v>20160211</v>
          </cell>
        </row>
        <row r="14">
          <cell r="A14" t="str">
            <v>CNP</v>
          </cell>
          <cell r="B14" t="str">
            <v>HOU</v>
          </cell>
          <cell r="C14" t="str">
            <v>CENTERPNT ENERGY</v>
          </cell>
          <cell r="D14">
            <v>20151217</v>
          </cell>
          <cell r="E14" t="str">
            <v>EPS</v>
          </cell>
          <cell r="F14" t="str">
            <v>ANN</v>
          </cell>
          <cell r="G14">
            <v>1</v>
          </cell>
          <cell r="H14">
            <v>15</v>
          </cell>
          <cell r="I14">
            <v>1.07</v>
          </cell>
          <cell r="J14">
            <v>1.06</v>
          </cell>
          <cell r="K14">
            <v>1</v>
          </cell>
          <cell r="L14">
            <v>20151231</v>
          </cell>
          <cell r="M14">
            <v>1.1000000000000001</v>
          </cell>
          <cell r="N14">
            <v>20160226</v>
          </cell>
        </row>
        <row r="15">
          <cell r="A15" t="str">
            <v>IDA</v>
          </cell>
          <cell r="B15" t="str">
            <v>IDA</v>
          </cell>
          <cell r="C15" t="str">
            <v>IDACORP INC.</v>
          </cell>
          <cell r="D15">
            <v>20151217</v>
          </cell>
          <cell r="E15" t="str">
            <v>EPS</v>
          </cell>
          <cell r="F15" t="str">
            <v>ANN</v>
          </cell>
          <cell r="G15">
            <v>1</v>
          </cell>
          <cell r="H15">
            <v>3</v>
          </cell>
          <cell r="I15">
            <v>3.85</v>
          </cell>
          <cell r="J15">
            <v>3.86</v>
          </cell>
          <cell r="K15">
            <v>1</v>
          </cell>
          <cell r="L15">
            <v>20151231</v>
          </cell>
          <cell r="M15">
            <v>3.87</v>
          </cell>
          <cell r="N15">
            <v>20160218</v>
          </cell>
        </row>
        <row r="16">
          <cell r="A16" t="str">
            <v>WR</v>
          </cell>
          <cell r="B16" t="str">
            <v>KAN</v>
          </cell>
          <cell r="C16" t="str">
            <v>WESTAR ENERGY</v>
          </cell>
          <cell r="D16">
            <v>20151217</v>
          </cell>
          <cell r="E16" t="str">
            <v>EPS</v>
          </cell>
          <cell r="F16" t="str">
            <v>ANN</v>
          </cell>
          <cell r="G16">
            <v>1</v>
          </cell>
          <cell r="H16">
            <v>12</v>
          </cell>
          <cell r="I16">
            <v>2.21</v>
          </cell>
          <cell r="J16">
            <v>2.2200000000000002</v>
          </cell>
          <cell r="K16">
            <v>1</v>
          </cell>
          <cell r="L16">
            <v>20151231</v>
          </cell>
          <cell r="M16">
            <v>2.09</v>
          </cell>
          <cell r="N16">
            <v>20160224</v>
          </cell>
        </row>
        <row r="17">
          <cell r="A17" t="str">
            <v>GXP</v>
          </cell>
          <cell r="B17" t="str">
            <v>KLT</v>
          </cell>
          <cell r="C17" t="str">
            <v>GREAT PLAINS</v>
          </cell>
          <cell r="D17">
            <v>20151217</v>
          </cell>
          <cell r="E17" t="str">
            <v>EPS</v>
          </cell>
          <cell r="F17" t="str">
            <v>ANN</v>
          </cell>
          <cell r="G17">
            <v>1</v>
          </cell>
          <cell r="H17">
            <v>12</v>
          </cell>
          <cell r="I17">
            <v>1.4</v>
          </cell>
          <cell r="J17">
            <v>1.4</v>
          </cell>
          <cell r="K17">
            <v>1</v>
          </cell>
          <cell r="L17">
            <v>20151231</v>
          </cell>
          <cell r="M17">
            <v>1.37</v>
          </cell>
          <cell r="N17">
            <v>20160224</v>
          </cell>
        </row>
        <row r="18">
          <cell r="A18" t="str">
            <v>MGEE</v>
          </cell>
          <cell r="B18" t="str">
            <v>MDSN</v>
          </cell>
          <cell r="C18" t="str">
            <v>MGE ENERGY INC</v>
          </cell>
          <cell r="D18">
            <v>20151217</v>
          </cell>
          <cell r="E18" t="str">
            <v>EPS</v>
          </cell>
          <cell r="F18" t="str">
            <v>ANN</v>
          </cell>
          <cell r="G18">
            <v>1</v>
          </cell>
          <cell r="H18">
            <v>2</v>
          </cell>
          <cell r="I18">
            <v>2.2200000000000002</v>
          </cell>
          <cell r="J18">
            <v>2.2200000000000002</v>
          </cell>
          <cell r="K18">
            <v>1</v>
          </cell>
          <cell r="L18">
            <v>20151231</v>
          </cell>
          <cell r="M18">
            <v>2.06</v>
          </cell>
          <cell r="N18">
            <v>20160225</v>
          </cell>
        </row>
        <row r="19">
          <cell r="A19" t="str">
            <v>ALE</v>
          </cell>
          <cell r="B19" t="str">
            <v>MPL</v>
          </cell>
          <cell r="C19" t="str">
            <v>ALLETE INC</v>
          </cell>
          <cell r="D19">
            <v>20151217</v>
          </cell>
          <cell r="E19" t="str">
            <v>EPS</v>
          </cell>
          <cell r="F19" t="str">
            <v>ANN</v>
          </cell>
          <cell r="G19">
            <v>1</v>
          </cell>
          <cell r="H19">
            <v>4</v>
          </cell>
          <cell r="I19">
            <v>3.43</v>
          </cell>
          <cell r="J19">
            <v>3.34</v>
          </cell>
          <cell r="K19">
            <v>1</v>
          </cell>
          <cell r="L19">
            <v>20151231</v>
          </cell>
          <cell r="M19">
            <v>3.06</v>
          </cell>
          <cell r="N19">
            <v>20160218</v>
          </cell>
        </row>
        <row r="20">
          <cell r="A20" t="str">
            <v>ETR</v>
          </cell>
          <cell r="B20" t="str">
            <v>MSU</v>
          </cell>
          <cell r="C20" t="str">
            <v>ENTERGY</v>
          </cell>
          <cell r="D20">
            <v>20151217</v>
          </cell>
          <cell r="E20" t="str">
            <v>EPS</v>
          </cell>
          <cell r="F20" t="str">
            <v>ANN</v>
          </cell>
          <cell r="G20">
            <v>1</v>
          </cell>
          <cell r="H20">
            <v>20</v>
          </cell>
          <cell r="I20">
            <v>5.91</v>
          </cell>
          <cell r="J20">
            <v>5.82</v>
          </cell>
          <cell r="K20">
            <v>1</v>
          </cell>
          <cell r="L20">
            <v>20151231</v>
          </cell>
          <cell r="M20">
            <v>6</v>
          </cell>
          <cell r="N20">
            <v>20160218</v>
          </cell>
        </row>
        <row r="21">
          <cell r="A21" t="str">
            <v>XEL</v>
          </cell>
          <cell r="B21" t="str">
            <v>NSP</v>
          </cell>
          <cell r="C21" t="str">
            <v>XCEL ENERGY</v>
          </cell>
          <cell r="D21">
            <v>20151217</v>
          </cell>
          <cell r="E21" t="str">
            <v>EPS</v>
          </cell>
          <cell r="F21" t="str">
            <v>ANN</v>
          </cell>
          <cell r="G21">
            <v>1</v>
          </cell>
          <cell r="H21">
            <v>16</v>
          </cell>
          <cell r="I21">
            <v>2.1</v>
          </cell>
          <cell r="J21">
            <v>2.1</v>
          </cell>
          <cell r="K21">
            <v>1</v>
          </cell>
          <cell r="L21">
            <v>20151231</v>
          </cell>
          <cell r="M21">
            <v>2.09</v>
          </cell>
          <cell r="N21">
            <v>20160128</v>
          </cell>
        </row>
        <row r="22">
          <cell r="A22" t="str">
            <v>NWE</v>
          </cell>
          <cell r="B22" t="str">
            <v>NWPS</v>
          </cell>
          <cell r="C22" t="str">
            <v>NORTHWESTERN US</v>
          </cell>
          <cell r="D22">
            <v>20151217</v>
          </cell>
          <cell r="E22" t="str">
            <v>EPS</v>
          </cell>
          <cell r="F22" t="str">
            <v>ANN</v>
          </cell>
          <cell r="G22">
            <v>1</v>
          </cell>
          <cell r="H22">
            <v>6</v>
          </cell>
          <cell r="I22">
            <v>3.12</v>
          </cell>
          <cell r="J22">
            <v>3.13</v>
          </cell>
          <cell r="K22">
            <v>1</v>
          </cell>
          <cell r="L22">
            <v>20151231</v>
          </cell>
          <cell r="M22">
            <v>3.15</v>
          </cell>
          <cell r="N22">
            <v>20160211</v>
          </cell>
        </row>
        <row r="23">
          <cell r="A23" t="str">
            <v>FE</v>
          </cell>
          <cell r="B23" t="str">
            <v>OEC</v>
          </cell>
          <cell r="C23" t="str">
            <v>FIRSTENERGY</v>
          </cell>
          <cell r="D23">
            <v>20151217</v>
          </cell>
          <cell r="E23" t="str">
            <v>EPS</v>
          </cell>
          <cell r="F23" t="str">
            <v>ANN</v>
          </cell>
          <cell r="G23">
            <v>1</v>
          </cell>
          <cell r="H23">
            <v>22</v>
          </cell>
          <cell r="I23">
            <v>2.71</v>
          </cell>
          <cell r="J23">
            <v>2.71</v>
          </cell>
          <cell r="K23">
            <v>1</v>
          </cell>
          <cell r="L23">
            <v>20151231</v>
          </cell>
          <cell r="M23">
            <v>2.71</v>
          </cell>
          <cell r="N23">
            <v>20160216</v>
          </cell>
        </row>
        <row r="24">
          <cell r="A24" t="str">
            <v>OGE</v>
          </cell>
          <cell r="B24" t="str">
            <v>OGE</v>
          </cell>
          <cell r="C24" t="str">
            <v>OGE ENERGY CORP</v>
          </cell>
          <cell r="D24">
            <v>20151217</v>
          </cell>
          <cell r="E24" t="str">
            <v>EPS</v>
          </cell>
          <cell r="F24" t="str">
            <v>ANN</v>
          </cell>
          <cell r="G24">
            <v>1</v>
          </cell>
          <cell r="H24">
            <v>10</v>
          </cell>
          <cell r="I24">
            <v>1.8</v>
          </cell>
          <cell r="J24">
            <v>1.84</v>
          </cell>
          <cell r="K24">
            <v>1</v>
          </cell>
          <cell r="L24">
            <v>20151231</v>
          </cell>
          <cell r="M24">
            <v>1.36</v>
          </cell>
          <cell r="N24">
            <v>20160226</v>
          </cell>
        </row>
        <row r="25">
          <cell r="A25" t="str">
            <v>OTTR</v>
          </cell>
          <cell r="B25" t="str">
            <v>OTTR</v>
          </cell>
          <cell r="C25" t="str">
            <v>OTTER TAIL</v>
          </cell>
          <cell r="D25">
            <v>20151217</v>
          </cell>
          <cell r="E25" t="str">
            <v>EPS</v>
          </cell>
          <cell r="F25" t="str">
            <v>ANN</v>
          </cell>
          <cell r="G25">
            <v>1</v>
          </cell>
          <cell r="H25">
            <v>2</v>
          </cell>
          <cell r="I25">
            <v>1.63</v>
          </cell>
          <cell r="J25">
            <v>1.63</v>
          </cell>
          <cell r="K25">
            <v>1</v>
          </cell>
          <cell r="L25">
            <v>20151231</v>
          </cell>
          <cell r="M25">
            <v>1.56</v>
          </cell>
          <cell r="N25">
            <v>20160208</v>
          </cell>
        </row>
        <row r="26">
          <cell r="A26" t="str">
            <v>PCG</v>
          </cell>
          <cell r="B26" t="str">
            <v>PCG</v>
          </cell>
          <cell r="C26" t="str">
            <v>PG&amp;E US</v>
          </cell>
          <cell r="D26">
            <v>20151217</v>
          </cell>
          <cell r="E26" t="str">
            <v>EPS</v>
          </cell>
          <cell r="F26" t="str">
            <v>ANN</v>
          </cell>
          <cell r="G26">
            <v>1</v>
          </cell>
          <cell r="H26">
            <v>20</v>
          </cell>
          <cell r="I26">
            <v>3.05</v>
          </cell>
          <cell r="J26">
            <v>3.04</v>
          </cell>
          <cell r="K26">
            <v>1</v>
          </cell>
          <cell r="L26">
            <v>20151231</v>
          </cell>
          <cell r="M26">
            <v>3.12</v>
          </cell>
          <cell r="N26">
            <v>20160218</v>
          </cell>
        </row>
        <row r="27">
          <cell r="A27" t="str">
            <v>EXC</v>
          </cell>
          <cell r="B27" t="str">
            <v>PE</v>
          </cell>
          <cell r="C27" t="str">
            <v>EXELON</v>
          </cell>
          <cell r="D27">
            <v>20151217</v>
          </cell>
          <cell r="E27" t="str">
            <v>EPS</v>
          </cell>
          <cell r="F27" t="str">
            <v>ANN</v>
          </cell>
          <cell r="G27">
            <v>1</v>
          </cell>
          <cell r="H27">
            <v>19</v>
          </cell>
          <cell r="I27">
            <v>2.5</v>
          </cell>
          <cell r="J27">
            <v>2.5099999999999998</v>
          </cell>
          <cell r="K27">
            <v>1</v>
          </cell>
          <cell r="L27">
            <v>20151231</v>
          </cell>
          <cell r="M27">
            <v>2.4900000000000002</v>
          </cell>
          <cell r="N27">
            <v>20160203</v>
          </cell>
        </row>
        <row r="28">
          <cell r="A28" t="str">
            <v>PEG</v>
          </cell>
          <cell r="B28" t="str">
            <v>PEG</v>
          </cell>
          <cell r="C28" t="str">
            <v>PUBLIC SRVCE ENT</v>
          </cell>
          <cell r="D28">
            <v>20151217</v>
          </cell>
          <cell r="E28" t="str">
            <v>EPS</v>
          </cell>
          <cell r="F28" t="str">
            <v>ANN</v>
          </cell>
          <cell r="G28">
            <v>1</v>
          </cell>
          <cell r="H28">
            <v>16</v>
          </cell>
          <cell r="I28">
            <v>2.9</v>
          </cell>
          <cell r="J28">
            <v>2.92</v>
          </cell>
          <cell r="K28">
            <v>1</v>
          </cell>
          <cell r="L28">
            <v>20151231</v>
          </cell>
          <cell r="M28">
            <v>2.91</v>
          </cell>
          <cell r="N28">
            <v>20160219</v>
          </cell>
        </row>
        <row r="29">
          <cell r="A29" t="str">
            <v>PNM</v>
          </cell>
          <cell r="B29" t="str">
            <v>PNM</v>
          </cell>
          <cell r="C29" t="str">
            <v>PNM RESOURCES</v>
          </cell>
          <cell r="D29">
            <v>20151217</v>
          </cell>
          <cell r="E29" t="str">
            <v>EPS</v>
          </cell>
          <cell r="F29" t="str">
            <v>ANN</v>
          </cell>
          <cell r="G29">
            <v>1</v>
          </cell>
          <cell r="H29">
            <v>9</v>
          </cell>
          <cell r="I29">
            <v>1.59</v>
          </cell>
          <cell r="J29">
            <v>1.59</v>
          </cell>
          <cell r="K29">
            <v>1</v>
          </cell>
          <cell r="L29">
            <v>20151231</v>
          </cell>
          <cell r="M29">
            <v>1.64</v>
          </cell>
          <cell r="N29">
            <v>20160226</v>
          </cell>
        </row>
        <row r="30">
          <cell r="A30" t="str">
            <v>POM</v>
          </cell>
          <cell r="B30" t="str">
            <v>POM</v>
          </cell>
          <cell r="C30" t="str">
            <v>PEPCO HOLDINGS</v>
          </cell>
          <cell r="D30">
            <v>20151217</v>
          </cell>
          <cell r="E30" t="str">
            <v>EPS</v>
          </cell>
          <cell r="F30" t="str">
            <v>ANN</v>
          </cell>
          <cell r="G30">
            <v>1</v>
          </cell>
          <cell r="H30">
            <v>9</v>
          </cell>
          <cell r="I30">
            <v>1.1000000000000001</v>
          </cell>
          <cell r="J30">
            <v>1.1200000000000001</v>
          </cell>
          <cell r="K30">
            <v>1</v>
          </cell>
          <cell r="L30">
            <v>20151231</v>
          </cell>
          <cell r="M30">
            <v>1.28</v>
          </cell>
          <cell r="N30">
            <v>20160219</v>
          </cell>
        </row>
        <row r="31">
          <cell r="A31" t="str">
            <v>POR</v>
          </cell>
          <cell r="B31" t="str">
            <v>PORO</v>
          </cell>
          <cell r="C31" t="str">
            <v>PORTLAND GENERAL</v>
          </cell>
          <cell r="D31">
            <v>20151217</v>
          </cell>
          <cell r="E31" t="str">
            <v>EPS</v>
          </cell>
          <cell r="F31" t="str">
            <v>ANN</v>
          </cell>
          <cell r="G31">
            <v>1</v>
          </cell>
          <cell r="H31">
            <v>14</v>
          </cell>
          <cell r="I31">
            <v>2.1</v>
          </cell>
          <cell r="J31">
            <v>2.1</v>
          </cell>
          <cell r="K31">
            <v>1</v>
          </cell>
          <cell r="L31">
            <v>20151231</v>
          </cell>
          <cell r="M31">
            <v>2.04</v>
          </cell>
          <cell r="N31">
            <v>20160212</v>
          </cell>
        </row>
        <row r="32">
          <cell r="A32" t="str">
            <v>PPL</v>
          </cell>
          <cell r="B32" t="str">
            <v>PPL</v>
          </cell>
          <cell r="C32" t="str">
            <v>PPL</v>
          </cell>
          <cell r="D32">
            <v>20151217</v>
          </cell>
          <cell r="E32" t="str">
            <v>EPS</v>
          </cell>
          <cell r="F32" t="str">
            <v>ANN</v>
          </cell>
          <cell r="G32">
            <v>1</v>
          </cell>
          <cell r="H32">
            <v>17</v>
          </cell>
          <cell r="I32">
            <v>2.2000000000000002</v>
          </cell>
          <cell r="J32">
            <v>2.21</v>
          </cell>
          <cell r="K32">
            <v>1</v>
          </cell>
          <cell r="L32">
            <v>20151231</v>
          </cell>
          <cell r="M32">
            <v>2.21</v>
          </cell>
          <cell r="N32">
            <v>20160204</v>
          </cell>
        </row>
        <row r="33">
          <cell r="A33" t="str">
            <v>EIX</v>
          </cell>
          <cell r="B33" t="str">
            <v>SCE</v>
          </cell>
          <cell r="C33" t="str">
            <v>EDISON INTL</v>
          </cell>
          <cell r="D33">
            <v>20151217</v>
          </cell>
          <cell r="E33" t="str">
            <v>EPS</v>
          </cell>
          <cell r="F33" t="str">
            <v>ANN</v>
          </cell>
          <cell r="G33">
            <v>1</v>
          </cell>
          <cell r="H33">
            <v>16</v>
          </cell>
          <cell r="I33">
            <v>3.8</v>
          </cell>
          <cell r="J33">
            <v>3.78</v>
          </cell>
          <cell r="K33">
            <v>1</v>
          </cell>
          <cell r="L33">
            <v>20151231</v>
          </cell>
          <cell r="M33">
            <v>4.0999999999999996</v>
          </cell>
          <cell r="N33">
            <v>20160223</v>
          </cell>
        </row>
        <row r="34">
          <cell r="A34" t="str">
            <v>SCG</v>
          </cell>
          <cell r="B34" t="str">
            <v>SCG</v>
          </cell>
          <cell r="C34" t="str">
            <v>SCANA</v>
          </cell>
          <cell r="D34">
            <v>20151217</v>
          </cell>
          <cell r="E34" t="str">
            <v>EPS</v>
          </cell>
          <cell r="F34" t="str">
            <v>ANN</v>
          </cell>
          <cell r="G34">
            <v>1</v>
          </cell>
          <cell r="H34">
            <v>8</v>
          </cell>
          <cell r="I34">
            <v>3.81</v>
          </cell>
          <cell r="J34">
            <v>3.82</v>
          </cell>
          <cell r="K34">
            <v>1</v>
          </cell>
          <cell r="L34">
            <v>20151231</v>
          </cell>
          <cell r="M34">
            <v>3.81</v>
          </cell>
          <cell r="N34">
            <v>20160218</v>
          </cell>
        </row>
        <row r="35">
          <cell r="A35" t="str">
            <v>SRE</v>
          </cell>
          <cell r="B35" t="str">
            <v>SDO</v>
          </cell>
          <cell r="C35" t="str">
            <v>SEMPRA ENER</v>
          </cell>
          <cell r="D35">
            <v>20151217</v>
          </cell>
          <cell r="E35" t="str">
            <v>EPS</v>
          </cell>
          <cell r="F35" t="str">
            <v>ANN</v>
          </cell>
          <cell r="G35">
            <v>1</v>
          </cell>
          <cell r="H35">
            <v>12</v>
          </cell>
          <cell r="I35">
            <v>5.05</v>
          </cell>
          <cell r="J35">
            <v>5.0599999999999996</v>
          </cell>
          <cell r="K35">
            <v>1</v>
          </cell>
          <cell r="L35">
            <v>20151231</v>
          </cell>
          <cell r="M35">
            <v>5.21</v>
          </cell>
          <cell r="N35">
            <v>20160226</v>
          </cell>
        </row>
        <row r="36">
          <cell r="A36" t="str">
            <v>VVC</v>
          </cell>
          <cell r="B36" t="str">
            <v>SIG</v>
          </cell>
          <cell r="C36" t="str">
            <v>VECTREN CORP</v>
          </cell>
          <cell r="D36">
            <v>20151217</v>
          </cell>
          <cell r="E36" t="str">
            <v>EPS</v>
          </cell>
          <cell r="F36" t="str">
            <v>ANN</v>
          </cell>
          <cell r="G36">
            <v>1</v>
          </cell>
          <cell r="H36">
            <v>7</v>
          </cell>
          <cell r="I36">
            <v>2.35</v>
          </cell>
          <cell r="J36">
            <v>2.33</v>
          </cell>
          <cell r="K36">
            <v>1</v>
          </cell>
          <cell r="L36">
            <v>20151231</v>
          </cell>
          <cell r="M36">
            <v>2.39</v>
          </cell>
          <cell r="N36">
            <v>20160222</v>
          </cell>
        </row>
        <row r="37">
          <cell r="A37" t="str">
            <v>SO</v>
          </cell>
          <cell r="B37" t="str">
            <v>SO</v>
          </cell>
          <cell r="C37" t="str">
            <v>SOUTHERN CO</v>
          </cell>
          <cell r="D37">
            <v>20151217</v>
          </cell>
          <cell r="E37" t="str">
            <v>EPS</v>
          </cell>
          <cell r="F37" t="str">
            <v>ANN</v>
          </cell>
          <cell r="G37">
            <v>1</v>
          </cell>
          <cell r="H37">
            <v>19</v>
          </cell>
          <cell r="I37">
            <v>2.87</v>
          </cell>
          <cell r="J37">
            <v>2.86</v>
          </cell>
          <cell r="K37">
            <v>1</v>
          </cell>
          <cell r="L37">
            <v>20151231</v>
          </cell>
          <cell r="M37">
            <v>2.89</v>
          </cell>
          <cell r="N37">
            <v>20160203</v>
          </cell>
        </row>
        <row r="38">
          <cell r="A38" t="str">
            <v>TE</v>
          </cell>
          <cell r="B38" t="str">
            <v>TE</v>
          </cell>
          <cell r="C38" t="str">
            <v>TECO ENERGY</v>
          </cell>
          <cell r="D38">
            <v>20151217</v>
          </cell>
          <cell r="E38" t="str">
            <v>EPS</v>
          </cell>
          <cell r="F38" t="str">
            <v>ANN</v>
          </cell>
          <cell r="G38">
            <v>1</v>
          </cell>
          <cell r="H38">
            <v>14</v>
          </cell>
          <cell r="I38">
            <v>1.1000000000000001</v>
          </cell>
          <cell r="J38">
            <v>1.1000000000000001</v>
          </cell>
          <cell r="K38">
            <v>1</v>
          </cell>
          <cell r="L38">
            <v>20151231</v>
          </cell>
          <cell r="M38">
            <v>1.1000000000000001</v>
          </cell>
          <cell r="N38">
            <v>20160204</v>
          </cell>
        </row>
        <row r="39">
          <cell r="A39" t="str">
            <v>AEE</v>
          </cell>
          <cell r="B39" t="str">
            <v>UEP</v>
          </cell>
          <cell r="C39" t="str">
            <v>AMEREN</v>
          </cell>
          <cell r="D39">
            <v>20151217</v>
          </cell>
          <cell r="E39" t="str">
            <v>EPS</v>
          </cell>
          <cell r="F39" t="str">
            <v>ANN</v>
          </cell>
          <cell r="G39">
            <v>1</v>
          </cell>
          <cell r="H39">
            <v>10</v>
          </cell>
          <cell r="I39">
            <v>2.6</v>
          </cell>
          <cell r="J39">
            <v>2.61</v>
          </cell>
          <cell r="K39">
            <v>1</v>
          </cell>
          <cell r="L39">
            <v>20151231</v>
          </cell>
          <cell r="M39">
            <v>2.56</v>
          </cell>
          <cell r="N39">
            <v>20160219</v>
          </cell>
        </row>
        <row r="40">
          <cell r="A40" t="str">
            <v>WEC</v>
          </cell>
          <cell r="B40" t="str">
            <v>WPC</v>
          </cell>
          <cell r="C40" t="str">
            <v>WEC ENERGY GROUP</v>
          </cell>
          <cell r="D40">
            <v>20151217</v>
          </cell>
          <cell r="E40" t="str">
            <v>EPS</v>
          </cell>
          <cell r="F40" t="str">
            <v>ANN</v>
          </cell>
          <cell r="G40">
            <v>1</v>
          </cell>
          <cell r="H40">
            <v>12</v>
          </cell>
          <cell r="I40">
            <v>2.72</v>
          </cell>
          <cell r="J40">
            <v>2.73</v>
          </cell>
          <cell r="K40">
            <v>1</v>
          </cell>
          <cell r="L40">
            <v>20151231</v>
          </cell>
          <cell r="M40">
            <v>2.73</v>
          </cell>
          <cell r="N40">
            <v>20160204</v>
          </cell>
        </row>
        <row r="41">
          <cell r="A41" t="str">
            <v>LNT</v>
          </cell>
          <cell r="B41" t="str">
            <v>WPL</v>
          </cell>
          <cell r="C41" t="str">
            <v>ALLIANT ENER</v>
          </cell>
          <cell r="D41">
            <v>20151217</v>
          </cell>
          <cell r="E41" t="str">
            <v>EPS</v>
          </cell>
          <cell r="F41" t="str">
            <v>ANN</v>
          </cell>
          <cell r="G41">
            <v>1</v>
          </cell>
          <cell r="H41">
            <v>9</v>
          </cell>
          <cell r="I41">
            <v>1.8</v>
          </cell>
          <cell r="J41">
            <v>1.8</v>
          </cell>
          <cell r="K41">
            <v>1</v>
          </cell>
          <cell r="L41">
            <v>20151231</v>
          </cell>
          <cell r="M41">
            <v>1.7350000000000001</v>
          </cell>
          <cell r="N41">
            <v>20160222</v>
          </cell>
        </row>
        <row r="42">
          <cell r="A42" t="str">
            <v>AVA</v>
          </cell>
          <cell r="B42" t="str">
            <v>WWP</v>
          </cell>
          <cell r="C42" t="str">
            <v>AVISTA US</v>
          </cell>
          <cell r="D42">
            <v>20151217</v>
          </cell>
          <cell r="E42" t="str">
            <v>EPS</v>
          </cell>
          <cell r="F42" t="str">
            <v>ANN</v>
          </cell>
          <cell r="G42">
            <v>1</v>
          </cell>
          <cell r="H42">
            <v>5</v>
          </cell>
          <cell r="I42">
            <v>1.95</v>
          </cell>
          <cell r="J42">
            <v>1.94</v>
          </cell>
          <cell r="K42">
            <v>1</v>
          </cell>
          <cell r="L42">
            <v>20151231</v>
          </cell>
          <cell r="M42">
            <v>1.97</v>
          </cell>
          <cell r="N42">
            <v>20160224</v>
          </cell>
        </row>
        <row r="43">
          <cell r="A43" t="str">
            <v>SCG</v>
          </cell>
          <cell r="B43" t="str">
            <v>@006C</v>
          </cell>
          <cell r="C43" t="str">
            <v>SCENTRE</v>
          </cell>
          <cell r="D43">
            <v>20151217</v>
          </cell>
          <cell r="E43" t="str">
            <v>EPS</v>
          </cell>
          <cell r="F43" t="str">
            <v>ANN</v>
          </cell>
          <cell r="G43">
            <v>1</v>
          </cell>
          <cell r="H43">
            <v>9</v>
          </cell>
          <cell r="I43">
            <v>0.22500000000000001</v>
          </cell>
          <cell r="J43">
            <v>0.224</v>
          </cell>
          <cell r="K43">
            <v>0</v>
          </cell>
          <cell r="L43">
            <v>20151231</v>
          </cell>
          <cell r="M43">
            <v>0.185</v>
          </cell>
          <cell r="N43">
            <v>20160222</v>
          </cell>
        </row>
        <row r="44">
          <cell r="A44" t="str">
            <v>IDA</v>
          </cell>
          <cell r="B44" t="str">
            <v>@00MO</v>
          </cell>
          <cell r="C44" t="str">
            <v>IDEA BANK</v>
          </cell>
          <cell r="D44">
            <v>20151217</v>
          </cell>
          <cell r="E44" t="str">
            <v>EPS</v>
          </cell>
          <cell r="F44" t="str">
            <v>ANN</v>
          </cell>
          <cell r="G44">
            <v>1</v>
          </cell>
          <cell r="H44">
            <v>1</v>
          </cell>
          <cell r="I44">
            <v>4.45</v>
          </cell>
          <cell r="J44">
            <v>4.45</v>
          </cell>
          <cell r="K44">
            <v>0</v>
          </cell>
          <cell r="L44">
            <v>20151231</v>
          </cell>
          <cell r="M44">
            <v>4.12</v>
          </cell>
          <cell r="N44">
            <v>20160304</v>
          </cell>
        </row>
        <row r="45">
          <cell r="A45" t="str">
            <v>PPL</v>
          </cell>
          <cell r="B45" t="str">
            <v>@00TM</v>
          </cell>
          <cell r="C45" t="str">
            <v>PUREPROFILE</v>
          </cell>
          <cell r="D45">
            <v>20151217</v>
          </cell>
          <cell r="E45" t="str">
            <v>EPS</v>
          </cell>
          <cell r="F45" t="str">
            <v>ANN</v>
          </cell>
          <cell r="G45">
            <v>1</v>
          </cell>
          <cell r="H45">
            <v>1</v>
          </cell>
          <cell r="I45">
            <v>1.7000000000000001E-2</v>
          </cell>
          <cell r="J45">
            <v>1.7000000000000001E-2</v>
          </cell>
          <cell r="K45">
            <v>0</v>
          </cell>
          <cell r="L45">
            <v>20160630</v>
          </cell>
          <cell r="M45">
            <v>1.2999999999999999E-2</v>
          </cell>
          <cell r="N45">
            <v>20160817</v>
          </cell>
        </row>
        <row r="46">
          <cell r="A46" t="str">
            <v>PPL</v>
          </cell>
          <cell r="B46" t="str">
            <v>@1XJ</v>
          </cell>
          <cell r="C46" t="str">
            <v>PUMPKIN PATCH LT</v>
          </cell>
          <cell r="D46">
            <v>20151217</v>
          </cell>
          <cell r="E46" t="str">
            <v>EPS</v>
          </cell>
          <cell r="F46" t="str">
            <v>ANN</v>
          </cell>
          <cell r="G46">
            <v>1</v>
          </cell>
          <cell r="H46">
            <v>2</v>
          </cell>
          <cell r="I46">
            <v>-0.02</v>
          </cell>
          <cell r="J46">
            <v>-0.02</v>
          </cell>
          <cell r="K46">
            <v>0</v>
          </cell>
          <cell r="L46">
            <v>20160731</v>
          </cell>
          <cell r="M46">
            <v>-5.5E-2</v>
          </cell>
          <cell r="N46">
            <v>20160929</v>
          </cell>
        </row>
        <row r="47">
          <cell r="A47" t="str">
            <v>PPL</v>
          </cell>
          <cell r="B47" t="str">
            <v>@1Z1</v>
          </cell>
          <cell r="C47" t="str">
            <v>PPL</v>
          </cell>
          <cell r="D47">
            <v>20151217</v>
          </cell>
          <cell r="E47" t="str">
            <v>EPS</v>
          </cell>
          <cell r="F47" t="str">
            <v>ANN</v>
          </cell>
          <cell r="G47">
            <v>1</v>
          </cell>
          <cell r="H47">
            <v>6</v>
          </cell>
          <cell r="I47">
            <v>10.84</v>
          </cell>
          <cell r="J47">
            <v>10.97</v>
          </cell>
          <cell r="K47">
            <v>0</v>
          </cell>
          <cell r="L47">
            <v>20160630</v>
          </cell>
          <cell r="M47">
            <v>5.9058000000000002</v>
          </cell>
          <cell r="N47">
            <v>20170119</v>
          </cell>
        </row>
        <row r="48">
          <cell r="A48" t="str">
            <v>XEL</v>
          </cell>
          <cell r="B48" t="str">
            <v>@6Q7</v>
          </cell>
          <cell r="C48" t="str">
            <v>XEL</v>
          </cell>
          <cell r="D48">
            <v>20151217</v>
          </cell>
          <cell r="E48" t="str">
            <v>EPS</v>
          </cell>
          <cell r="F48" t="str">
            <v>ANN</v>
          </cell>
          <cell r="G48">
            <v>1</v>
          </cell>
          <cell r="H48">
            <v>3</v>
          </cell>
          <cell r="I48">
            <v>-2.4</v>
          </cell>
          <cell r="J48">
            <v>-2.1</v>
          </cell>
          <cell r="K48">
            <v>0</v>
          </cell>
          <cell r="L48">
            <v>20151231</v>
          </cell>
          <cell r="M48">
            <v>0</v>
          </cell>
          <cell r="N48">
            <v>20160321</v>
          </cell>
        </row>
        <row r="49">
          <cell r="A49" t="str">
            <v>AGR</v>
          </cell>
          <cell r="B49" t="str">
            <v>@A7S</v>
          </cell>
          <cell r="C49" t="str">
            <v>AGROB IMMOBILIEN</v>
          </cell>
          <cell r="D49">
            <v>20151217</v>
          </cell>
          <cell r="E49" t="str">
            <v>EPS</v>
          </cell>
          <cell r="F49" t="str">
            <v>ANN</v>
          </cell>
          <cell r="G49">
            <v>1</v>
          </cell>
          <cell r="H49">
            <v>2</v>
          </cell>
          <cell r="I49">
            <v>0.51</v>
          </cell>
          <cell r="J49">
            <v>0.51</v>
          </cell>
          <cell r="K49">
            <v>0</v>
          </cell>
          <cell r="L49">
            <v>20151231</v>
          </cell>
          <cell r="M49">
            <v>0.33</v>
          </cell>
          <cell r="N49">
            <v>20160428</v>
          </cell>
        </row>
        <row r="50">
          <cell r="A50" t="str">
            <v>EAS</v>
          </cell>
          <cell r="B50" t="str">
            <v>@AAME</v>
          </cell>
          <cell r="C50" t="str">
            <v>ENERGY ASSETS GR</v>
          </cell>
          <cell r="D50">
            <v>20151217</v>
          </cell>
          <cell r="E50" t="str">
            <v>EPS</v>
          </cell>
          <cell r="F50" t="str">
            <v>ANN</v>
          </cell>
          <cell r="G50">
            <v>1</v>
          </cell>
          <cell r="H50">
            <v>2</v>
          </cell>
          <cell r="I50">
            <v>30.35</v>
          </cell>
          <cell r="J50">
            <v>30.35</v>
          </cell>
          <cell r="K50">
            <v>0</v>
          </cell>
          <cell r="L50">
            <v>20160331</v>
          </cell>
          <cell r="M50">
            <v>30.18</v>
          </cell>
          <cell r="N50">
            <v>20160607</v>
          </cell>
        </row>
        <row r="51">
          <cell r="A51" t="str">
            <v>AGR</v>
          </cell>
          <cell r="B51" t="str">
            <v>@AR7</v>
          </cell>
          <cell r="C51" t="str">
            <v>AGRANA VZ</v>
          </cell>
          <cell r="D51">
            <v>20151217</v>
          </cell>
          <cell r="E51" t="str">
            <v>EPS</v>
          </cell>
          <cell r="F51" t="str">
            <v>ANN</v>
          </cell>
          <cell r="G51">
            <v>1</v>
          </cell>
          <cell r="H51">
            <v>3</v>
          </cell>
          <cell r="I51">
            <v>1.43</v>
          </cell>
          <cell r="J51">
            <v>1.47</v>
          </cell>
          <cell r="K51">
            <v>0</v>
          </cell>
          <cell r="L51">
            <v>20160229</v>
          </cell>
          <cell r="M51">
            <v>1.5019</v>
          </cell>
          <cell r="N51">
            <v>20160517</v>
          </cell>
        </row>
        <row r="52">
          <cell r="A52" t="str">
            <v>CNP</v>
          </cell>
          <cell r="B52" t="str">
            <v>@CN0</v>
          </cell>
          <cell r="C52" t="str">
            <v>CNP ASSURANCES</v>
          </cell>
          <cell r="D52">
            <v>20151217</v>
          </cell>
          <cell r="E52" t="str">
            <v>EPS</v>
          </cell>
          <cell r="F52" t="str">
            <v>ANN</v>
          </cell>
          <cell r="G52">
            <v>1</v>
          </cell>
          <cell r="H52">
            <v>9</v>
          </cell>
          <cell r="I52">
            <v>1.55</v>
          </cell>
          <cell r="J52">
            <v>1.61</v>
          </cell>
          <cell r="K52">
            <v>0</v>
          </cell>
          <cell r="L52">
            <v>20151231</v>
          </cell>
          <cell r="M52">
            <v>1.532</v>
          </cell>
          <cell r="N52">
            <v>20160217</v>
          </cell>
        </row>
        <row r="53">
          <cell r="A53" t="str">
            <v>SO</v>
          </cell>
          <cell r="B53" t="str">
            <v>@DAM</v>
          </cell>
          <cell r="C53" t="str">
            <v>SOMFY</v>
          </cell>
          <cell r="D53">
            <v>20151217</v>
          </cell>
          <cell r="E53" t="str">
            <v>EPS</v>
          </cell>
          <cell r="F53" t="str">
            <v>ANN</v>
          </cell>
          <cell r="G53">
            <v>1</v>
          </cell>
          <cell r="H53">
            <v>3</v>
          </cell>
          <cell r="I53">
            <v>3.43</v>
          </cell>
          <cell r="J53">
            <v>3.71</v>
          </cell>
          <cell r="K53">
            <v>0</v>
          </cell>
          <cell r="L53">
            <v>20151231</v>
          </cell>
          <cell r="M53">
            <v>4.9337999999999997</v>
          </cell>
          <cell r="N53">
            <v>20160309</v>
          </cell>
        </row>
        <row r="54">
          <cell r="A54" t="str">
            <v>DTE</v>
          </cell>
          <cell r="B54" t="str">
            <v>@DT</v>
          </cell>
          <cell r="C54" t="str">
            <v>DEUTSCHE TELEKOM</v>
          </cell>
          <cell r="D54">
            <v>20151217</v>
          </cell>
          <cell r="E54" t="str">
            <v>EPS</v>
          </cell>
          <cell r="F54" t="str">
            <v>ANN</v>
          </cell>
          <cell r="G54">
            <v>1</v>
          </cell>
          <cell r="H54">
            <v>34</v>
          </cell>
          <cell r="I54">
            <v>0.75</v>
          </cell>
          <cell r="J54">
            <v>0.74</v>
          </cell>
          <cell r="K54">
            <v>0</v>
          </cell>
          <cell r="L54">
            <v>20151231</v>
          </cell>
          <cell r="M54">
            <v>0.9</v>
          </cell>
          <cell r="N54">
            <v>20160225</v>
          </cell>
        </row>
        <row r="55">
          <cell r="A55" t="str">
            <v>PGN</v>
          </cell>
          <cell r="B55" t="str">
            <v>@J5W</v>
          </cell>
          <cell r="C55" t="str">
            <v>POLISH OIL &amp; GAS</v>
          </cell>
          <cell r="D55">
            <v>20151217</v>
          </cell>
          <cell r="E55" t="str">
            <v>EPS</v>
          </cell>
          <cell r="F55" t="str">
            <v>ANN</v>
          </cell>
          <cell r="G55">
            <v>1</v>
          </cell>
          <cell r="H55">
            <v>16</v>
          </cell>
          <cell r="I55">
            <v>0.5</v>
          </cell>
          <cell r="J55">
            <v>0.48</v>
          </cell>
          <cell r="K55">
            <v>0</v>
          </cell>
          <cell r="L55">
            <v>20151231</v>
          </cell>
          <cell r="M55">
            <v>0.36</v>
          </cell>
          <cell r="N55">
            <v>20160304</v>
          </cell>
        </row>
        <row r="56">
          <cell r="A56" t="str">
            <v>SRE</v>
          </cell>
          <cell r="B56" t="str">
            <v>@O5S</v>
          </cell>
          <cell r="C56" t="str">
            <v>SALHIA</v>
          </cell>
          <cell r="D56">
            <v>20151217</v>
          </cell>
          <cell r="E56" t="str">
            <v>EPS</v>
          </cell>
          <cell r="F56" t="str">
            <v>ANN</v>
          </cell>
          <cell r="G56">
            <v>1</v>
          </cell>
          <cell r="H56">
            <v>2</v>
          </cell>
          <cell r="I56">
            <v>0.02</v>
          </cell>
          <cell r="J56">
            <v>0.02</v>
          </cell>
          <cell r="K56">
            <v>0</v>
          </cell>
          <cell r="L56">
            <v>20151231</v>
          </cell>
          <cell r="M56">
            <v>2.3599999999999999E-2</v>
          </cell>
          <cell r="N56">
            <v>20160221</v>
          </cell>
        </row>
        <row r="57">
          <cell r="A57" t="str">
            <v>POM</v>
          </cell>
          <cell r="B57" t="str">
            <v>@PO8</v>
          </cell>
          <cell r="C57" t="str">
            <v>COMPAGNIE PLA OM</v>
          </cell>
          <cell r="D57">
            <v>20151217</v>
          </cell>
          <cell r="E57" t="str">
            <v>EPS</v>
          </cell>
          <cell r="F57" t="str">
            <v>ANN</v>
          </cell>
          <cell r="G57">
            <v>1</v>
          </cell>
          <cell r="H57">
            <v>8</v>
          </cell>
          <cell r="I57">
            <v>1.85</v>
          </cell>
          <cell r="J57">
            <v>1.86</v>
          </cell>
          <cell r="K57">
            <v>0</v>
          </cell>
          <cell r="L57">
            <v>20151231</v>
          </cell>
          <cell r="M57">
            <v>1.72</v>
          </cell>
          <cell r="N57">
            <v>20160225</v>
          </cell>
        </row>
        <row r="58">
          <cell r="A58" t="str">
            <v>PGN</v>
          </cell>
          <cell r="B58" t="str">
            <v>@QPA</v>
          </cell>
          <cell r="C58" t="str">
            <v>PARAGON DE</v>
          </cell>
          <cell r="D58">
            <v>20151217</v>
          </cell>
          <cell r="E58" t="str">
            <v>EPS</v>
          </cell>
          <cell r="F58" t="str">
            <v>ANN</v>
          </cell>
          <cell r="G58">
            <v>1</v>
          </cell>
          <cell r="H58">
            <v>2</v>
          </cell>
          <cell r="I58">
            <v>1.35</v>
          </cell>
          <cell r="J58">
            <v>1.35</v>
          </cell>
          <cell r="K58">
            <v>0</v>
          </cell>
          <cell r="L58">
            <v>20151231</v>
          </cell>
          <cell r="M58">
            <v>0.83</v>
          </cell>
          <cell r="N58">
            <v>20160310</v>
          </cell>
        </row>
        <row r="59">
          <cell r="A59" t="str">
            <v>PEG</v>
          </cell>
          <cell r="B59" t="str">
            <v>@S6N</v>
          </cell>
          <cell r="C59" t="str">
            <v>PETARDS GROUP</v>
          </cell>
          <cell r="D59">
            <v>20151217</v>
          </cell>
          <cell r="E59" t="str">
            <v>EPS</v>
          </cell>
          <cell r="F59" t="str">
            <v>ANN</v>
          </cell>
          <cell r="G59">
            <v>1</v>
          </cell>
          <cell r="H59">
            <v>2</v>
          </cell>
          <cell r="I59">
            <v>1.51</v>
          </cell>
          <cell r="J59">
            <v>1.51</v>
          </cell>
          <cell r="K59">
            <v>0</v>
          </cell>
          <cell r="L59">
            <v>20151231</v>
          </cell>
          <cell r="M59">
            <v>1.62</v>
          </cell>
          <cell r="N59">
            <v>20160315</v>
          </cell>
        </row>
        <row r="60">
          <cell r="A60" t="str">
            <v>SO</v>
          </cell>
          <cell r="B60" t="str">
            <v>@SGF</v>
          </cell>
          <cell r="C60" t="str">
            <v>SOGEFI</v>
          </cell>
          <cell r="D60">
            <v>20151217</v>
          </cell>
          <cell r="E60" t="str">
            <v>EPS</v>
          </cell>
          <cell r="F60" t="str">
            <v>ANN</v>
          </cell>
          <cell r="G60">
            <v>1</v>
          </cell>
          <cell r="H60">
            <v>6</v>
          </cell>
          <cell r="I60">
            <v>0.18</v>
          </cell>
          <cell r="J60">
            <v>0.19</v>
          </cell>
          <cell r="K60">
            <v>0</v>
          </cell>
          <cell r="L60">
            <v>20151231</v>
          </cell>
          <cell r="M60">
            <v>0.01</v>
          </cell>
          <cell r="N60">
            <v>20160301</v>
          </cell>
        </row>
        <row r="61">
          <cell r="A61" t="str">
            <v>NST</v>
          </cell>
          <cell r="B61" t="str">
            <v>@T6I</v>
          </cell>
          <cell r="C61" t="str">
            <v>NORTHERN STAR RE</v>
          </cell>
          <cell r="D61">
            <v>20151217</v>
          </cell>
          <cell r="E61" t="str">
            <v>EPS</v>
          </cell>
          <cell r="F61" t="str">
            <v>ANN</v>
          </cell>
          <cell r="G61">
            <v>1</v>
          </cell>
          <cell r="H61">
            <v>12</v>
          </cell>
          <cell r="I61">
            <v>0.28399999999999997</v>
          </cell>
          <cell r="J61">
            <v>0.309</v>
          </cell>
          <cell r="K61">
            <v>0</v>
          </cell>
          <cell r="L61">
            <v>20160630</v>
          </cell>
          <cell r="M61">
            <v>0.27600000000000002</v>
          </cell>
          <cell r="N61">
            <v>20160726</v>
          </cell>
        </row>
        <row r="62">
          <cell r="A62" t="str">
            <v>AGR</v>
          </cell>
          <cell r="B62" t="str">
            <v>@V2M</v>
          </cell>
          <cell r="C62" t="str">
            <v>ASSURA</v>
          </cell>
          <cell r="D62">
            <v>20151217</v>
          </cell>
          <cell r="E62" t="str">
            <v>EPS</v>
          </cell>
          <cell r="F62" t="str">
            <v>ANN</v>
          </cell>
          <cell r="G62">
            <v>1</v>
          </cell>
          <cell r="H62">
            <v>3</v>
          </cell>
          <cell r="I62">
            <v>2.11</v>
          </cell>
          <cell r="J62">
            <v>2.11</v>
          </cell>
          <cell r="K62">
            <v>0</v>
          </cell>
          <cell r="L62">
            <v>20160331</v>
          </cell>
          <cell r="M62">
            <v>1.9916</v>
          </cell>
          <cell r="N62">
            <v>20160518</v>
          </cell>
        </row>
        <row r="63">
          <cell r="A63" t="str">
            <v>SRE</v>
          </cell>
          <cell r="B63" t="str">
            <v>@VRU</v>
          </cell>
          <cell r="C63" t="str">
            <v>SIRIUS REAL ESTA</v>
          </cell>
          <cell r="D63">
            <v>20151217</v>
          </cell>
          <cell r="E63" t="str">
            <v>EPS</v>
          </cell>
          <cell r="F63" t="str">
            <v>ANN</v>
          </cell>
          <cell r="G63">
            <v>1</v>
          </cell>
          <cell r="H63">
            <v>3</v>
          </cell>
          <cell r="I63">
            <v>0.03</v>
          </cell>
          <cell r="J63">
            <v>0.03</v>
          </cell>
          <cell r="K63">
            <v>0</v>
          </cell>
          <cell r="L63">
            <v>20160331</v>
          </cell>
          <cell r="M63">
            <v>0.03</v>
          </cell>
          <cell r="N63">
            <v>20160523</v>
          </cell>
        </row>
        <row r="64">
          <cell r="A64" t="str">
            <v>POM</v>
          </cell>
          <cell r="B64" t="str">
            <v>@VV</v>
          </cell>
          <cell r="C64" t="str">
            <v>POLMED SA</v>
          </cell>
          <cell r="D64">
            <v>20151217</v>
          </cell>
          <cell r="E64" t="str">
            <v>EPS</v>
          </cell>
          <cell r="F64" t="str">
            <v>ANN</v>
          </cell>
          <cell r="G64">
            <v>1</v>
          </cell>
          <cell r="H64">
            <v>1</v>
          </cell>
          <cell r="I64">
            <v>0.19</v>
          </cell>
          <cell r="J64">
            <v>0.19</v>
          </cell>
          <cell r="K64">
            <v>0</v>
          </cell>
          <cell r="L64">
            <v>20151231</v>
          </cell>
          <cell r="M64">
            <v>0.18</v>
          </cell>
          <cell r="N64">
            <v>20160321</v>
          </cell>
        </row>
        <row r="65">
          <cell r="A65" t="str">
            <v>EXC</v>
          </cell>
          <cell r="B65" t="str">
            <v>@XDO</v>
          </cell>
          <cell r="C65" t="str">
            <v>EXCEET GROUP SE</v>
          </cell>
          <cell r="D65">
            <v>20151217</v>
          </cell>
          <cell r="E65" t="str">
            <v>EPS</v>
          </cell>
          <cell r="F65" t="str">
            <v>ANN</v>
          </cell>
          <cell r="G65">
            <v>1</v>
          </cell>
          <cell r="H65">
            <v>2</v>
          </cell>
          <cell r="I65">
            <v>-7.0000000000000007E-2</v>
          </cell>
          <cell r="J65">
            <v>-7.0000000000000007E-2</v>
          </cell>
          <cell r="K65">
            <v>0</v>
          </cell>
          <cell r="L65">
            <v>20151231</v>
          </cell>
          <cell r="M65">
            <v>-0.03</v>
          </cell>
          <cell r="N65">
            <v>20160302</v>
          </cell>
        </row>
        <row r="66">
          <cell r="A66" t="str">
            <v>CMS</v>
          </cell>
          <cell r="B66" t="str">
            <v>@XJM</v>
          </cell>
          <cell r="C66" t="str">
            <v>COMMUNISIS PLC</v>
          </cell>
          <cell r="D66">
            <v>20151217</v>
          </cell>
          <cell r="E66" t="str">
            <v>EPS</v>
          </cell>
          <cell r="F66" t="str">
            <v>ANN</v>
          </cell>
          <cell r="G66">
            <v>1</v>
          </cell>
          <cell r="H66">
            <v>4</v>
          </cell>
          <cell r="I66">
            <v>5.45</v>
          </cell>
          <cell r="J66">
            <v>5.57</v>
          </cell>
          <cell r="K66">
            <v>0</v>
          </cell>
          <cell r="L66">
            <v>20151231</v>
          </cell>
          <cell r="M66">
            <v>5.18</v>
          </cell>
          <cell r="N66">
            <v>20160303</v>
          </cell>
        </row>
        <row r="67">
          <cell r="A67" t="str">
            <v>PEG</v>
          </cell>
          <cell r="B67" t="str">
            <v>GEP1</v>
          </cell>
          <cell r="C67" t="str">
            <v>PATTERN</v>
          </cell>
          <cell r="D67">
            <v>20151217</v>
          </cell>
          <cell r="E67" t="str">
            <v>EPS</v>
          </cell>
          <cell r="F67" t="str">
            <v>ANN</v>
          </cell>
          <cell r="G67">
            <v>1</v>
          </cell>
          <cell r="H67">
            <v>6</v>
          </cell>
          <cell r="I67">
            <v>-0.44</v>
          </cell>
          <cell r="J67">
            <v>-0.3</v>
          </cell>
          <cell r="K67">
            <v>0</v>
          </cell>
          <cell r="L67">
            <v>20151231</v>
          </cell>
          <cell r="M67">
            <v>-0.46</v>
          </cell>
          <cell r="N67">
            <v>20160229</v>
          </cell>
        </row>
        <row r="68">
          <cell r="A68" t="str">
            <v>CNL</v>
          </cell>
          <cell r="B68" t="str">
            <v>NCL1</v>
          </cell>
          <cell r="C68" t="str">
            <v>CONTINENTAL GOLD</v>
          </cell>
          <cell r="D68">
            <v>20151217</v>
          </cell>
          <cell r="E68" t="str">
            <v>EPS</v>
          </cell>
          <cell r="F68" t="str">
            <v>ANN</v>
          </cell>
          <cell r="G68">
            <v>1</v>
          </cell>
          <cell r="H68">
            <v>2</v>
          </cell>
          <cell r="I68">
            <v>-7.0000000000000007E-2</v>
          </cell>
          <cell r="J68">
            <v>-7.0000000000000007E-2</v>
          </cell>
          <cell r="K68">
            <v>0</v>
          </cell>
          <cell r="L68">
            <v>20151231</v>
          </cell>
          <cell r="M68">
            <v>-0.18</v>
          </cell>
          <cell r="N68">
            <v>20160310</v>
          </cell>
        </row>
        <row r="69">
          <cell r="A69" t="str">
            <v>NEE</v>
          </cell>
          <cell r="B69" t="str">
            <v>NEE</v>
          </cell>
          <cell r="C69" t="str">
            <v>NORTHERN VERTEX</v>
          </cell>
          <cell r="D69">
            <v>20151217</v>
          </cell>
          <cell r="E69" t="str">
            <v>EPS</v>
          </cell>
          <cell r="F69" t="str">
            <v>ANN</v>
          </cell>
          <cell r="G69">
            <v>1</v>
          </cell>
          <cell r="H69">
            <v>1</v>
          </cell>
          <cell r="I69">
            <v>-0.02</v>
          </cell>
          <cell r="J69">
            <v>-0.02</v>
          </cell>
          <cell r="K69">
            <v>0</v>
          </cell>
          <cell r="L69">
            <v>20160630</v>
          </cell>
          <cell r="N69">
            <v>20161027</v>
          </cell>
        </row>
        <row r="70">
          <cell r="A70" t="str">
            <v>PPL</v>
          </cell>
          <cell r="B70" t="str">
            <v>PIF1</v>
          </cell>
          <cell r="C70" t="str">
            <v>PEMBINA PIPELINE</v>
          </cell>
          <cell r="D70">
            <v>20151217</v>
          </cell>
          <cell r="E70" t="str">
            <v>EPS</v>
          </cell>
          <cell r="F70" t="str">
            <v>ANN</v>
          </cell>
          <cell r="G70">
            <v>1</v>
          </cell>
          <cell r="H70">
            <v>8</v>
          </cell>
          <cell r="I70">
            <v>1.04</v>
          </cell>
          <cell r="J70">
            <v>1.05</v>
          </cell>
          <cell r="K70">
            <v>0</v>
          </cell>
          <cell r="L70">
            <v>20151231</v>
          </cell>
          <cell r="M70">
            <v>1.02</v>
          </cell>
          <cell r="N70">
            <v>20160225</v>
          </cell>
        </row>
        <row r="71">
          <cell r="A71" t="str">
            <v>POM</v>
          </cell>
          <cell r="B71" t="str">
            <v>POM1</v>
          </cell>
          <cell r="C71" t="str">
            <v>POLYMET MINING C</v>
          </cell>
          <cell r="D71">
            <v>20151217</v>
          </cell>
          <cell r="E71" t="str">
            <v>EPS</v>
          </cell>
          <cell r="F71" t="str">
            <v>ANN</v>
          </cell>
          <cell r="G71">
            <v>1</v>
          </cell>
          <cell r="H71">
            <v>3</v>
          </cell>
          <cell r="I71">
            <v>-0.41</v>
          </cell>
          <cell r="J71">
            <v>-0.38</v>
          </cell>
          <cell r="K71">
            <v>0</v>
          </cell>
          <cell r="L71">
            <v>20160131</v>
          </cell>
          <cell r="M71">
            <v>-0.4</v>
          </cell>
          <cell r="N71">
            <v>20160422</v>
          </cell>
        </row>
        <row r="72">
          <cell r="A72" t="str">
            <v>PSD</v>
          </cell>
          <cell r="B72" t="str">
            <v>PSD3</v>
          </cell>
          <cell r="C72" t="str">
            <v>PULSE SEISMIC IN</v>
          </cell>
          <cell r="D72">
            <v>20151217</v>
          </cell>
          <cell r="E72" t="str">
            <v>EPS</v>
          </cell>
          <cell r="F72" t="str">
            <v>ANN</v>
          </cell>
          <cell r="G72">
            <v>1</v>
          </cell>
          <cell r="H72">
            <v>1</v>
          </cell>
          <cell r="I72">
            <v>-0.14000000000000001</v>
          </cell>
          <cell r="J72">
            <v>-0.14000000000000001</v>
          </cell>
          <cell r="K72">
            <v>0</v>
          </cell>
          <cell r="L72">
            <v>20151231</v>
          </cell>
          <cell r="M72">
            <v>-7.6999999999999999E-2</v>
          </cell>
          <cell r="N72">
            <v>20160307</v>
          </cell>
        </row>
      </sheetData>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yltcqtrvv5lhko4"/>
    </sheetNames>
    <sheetDataSet>
      <sheetData sheetId="0">
        <row r="1">
          <cell r="B1" t="str">
            <v>Official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Forecast Period End Date (SAS Format)</v>
          </cell>
          <cell r="M1" t="str">
            <v>Actual Value, from the Detail Actuals File</v>
          </cell>
          <cell r="N1" t="str">
            <v>Announce date of the Actual, from the Detail Actuals File</v>
          </cell>
        </row>
        <row r="2">
          <cell r="B2" t="str">
            <v>ATG</v>
          </cell>
          <cell r="C2" t="str">
            <v>AGL RESOURCES</v>
          </cell>
          <cell r="D2">
            <v>35782</v>
          </cell>
          <cell r="E2" t="str">
            <v>EPS</v>
          </cell>
          <cell r="F2" t="str">
            <v>LTG</v>
          </cell>
          <cell r="G2" t="str">
            <v>0</v>
          </cell>
          <cell r="H2">
            <v>9</v>
          </cell>
          <cell r="I2">
            <v>5</v>
          </cell>
          <cell r="J2">
            <v>4.6399999999999997</v>
          </cell>
          <cell r="K2">
            <v>0.54</v>
          </cell>
        </row>
        <row r="3">
          <cell r="B3" t="str">
            <v>KSE</v>
          </cell>
          <cell r="C3" t="str">
            <v>KEYSPAN ENERGY</v>
          </cell>
          <cell r="D3">
            <v>35782</v>
          </cell>
          <cell r="E3" t="str">
            <v>EPS</v>
          </cell>
          <cell r="F3" t="str">
            <v>LTG</v>
          </cell>
          <cell r="G3" t="str">
            <v>0</v>
          </cell>
          <cell r="H3">
            <v>4</v>
          </cell>
          <cell r="I3">
            <v>8</v>
          </cell>
          <cell r="J3">
            <v>8.0299999999999994</v>
          </cell>
          <cell r="K3">
            <v>3.69</v>
          </cell>
        </row>
        <row r="4">
          <cell r="B4" t="str">
            <v>CGC</v>
          </cell>
          <cell r="C4" t="str">
            <v>CASCADE NAT GAS</v>
          </cell>
          <cell r="D4">
            <v>35782</v>
          </cell>
          <cell r="E4" t="str">
            <v>EPS</v>
          </cell>
          <cell r="F4" t="str">
            <v>LTG</v>
          </cell>
          <cell r="G4" t="str">
            <v>0</v>
          </cell>
          <cell r="H4">
            <v>3</v>
          </cell>
          <cell r="I4">
            <v>5</v>
          </cell>
          <cell r="J4">
            <v>5.8</v>
          </cell>
          <cell r="K4">
            <v>2.31</v>
          </cell>
        </row>
        <row r="5">
          <cell r="B5" t="str">
            <v>ATO</v>
          </cell>
          <cell r="C5" t="str">
            <v>ATMOS ENERGY CP</v>
          </cell>
          <cell r="D5">
            <v>35782</v>
          </cell>
          <cell r="E5" t="str">
            <v>EPS</v>
          </cell>
          <cell r="F5" t="str">
            <v>LTG</v>
          </cell>
          <cell r="G5" t="str">
            <v>0</v>
          </cell>
          <cell r="H5">
            <v>8</v>
          </cell>
          <cell r="I5">
            <v>9.5</v>
          </cell>
          <cell r="J5">
            <v>9.43</v>
          </cell>
          <cell r="K5">
            <v>2.83</v>
          </cell>
        </row>
        <row r="6">
          <cell r="B6" t="str">
            <v>GAS</v>
          </cell>
          <cell r="C6" t="str">
            <v>NICOR INC</v>
          </cell>
          <cell r="D6">
            <v>35782</v>
          </cell>
          <cell r="E6" t="str">
            <v>EPS</v>
          </cell>
          <cell r="F6" t="str">
            <v>LTG</v>
          </cell>
          <cell r="G6" t="str">
            <v>0</v>
          </cell>
          <cell r="H6">
            <v>6</v>
          </cell>
          <cell r="I6">
            <v>5.5</v>
          </cell>
          <cell r="J6">
            <v>5.98</v>
          </cell>
          <cell r="K6">
            <v>2.27</v>
          </cell>
        </row>
        <row r="7">
          <cell r="B7" t="str">
            <v>LG</v>
          </cell>
          <cell r="C7" t="str">
            <v>LACLEDE GAS</v>
          </cell>
          <cell r="D7">
            <v>35782</v>
          </cell>
          <cell r="E7" t="str">
            <v>EPS</v>
          </cell>
          <cell r="F7" t="str">
            <v>LTG</v>
          </cell>
          <cell r="G7" t="str">
            <v>0</v>
          </cell>
          <cell r="H7">
            <v>1</v>
          </cell>
          <cell r="I7">
            <v>1.7</v>
          </cell>
          <cell r="J7">
            <v>1.7</v>
          </cell>
        </row>
        <row r="8">
          <cell r="B8" t="str">
            <v>NI</v>
          </cell>
          <cell r="C8" t="str">
            <v>NIPSCO IND INC</v>
          </cell>
          <cell r="D8">
            <v>35782</v>
          </cell>
          <cell r="E8" t="str">
            <v>EPS</v>
          </cell>
          <cell r="F8" t="str">
            <v>LTG</v>
          </cell>
          <cell r="G8" t="str">
            <v>0</v>
          </cell>
          <cell r="H8">
            <v>16</v>
          </cell>
          <cell r="I8">
            <v>6</v>
          </cell>
          <cell r="J8">
            <v>5.89</v>
          </cell>
          <cell r="K8">
            <v>1.19</v>
          </cell>
        </row>
        <row r="9">
          <cell r="B9" t="str">
            <v>NJR</v>
          </cell>
          <cell r="C9" t="str">
            <v>NEW JERSEY RES</v>
          </cell>
          <cell r="D9">
            <v>35782</v>
          </cell>
          <cell r="E9" t="str">
            <v>EPS</v>
          </cell>
          <cell r="F9" t="str">
            <v>LTG</v>
          </cell>
          <cell r="G9" t="str">
            <v>0</v>
          </cell>
          <cell r="H9">
            <v>2</v>
          </cell>
          <cell r="I9">
            <v>5.75</v>
          </cell>
          <cell r="J9">
            <v>5.75</v>
          </cell>
          <cell r="K9">
            <v>1.06</v>
          </cell>
        </row>
        <row r="10">
          <cell r="B10" t="str">
            <v>PNY</v>
          </cell>
          <cell r="C10" t="str">
            <v>PIEDMONT NAT GAS</v>
          </cell>
          <cell r="D10">
            <v>35782</v>
          </cell>
          <cell r="E10" t="str">
            <v>EPS</v>
          </cell>
          <cell r="F10" t="str">
            <v>LTG</v>
          </cell>
          <cell r="G10" t="str">
            <v>0</v>
          </cell>
          <cell r="H10">
            <v>4</v>
          </cell>
          <cell r="I10">
            <v>6.5</v>
          </cell>
          <cell r="J10">
            <v>6.5</v>
          </cell>
          <cell r="K10">
            <v>1.73</v>
          </cell>
        </row>
        <row r="11">
          <cell r="B11" t="str">
            <v>SJI</v>
          </cell>
          <cell r="C11" t="str">
            <v>SO JERSEY INDS</v>
          </cell>
          <cell r="D11">
            <v>35782</v>
          </cell>
          <cell r="E11" t="str">
            <v>EPS</v>
          </cell>
          <cell r="F11" t="str">
            <v>LTG</v>
          </cell>
          <cell r="G11" t="str">
            <v>0</v>
          </cell>
          <cell r="H11">
            <v>2</v>
          </cell>
          <cell r="I11">
            <v>4</v>
          </cell>
          <cell r="J11">
            <v>4</v>
          </cell>
          <cell r="K11">
            <v>1.41</v>
          </cell>
        </row>
        <row r="12">
          <cell r="B12" t="str">
            <v>SWX</v>
          </cell>
          <cell r="C12" t="str">
            <v>SOUTHWEST GAS</v>
          </cell>
          <cell r="D12">
            <v>35782</v>
          </cell>
          <cell r="E12" t="str">
            <v>EPS</v>
          </cell>
          <cell r="F12" t="str">
            <v>LTG</v>
          </cell>
          <cell r="G12" t="str">
            <v>0</v>
          </cell>
          <cell r="H12">
            <v>3</v>
          </cell>
          <cell r="I12">
            <v>4</v>
          </cell>
          <cell r="J12">
            <v>4.83</v>
          </cell>
          <cell r="K12">
            <v>2.36</v>
          </cell>
        </row>
        <row r="13">
          <cell r="B13" t="str">
            <v>WGL</v>
          </cell>
          <cell r="C13" t="str">
            <v>WASH GAS LT</v>
          </cell>
          <cell r="D13">
            <v>35782</v>
          </cell>
          <cell r="E13" t="str">
            <v>EPS</v>
          </cell>
          <cell r="F13" t="str">
            <v>LTG</v>
          </cell>
          <cell r="G13" t="str">
            <v>0</v>
          </cell>
          <cell r="H13">
            <v>7</v>
          </cell>
          <cell r="I13">
            <v>5</v>
          </cell>
          <cell r="J13">
            <v>4.6399999999999997</v>
          </cell>
          <cell r="K13">
            <v>1.49</v>
          </cell>
        </row>
      </sheetData>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RDS"/>
    </sheetNames>
    <sheetDataSet>
      <sheetData sheetId="0">
        <row r="1">
          <cell r="A1" t="str">
            <v>OFTIC</v>
          </cell>
          <cell r="B1" t="str">
            <v>IBES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USFIRM=0 if from .INT file and USFIRM=1 if from .US file</v>
          </cell>
          <cell r="L1" t="str">
            <v>Forecast Period End Date (SAS Format)</v>
          </cell>
          <cell r="M1" t="str">
            <v>Actual Value, from the Detail Actuals File</v>
          </cell>
          <cell r="N1" t="str">
            <v>Announce date of the Actual, from the Detail Actuals File</v>
          </cell>
        </row>
        <row r="2">
          <cell r="A2" t="str">
            <v>AGR</v>
          </cell>
          <cell r="B2" t="str">
            <v>AGR2</v>
          </cell>
          <cell r="C2" t="str">
            <v>ARGENTARIA</v>
          </cell>
          <cell r="D2">
            <v>19961219</v>
          </cell>
          <cell r="E2" t="str">
            <v>EPS</v>
          </cell>
          <cell r="F2" t="str">
            <v>ANN</v>
          </cell>
          <cell r="G2">
            <v>1</v>
          </cell>
          <cell r="H2">
            <v>3</v>
          </cell>
          <cell r="I2">
            <v>1.88</v>
          </cell>
          <cell r="J2">
            <v>1.66</v>
          </cell>
          <cell r="K2">
            <v>1</v>
          </cell>
          <cell r="L2">
            <v>19961231</v>
          </cell>
          <cell r="M2">
            <v>1</v>
          </cell>
          <cell r="N2">
            <v>19970319</v>
          </cell>
        </row>
        <row r="3">
          <cell r="A3" t="str">
            <v>PNW</v>
          </cell>
          <cell r="B3" t="str">
            <v>AZP</v>
          </cell>
          <cell r="C3" t="str">
            <v>PINNACLE WST CAP</v>
          </cell>
          <cell r="D3">
            <v>19961219</v>
          </cell>
          <cell r="E3" t="str">
            <v>EPS</v>
          </cell>
          <cell r="F3" t="str">
            <v>ANN</v>
          </cell>
          <cell r="G3">
            <v>1</v>
          </cell>
          <cell r="H3">
            <v>20</v>
          </cell>
          <cell r="I3">
            <v>2.37</v>
          </cell>
          <cell r="J3">
            <v>2.4</v>
          </cell>
          <cell r="K3">
            <v>1</v>
          </cell>
          <cell r="L3">
            <v>19961231</v>
          </cell>
          <cell r="M3">
            <v>2.41</v>
          </cell>
          <cell r="N3">
            <v>19970122</v>
          </cell>
        </row>
        <row r="4">
          <cell r="A4" t="str">
            <v>BKH</v>
          </cell>
          <cell r="B4" t="str">
            <v>BHP</v>
          </cell>
          <cell r="C4" t="str">
            <v>BLACK HILLS CP</v>
          </cell>
          <cell r="D4">
            <v>19961219</v>
          </cell>
          <cell r="E4" t="str">
            <v>EPS</v>
          </cell>
          <cell r="F4" t="str">
            <v>ANN</v>
          </cell>
          <cell r="G4">
            <v>1</v>
          </cell>
          <cell r="H4">
            <v>6</v>
          </cell>
          <cell r="I4">
            <v>1.28</v>
          </cell>
          <cell r="J4">
            <v>1.29</v>
          </cell>
          <cell r="K4">
            <v>1</v>
          </cell>
          <cell r="L4">
            <v>19961231</v>
          </cell>
          <cell r="M4">
            <v>1.4</v>
          </cell>
          <cell r="N4">
            <v>19970130</v>
          </cell>
        </row>
        <row r="5">
          <cell r="A5" t="str">
            <v>CIN</v>
          </cell>
          <cell r="B5" t="str">
            <v>CIN</v>
          </cell>
          <cell r="C5" t="str">
            <v>CINERGY CORP</v>
          </cell>
          <cell r="D5">
            <v>19961219</v>
          </cell>
          <cell r="E5" t="str">
            <v>EPS</v>
          </cell>
          <cell r="F5" t="str">
            <v>ANN</v>
          </cell>
          <cell r="G5">
            <v>1</v>
          </cell>
          <cell r="H5">
            <v>22</v>
          </cell>
          <cell r="I5">
            <v>2.2999999999999998</v>
          </cell>
          <cell r="J5">
            <v>2.31</v>
          </cell>
          <cell r="K5">
            <v>1</v>
          </cell>
          <cell r="L5">
            <v>19961231</v>
          </cell>
          <cell r="M5">
            <v>2.2599999999999998</v>
          </cell>
          <cell r="N5">
            <v>19970130</v>
          </cell>
        </row>
        <row r="6">
          <cell r="A6" t="str">
            <v>CMS</v>
          </cell>
          <cell r="B6" t="str">
            <v>CMS</v>
          </cell>
          <cell r="C6" t="str">
            <v>CMS ENERGY CORP</v>
          </cell>
          <cell r="D6">
            <v>19961219</v>
          </cell>
          <cell r="E6" t="str">
            <v>EPS</v>
          </cell>
          <cell r="F6" t="str">
            <v>ANN</v>
          </cell>
          <cell r="G6">
            <v>1</v>
          </cell>
          <cell r="H6">
            <v>21</v>
          </cell>
          <cell r="I6">
            <v>2.41</v>
          </cell>
          <cell r="J6">
            <v>2.42</v>
          </cell>
          <cell r="K6">
            <v>1</v>
          </cell>
          <cell r="L6">
            <v>19961231</v>
          </cell>
          <cell r="M6">
            <v>2.4500000000000002</v>
          </cell>
          <cell r="N6">
            <v>19970122</v>
          </cell>
        </row>
        <row r="7">
          <cell r="A7" t="str">
            <v>CNL</v>
          </cell>
          <cell r="B7" t="str">
            <v>CNL</v>
          </cell>
          <cell r="C7" t="str">
            <v>CENT LA ELEC INC</v>
          </cell>
          <cell r="D7">
            <v>19961219</v>
          </cell>
          <cell r="E7" t="str">
            <v>EPS</v>
          </cell>
          <cell r="F7" t="str">
            <v>ANN</v>
          </cell>
          <cell r="G7">
            <v>1</v>
          </cell>
          <cell r="H7">
            <v>6</v>
          </cell>
          <cell r="I7">
            <v>1.1100000000000001</v>
          </cell>
          <cell r="J7">
            <v>1.1100000000000001</v>
          </cell>
          <cell r="K7">
            <v>1</v>
          </cell>
          <cell r="L7">
            <v>19961231</v>
          </cell>
          <cell r="M7">
            <v>1.115</v>
          </cell>
          <cell r="N7">
            <v>19970129</v>
          </cell>
        </row>
        <row r="8">
          <cell r="A8" t="str">
            <v>CNP</v>
          </cell>
          <cell r="B8" t="str">
            <v>CNP</v>
          </cell>
          <cell r="C8" t="str">
            <v>CROWN CENT PETE</v>
          </cell>
          <cell r="D8">
            <v>19961219</v>
          </cell>
          <cell r="E8" t="str">
            <v>EPS</v>
          </cell>
          <cell r="F8" t="str">
            <v>ANN</v>
          </cell>
          <cell r="G8">
            <v>1</v>
          </cell>
          <cell r="H8">
            <v>2</v>
          </cell>
          <cell r="I8">
            <v>0</v>
          </cell>
          <cell r="J8">
            <v>0</v>
          </cell>
          <cell r="K8">
            <v>1</v>
          </cell>
          <cell r="L8">
            <v>19961231</v>
          </cell>
          <cell r="M8">
            <v>0.16</v>
          </cell>
          <cell r="N8">
            <v>19970227</v>
          </cell>
        </row>
        <row r="9">
          <cell r="A9" t="str">
            <v>CV</v>
          </cell>
          <cell r="B9" t="str">
            <v>CV</v>
          </cell>
          <cell r="C9" t="str">
            <v>CENT VT PUB SVC</v>
          </cell>
          <cell r="D9">
            <v>19961219</v>
          </cell>
          <cell r="E9" t="str">
            <v>EPS</v>
          </cell>
          <cell r="F9" t="str">
            <v>ANN</v>
          </cell>
          <cell r="G9">
            <v>1</v>
          </cell>
          <cell r="H9">
            <v>1</v>
          </cell>
          <cell r="I9">
            <v>1.48</v>
          </cell>
          <cell r="J9">
            <v>1.48</v>
          </cell>
          <cell r="K9">
            <v>1</v>
          </cell>
          <cell r="L9">
            <v>19961231</v>
          </cell>
          <cell r="M9">
            <v>1.41</v>
          </cell>
          <cell r="N9">
            <v>19970204</v>
          </cell>
        </row>
        <row r="10">
          <cell r="A10" t="str">
            <v>D</v>
          </cell>
          <cell r="B10" t="str">
            <v>D</v>
          </cell>
          <cell r="C10" t="str">
            <v>DOMINION RES INC</v>
          </cell>
          <cell r="D10">
            <v>19961219</v>
          </cell>
          <cell r="E10" t="str">
            <v>EPS</v>
          </cell>
          <cell r="F10" t="str">
            <v>ANN</v>
          </cell>
          <cell r="G10">
            <v>1</v>
          </cell>
          <cell r="H10">
            <v>27</v>
          </cell>
          <cell r="I10">
            <v>1.51</v>
          </cell>
          <cell r="J10">
            <v>1.51</v>
          </cell>
          <cell r="K10">
            <v>1</v>
          </cell>
          <cell r="L10">
            <v>19961231</v>
          </cell>
          <cell r="M10">
            <v>1.4950000000000001</v>
          </cell>
          <cell r="N10">
            <v>19970124</v>
          </cell>
        </row>
        <row r="11">
          <cell r="A11" t="str">
            <v>DPL</v>
          </cell>
          <cell r="B11" t="str">
            <v>DPL</v>
          </cell>
          <cell r="C11" t="str">
            <v>DPL INC</v>
          </cell>
          <cell r="D11">
            <v>19961219</v>
          </cell>
          <cell r="E11" t="str">
            <v>EPS</v>
          </cell>
          <cell r="F11" t="str">
            <v>ANN</v>
          </cell>
          <cell r="G11">
            <v>1</v>
          </cell>
          <cell r="H11">
            <v>21</v>
          </cell>
          <cell r="I11">
            <v>1.1299999999999999</v>
          </cell>
          <cell r="J11">
            <v>1.1299999999999999</v>
          </cell>
          <cell r="K11">
            <v>1</v>
          </cell>
          <cell r="L11">
            <v>19961231</v>
          </cell>
          <cell r="M11">
            <v>1.1467000000000001</v>
          </cell>
          <cell r="N11">
            <v>19970117</v>
          </cell>
        </row>
        <row r="12">
          <cell r="A12" t="str">
            <v>DTE</v>
          </cell>
          <cell r="B12" t="str">
            <v>DTE</v>
          </cell>
          <cell r="C12" t="str">
            <v>DTE ENERGY</v>
          </cell>
          <cell r="D12">
            <v>19961219</v>
          </cell>
          <cell r="E12" t="str">
            <v>EPS</v>
          </cell>
          <cell r="F12" t="str">
            <v>ANN</v>
          </cell>
          <cell r="G12">
            <v>1</v>
          </cell>
          <cell r="H12">
            <v>20</v>
          </cell>
          <cell r="I12">
            <v>2.9</v>
          </cell>
          <cell r="J12">
            <v>2.91</v>
          </cell>
          <cell r="K12">
            <v>1</v>
          </cell>
          <cell r="L12">
            <v>19961231</v>
          </cell>
          <cell r="M12">
            <v>2.81</v>
          </cell>
          <cell r="N12">
            <v>19970127</v>
          </cell>
        </row>
        <row r="13">
          <cell r="A13" t="str">
            <v>DUK</v>
          </cell>
          <cell r="B13" t="str">
            <v>DUK</v>
          </cell>
          <cell r="C13" t="str">
            <v>DUKE POWER CO</v>
          </cell>
          <cell r="D13">
            <v>19961219</v>
          </cell>
          <cell r="E13" t="str">
            <v>EPS</v>
          </cell>
          <cell r="F13" t="str">
            <v>ANN</v>
          </cell>
          <cell r="G13">
            <v>1</v>
          </cell>
          <cell r="H13">
            <v>24</v>
          </cell>
          <cell r="I13">
            <v>5.0999999999999996</v>
          </cell>
          <cell r="J13">
            <v>5.1100000000000003</v>
          </cell>
          <cell r="K13">
            <v>1</v>
          </cell>
          <cell r="L13">
            <v>19961231</v>
          </cell>
          <cell r="M13">
            <v>5.0549999999999997</v>
          </cell>
          <cell r="N13">
            <v>19970123</v>
          </cell>
        </row>
        <row r="14">
          <cell r="A14" t="str">
            <v>ED</v>
          </cell>
          <cell r="B14" t="str">
            <v>ED</v>
          </cell>
          <cell r="C14" t="str">
            <v>CONS EDISON CO</v>
          </cell>
          <cell r="D14">
            <v>19961219</v>
          </cell>
          <cell r="E14" t="str">
            <v>EPS</v>
          </cell>
          <cell r="F14" t="str">
            <v>ANN</v>
          </cell>
          <cell r="G14">
            <v>1</v>
          </cell>
          <cell r="H14">
            <v>20</v>
          </cell>
          <cell r="I14">
            <v>2.88</v>
          </cell>
          <cell r="J14">
            <v>2.87</v>
          </cell>
          <cell r="K14">
            <v>1</v>
          </cell>
          <cell r="L14">
            <v>19961231</v>
          </cell>
          <cell r="M14">
            <v>2.93</v>
          </cell>
          <cell r="N14">
            <v>19970128</v>
          </cell>
        </row>
        <row r="15">
          <cell r="A15" t="str">
            <v>EDE</v>
          </cell>
          <cell r="B15" t="str">
            <v>EDE</v>
          </cell>
          <cell r="C15" t="str">
            <v>EMPIRE DIST ELEC</v>
          </cell>
          <cell r="D15">
            <v>19961219</v>
          </cell>
          <cell r="E15" t="str">
            <v>EPS</v>
          </cell>
          <cell r="F15" t="str">
            <v>ANN</v>
          </cell>
          <cell r="G15">
            <v>1</v>
          </cell>
          <cell r="H15">
            <v>3</v>
          </cell>
          <cell r="I15">
            <v>1.4</v>
          </cell>
          <cell r="J15">
            <v>1.35</v>
          </cell>
          <cell r="K15">
            <v>1</v>
          </cell>
          <cell r="L15">
            <v>19961231</v>
          </cell>
          <cell r="M15">
            <v>1.21</v>
          </cell>
          <cell r="N15">
            <v>19970123</v>
          </cell>
        </row>
        <row r="16">
          <cell r="A16" t="str">
            <v>EXC</v>
          </cell>
          <cell r="B16" t="str">
            <v>EXC</v>
          </cell>
          <cell r="C16" t="str">
            <v>EXCEL INDS INC</v>
          </cell>
          <cell r="D16">
            <v>19961219</v>
          </cell>
          <cell r="E16" t="str">
            <v>EPS</v>
          </cell>
          <cell r="F16" t="str">
            <v>ANN</v>
          </cell>
          <cell r="G16">
            <v>1</v>
          </cell>
          <cell r="H16">
            <v>5</v>
          </cell>
          <cell r="I16">
            <v>1.6</v>
          </cell>
          <cell r="J16">
            <v>1.56</v>
          </cell>
          <cell r="K16">
            <v>1</v>
          </cell>
          <cell r="L16">
            <v>19961231</v>
          </cell>
          <cell r="M16">
            <v>1.6839999999999999</v>
          </cell>
          <cell r="N16">
            <v>19970220</v>
          </cell>
        </row>
        <row r="17">
          <cell r="A17" t="str">
            <v>FPL</v>
          </cell>
          <cell r="B17" t="str">
            <v>FPL</v>
          </cell>
          <cell r="C17" t="str">
            <v>FPL GROUP</v>
          </cell>
          <cell r="D17">
            <v>19961219</v>
          </cell>
          <cell r="E17" t="str">
            <v>EPS</v>
          </cell>
          <cell r="F17" t="str">
            <v>ANN</v>
          </cell>
          <cell r="G17">
            <v>1</v>
          </cell>
          <cell r="H17">
            <v>26</v>
          </cell>
          <cell r="I17">
            <v>0.41</v>
          </cell>
          <cell r="J17">
            <v>0.41</v>
          </cell>
          <cell r="K17">
            <v>1</v>
          </cell>
          <cell r="L17">
            <v>19961231</v>
          </cell>
          <cell r="M17">
            <v>0.4163</v>
          </cell>
          <cell r="N17">
            <v>19970116</v>
          </cell>
        </row>
        <row r="18">
          <cell r="A18" t="str">
            <v>HE</v>
          </cell>
          <cell r="B18" t="str">
            <v>HE</v>
          </cell>
          <cell r="C18" t="str">
            <v>HAWAIIAN ELEC</v>
          </cell>
          <cell r="D18">
            <v>19961219</v>
          </cell>
          <cell r="E18" t="str">
            <v>EPS</v>
          </cell>
          <cell r="F18" t="str">
            <v>ANN</v>
          </cell>
          <cell r="G18">
            <v>1</v>
          </cell>
          <cell r="H18">
            <v>11</v>
          </cell>
          <cell r="I18">
            <v>1.4</v>
          </cell>
          <cell r="J18">
            <v>1.39</v>
          </cell>
          <cell r="K18">
            <v>1</v>
          </cell>
          <cell r="L18">
            <v>19961231</v>
          </cell>
          <cell r="M18">
            <v>1.4350000000000001</v>
          </cell>
          <cell r="N18">
            <v>19970127</v>
          </cell>
        </row>
        <row r="19">
          <cell r="A19" t="str">
            <v>IDA</v>
          </cell>
          <cell r="B19" t="str">
            <v>IDA</v>
          </cell>
          <cell r="C19" t="str">
            <v>IDAHO POWER CO</v>
          </cell>
          <cell r="D19">
            <v>19961219</v>
          </cell>
          <cell r="E19" t="str">
            <v>EPS</v>
          </cell>
          <cell r="F19" t="str">
            <v>ANN</v>
          </cell>
          <cell r="G19">
            <v>1</v>
          </cell>
          <cell r="H19">
            <v>10</v>
          </cell>
          <cell r="I19">
            <v>2.27</v>
          </cell>
          <cell r="J19">
            <v>2.27</v>
          </cell>
          <cell r="K19">
            <v>1</v>
          </cell>
          <cell r="L19">
            <v>19961231</v>
          </cell>
          <cell r="M19">
            <v>2.21</v>
          </cell>
          <cell r="N19">
            <v>19970131</v>
          </cell>
        </row>
        <row r="20">
          <cell r="A20" t="str">
            <v>WR</v>
          </cell>
          <cell r="B20" t="str">
            <v>KAN</v>
          </cell>
          <cell r="C20" t="str">
            <v>WESTN RESOURCES</v>
          </cell>
          <cell r="D20">
            <v>19961219</v>
          </cell>
          <cell r="E20" t="str">
            <v>EPS</v>
          </cell>
          <cell r="F20" t="str">
            <v>ANN</v>
          </cell>
          <cell r="G20">
            <v>1</v>
          </cell>
          <cell r="H20">
            <v>17</v>
          </cell>
          <cell r="I20">
            <v>2.6</v>
          </cell>
          <cell r="J20">
            <v>2.64</v>
          </cell>
          <cell r="K20">
            <v>1</v>
          </cell>
          <cell r="L20">
            <v>19961231</v>
          </cell>
          <cell r="M20">
            <v>2.6</v>
          </cell>
          <cell r="N20">
            <v>19970124</v>
          </cell>
        </row>
        <row r="21">
          <cell r="A21" t="str">
            <v>ETR</v>
          </cell>
          <cell r="B21" t="str">
            <v>MSU</v>
          </cell>
          <cell r="C21" t="str">
            <v>ENTERGY CP</v>
          </cell>
          <cell r="D21">
            <v>19961219</v>
          </cell>
          <cell r="E21" t="str">
            <v>EPS</v>
          </cell>
          <cell r="F21" t="str">
            <v>ANN</v>
          </cell>
          <cell r="G21">
            <v>1</v>
          </cell>
          <cell r="H21">
            <v>19</v>
          </cell>
          <cell r="I21">
            <v>2.4500000000000002</v>
          </cell>
          <cell r="J21">
            <v>2.44</v>
          </cell>
          <cell r="K21">
            <v>1</v>
          </cell>
          <cell r="L21">
            <v>19961231</v>
          </cell>
          <cell r="M21">
            <v>2.48</v>
          </cell>
          <cell r="N21">
            <v>19970213</v>
          </cell>
        </row>
        <row r="22">
          <cell r="A22" t="str">
            <v>NU</v>
          </cell>
          <cell r="B22" t="str">
            <v>NU</v>
          </cell>
          <cell r="C22" t="str">
            <v>NORTHEAST UTILS</v>
          </cell>
          <cell r="D22">
            <v>19961219</v>
          </cell>
          <cell r="E22" t="str">
            <v>EPS</v>
          </cell>
          <cell r="F22" t="str">
            <v>ANN</v>
          </cell>
          <cell r="G22">
            <v>1</v>
          </cell>
          <cell r="H22">
            <v>19</v>
          </cell>
          <cell r="I22">
            <v>0.65</v>
          </cell>
          <cell r="J22">
            <v>0.67</v>
          </cell>
          <cell r="K22">
            <v>1</v>
          </cell>
          <cell r="L22">
            <v>19961231</v>
          </cell>
          <cell r="M22">
            <v>0.59</v>
          </cell>
          <cell r="N22">
            <v>19970128</v>
          </cell>
        </row>
        <row r="23">
          <cell r="A23" t="str">
            <v>OGE</v>
          </cell>
          <cell r="B23" t="str">
            <v>OGE</v>
          </cell>
          <cell r="C23" t="str">
            <v>OKLAHOMA G&amp;E</v>
          </cell>
          <cell r="D23">
            <v>19961219</v>
          </cell>
          <cell r="E23" t="str">
            <v>EPS</v>
          </cell>
          <cell r="F23" t="str">
            <v>ANN</v>
          </cell>
          <cell r="G23">
            <v>1</v>
          </cell>
          <cell r="H23">
            <v>18</v>
          </cell>
          <cell r="I23">
            <v>0.8</v>
          </cell>
          <cell r="J23">
            <v>0.8</v>
          </cell>
          <cell r="K23">
            <v>1</v>
          </cell>
          <cell r="L23">
            <v>19961231</v>
          </cell>
          <cell r="M23">
            <v>0.8125</v>
          </cell>
          <cell r="N23">
            <v>19970127</v>
          </cell>
        </row>
        <row r="24">
          <cell r="A24" t="str">
            <v>OTTR</v>
          </cell>
          <cell r="B24" t="str">
            <v>OTTR</v>
          </cell>
          <cell r="C24" t="str">
            <v>OTTER TAIL PWR</v>
          </cell>
          <cell r="D24">
            <v>19961219</v>
          </cell>
          <cell r="E24" t="str">
            <v>EPS</v>
          </cell>
          <cell r="F24" t="str">
            <v>ANN</v>
          </cell>
          <cell r="G24">
            <v>1</v>
          </cell>
          <cell r="H24">
            <v>2</v>
          </cell>
          <cell r="I24">
            <v>1.24</v>
          </cell>
          <cell r="J24">
            <v>1.24</v>
          </cell>
          <cell r="K24">
            <v>1</v>
          </cell>
          <cell r="L24">
            <v>19961231</v>
          </cell>
          <cell r="M24">
            <v>1.23</v>
          </cell>
          <cell r="N24">
            <v>19970127</v>
          </cell>
        </row>
        <row r="25">
          <cell r="A25" t="str">
            <v>PCG</v>
          </cell>
          <cell r="B25" t="str">
            <v>PCG</v>
          </cell>
          <cell r="C25" t="str">
            <v>PACIFIC G &amp; E</v>
          </cell>
          <cell r="D25">
            <v>19961219</v>
          </cell>
          <cell r="E25" t="str">
            <v>EPS</v>
          </cell>
          <cell r="F25" t="str">
            <v>ANN</v>
          </cell>
          <cell r="G25">
            <v>1</v>
          </cell>
          <cell r="H25">
            <v>22</v>
          </cell>
          <cell r="I25">
            <v>2.5</v>
          </cell>
          <cell r="J25">
            <v>2.48</v>
          </cell>
          <cell r="K25">
            <v>1</v>
          </cell>
          <cell r="L25">
            <v>19961231</v>
          </cell>
          <cell r="M25">
            <v>2.41</v>
          </cell>
          <cell r="N25">
            <v>19970115</v>
          </cell>
        </row>
        <row r="26">
          <cell r="A26" t="str">
            <v>PEG</v>
          </cell>
          <cell r="B26" t="str">
            <v>PEG</v>
          </cell>
          <cell r="C26" t="str">
            <v>PUB SVC ENTERS</v>
          </cell>
          <cell r="D26">
            <v>19961219</v>
          </cell>
          <cell r="E26" t="str">
            <v>EPS</v>
          </cell>
          <cell r="F26" t="str">
            <v>ANN</v>
          </cell>
          <cell r="G26">
            <v>1</v>
          </cell>
          <cell r="H26">
            <v>23</v>
          </cell>
          <cell r="I26">
            <v>1.31</v>
          </cell>
          <cell r="J26">
            <v>1.3</v>
          </cell>
          <cell r="K26">
            <v>1</v>
          </cell>
          <cell r="L26">
            <v>19961231</v>
          </cell>
          <cell r="M26">
            <v>1.33</v>
          </cell>
          <cell r="N26">
            <v>19970121</v>
          </cell>
        </row>
        <row r="27">
          <cell r="A27" t="str">
            <v>PGN</v>
          </cell>
          <cell r="B27" t="str">
            <v>PGN</v>
          </cell>
          <cell r="C27" t="str">
            <v>PORTLAND GEN CP</v>
          </cell>
          <cell r="D27">
            <v>19961219</v>
          </cell>
          <cell r="E27" t="str">
            <v>EPS</v>
          </cell>
          <cell r="F27" t="str">
            <v>ANN</v>
          </cell>
          <cell r="G27">
            <v>1</v>
          </cell>
          <cell r="H27">
            <v>13</v>
          </cell>
          <cell r="I27">
            <v>2.7</v>
          </cell>
          <cell r="J27">
            <v>2.69</v>
          </cell>
          <cell r="K27">
            <v>1</v>
          </cell>
          <cell r="L27">
            <v>19961231</v>
          </cell>
          <cell r="M27">
            <v>3</v>
          </cell>
          <cell r="N27">
            <v>19970121</v>
          </cell>
        </row>
        <row r="28">
          <cell r="A28" t="str">
            <v>PNM</v>
          </cell>
          <cell r="B28" t="str">
            <v>PNM</v>
          </cell>
          <cell r="C28" t="str">
            <v>PUB SVC N MEX</v>
          </cell>
          <cell r="D28">
            <v>19961219</v>
          </cell>
          <cell r="E28" t="str">
            <v>EPS</v>
          </cell>
          <cell r="F28" t="str">
            <v>ANN</v>
          </cell>
          <cell r="G28">
            <v>1</v>
          </cell>
          <cell r="H28">
            <v>12</v>
          </cell>
          <cell r="I28">
            <v>1.1000000000000001</v>
          </cell>
          <cell r="J28">
            <v>1.07</v>
          </cell>
          <cell r="K28">
            <v>1</v>
          </cell>
          <cell r="L28">
            <v>19961231</v>
          </cell>
          <cell r="M28">
            <v>1.1133</v>
          </cell>
          <cell r="N28">
            <v>19970127</v>
          </cell>
        </row>
        <row r="29">
          <cell r="A29" t="str">
            <v>POM</v>
          </cell>
          <cell r="B29" t="str">
            <v>POM</v>
          </cell>
          <cell r="C29" t="str">
            <v>POTOMAC ELEC</v>
          </cell>
          <cell r="D29">
            <v>19961219</v>
          </cell>
          <cell r="E29" t="str">
            <v>EPS</v>
          </cell>
          <cell r="F29" t="str">
            <v>ANN</v>
          </cell>
          <cell r="G29">
            <v>1</v>
          </cell>
          <cell r="H29">
            <v>22</v>
          </cell>
          <cell r="I29">
            <v>1.8</v>
          </cell>
          <cell r="J29">
            <v>1.81</v>
          </cell>
          <cell r="K29">
            <v>1</v>
          </cell>
          <cell r="L29">
            <v>19961231</v>
          </cell>
          <cell r="M29">
            <v>1.86</v>
          </cell>
          <cell r="N29">
            <v>19970123</v>
          </cell>
        </row>
        <row r="30">
          <cell r="A30" t="str">
            <v>PPL</v>
          </cell>
          <cell r="B30" t="str">
            <v>PPL</v>
          </cell>
          <cell r="C30" t="str">
            <v>PP&amp;L RESOURCES</v>
          </cell>
          <cell r="D30">
            <v>19961219</v>
          </cell>
          <cell r="E30" t="str">
            <v>EPS</v>
          </cell>
          <cell r="F30" t="str">
            <v>ANN</v>
          </cell>
          <cell r="G30">
            <v>1</v>
          </cell>
          <cell r="H30">
            <v>21</v>
          </cell>
          <cell r="I30">
            <v>1</v>
          </cell>
          <cell r="J30">
            <v>1.01</v>
          </cell>
          <cell r="K30">
            <v>1</v>
          </cell>
          <cell r="L30">
            <v>19961231</v>
          </cell>
          <cell r="M30">
            <v>1.0449999999999999</v>
          </cell>
          <cell r="N30">
            <v>19970122</v>
          </cell>
        </row>
        <row r="31">
          <cell r="A31" t="str">
            <v>PSD</v>
          </cell>
          <cell r="B31" t="str">
            <v>PSD</v>
          </cell>
          <cell r="C31" t="str">
            <v>PUGET SOUND P&amp;L</v>
          </cell>
          <cell r="D31">
            <v>19961219</v>
          </cell>
          <cell r="E31" t="str">
            <v>EPS</v>
          </cell>
          <cell r="F31" t="str">
            <v>ANN</v>
          </cell>
          <cell r="G31">
            <v>1</v>
          </cell>
          <cell r="H31">
            <v>11</v>
          </cell>
          <cell r="I31">
            <v>1.9</v>
          </cell>
          <cell r="J31">
            <v>1.89</v>
          </cell>
          <cell r="K31">
            <v>1</v>
          </cell>
          <cell r="L31">
            <v>19961231</v>
          </cell>
          <cell r="M31">
            <v>1.89</v>
          </cell>
          <cell r="N31">
            <v>19970212</v>
          </cell>
        </row>
        <row r="32">
          <cell r="A32" t="str">
            <v>EIX</v>
          </cell>
          <cell r="B32" t="str">
            <v>SCE</v>
          </cell>
          <cell r="C32" t="str">
            <v>EDISON INTL</v>
          </cell>
          <cell r="D32">
            <v>19961219</v>
          </cell>
          <cell r="E32" t="str">
            <v>EPS</v>
          </cell>
          <cell r="F32" t="str">
            <v>ANN</v>
          </cell>
          <cell r="G32">
            <v>1</v>
          </cell>
          <cell r="H32">
            <v>22</v>
          </cell>
          <cell r="I32">
            <v>1.7</v>
          </cell>
          <cell r="J32">
            <v>1.69</v>
          </cell>
          <cell r="K32">
            <v>1</v>
          </cell>
          <cell r="L32">
            <v>19961231</v>
          </cell>
          <cell r="M32">
            <v>1.69</v>
          </cell>
          <cell r="N32">
            <v>19970117</v>
          </cell>
        </row>
        <row r="33">
          <cell r="A33" t="str">
            <v>SCG</v>
          </cell>
          <cell r="B33" t="str">
            <v>SCG</v>
          </cell>
          <cell r="C33" t="str">
            <v>SCANA CP</v>
          </cell>
          <cell r="D33">
            <v>19961219</v>
          </cell>
          <cell r="E33" t="str">
            <v>EPS</v>
          </cell>
          <cell r="F33" t="str">
            <v>ANN</v>
          </cell>
          <cell r="G33">
            <v>1</v>
          </cell>
          <cell r="H33">
            <v>16</v>
          </cell>
          <cell r="I33">
            <v>2.0099999999999998</v>
          </cell>
          <cell r="J33">
            <v>1.97</v>
          </cell>
          <cell r="K33">
            <v>1</v>
          </cell>
          <cell r="L33">
            <v>19961231</v>
          </cell>
          <cell r="M33">
            <v>2</v>
          </cell>
          <cell r="N33">
            <v>19970210</v>
          </cell>
        </row>
        <row r="34">
          <cell r="A34" t="str">
            <v>SO</v>
          </cell>
          <cell r="B34" t="str">
            <v>SO</v>
          </cell>
          <cell r="C34" t="str">
            <v>SOUTHN CO</v>
          </cell>
          <cell r="D34">
            <v>19961219</v>
          </cell>
          <cell r="E34" t="str">
            <v>EPS</v>
          </cell>
          <cell r="F34" t="str">
            <v>ANN</v>
          </cell>
          <cell r="G34">
            <v>1</v>
          </cell>
          <cell r="H34">
            <v>29</v>
          </cell>
          <cell r="I34">
            <v>1.75</v>
          </cell>
          <cell r="J34">
            <v>1.74</v>
          </cell>
          <cell r="K34">
            <v>1</v>
          </cell>
          <cell r="L34">
            <v>19961231</v>
          </cell>
          <cell r="M34">
            <v>1.68</v>
          </cell>
          <cell r="N34">
            <v>19970120</v>
          </cell>
        </row>
        <row r="35">
          <cell r="A35" t="str">
            <v>TE</v>
          </cell>
          <cell r="B35" t="str">
            <v>TE</v>
          </cell>
          <cell r="C35" t="str">
            <v>TECO ENERGY INC</v>
          </cell>
          <cell r="D35">
            <v>19961219</v>
          </cell>
          <cell r="E35" t="str">
            <v>EPS</v>
          </cell>
          <cell r="F35" t="str">
            <v>ANN</v>
          </cell>
          <cell r="G35">
            <v>1</v>
          </cell>
          <cell r="H35">
            <v>22</v>
          </cell>
          <cell r="I35">
            <v>1.7</v>
          </cell>
          <cell r="J35">
            <v>1.68</v>
          </cell>
          <cell r="K35">
            <v>1</v>
          </cell>
          <cell r="L35">
            <v>19961231</v>
          </cell>
          <cell r="M35">
            <v>1.71</v>
          </cell>
          <cell r="N35">
            <v>19970115</v>
          </cell>
        </row>
        <row r="36">
          <cell r="A36" t="str">
            <v>UIL</v>
          </cell>
          <cell r="B36" t="str">
            <v>UIL</v>
          </cell>
          <cell r="C36" t="str">
            <v>UTD ILLUM COO</v>
          </cell>
          <cell r="D36">
            <v>19961219</v>
          </cell>
          <cell r="E36" t="str">
            <v>EPS</v>
          </cell>
          <cell r="F36" t="str">
            <v>ANN</v>
          </cell>
          <cell r="G36">
            <v>1</v>
          </cell>
          <cell r="H36">
            <v>7</v>
          </cell>
          <cell r="I36">
            <v>2.2799999999999998</v>
          </cell>
          <cell r="J36">
            <v>2.29</v>
          </cell>
          <cell r="K36">
            <v>1</v>
          </cell>
          <cell r="L36">
            <v>19961231</v>
          </cell>
          <cell r="M36">
            <v>2.1840000000000002</v>
          </cell>
          <cell r="N36">
            <v>19970127</v>
          </cell>
        </row>
        <row r="37">
          <cell r="A37" t="str">
            <v>WEC</v>
          </cell>
          <cell r="B37" t="str">
            <v>WPC</v>
          </cell>
          <cell r="C37" t="str">
            <v>WISCONSIN ENERGY</v>
          </cell>
          <cell r="D37">
            <v>19961219</v>
          </cell>
          <cell r="E37" t="str">
            <v>EPS</v>
          </cell>
          <cell r="F37" t="str">
            <v>ANN</v>
          </cell>
          <cell r="G37">
            <v>1</v>
          </cell>
          <cell r="H37">
            <v>23</v>
          </cell>
          <cell r="I37">
            <v>1.02</v>
          </cell>
          <cell r="J37">
            <v>1.04</v>
          </cell>
          <cell r="K37">
            <v>1</v>
          </cell>
          <cell r="L37">
            <v>19961231</v>
          </cell>
          <cell r="M37">
            <v>0.98499999999999999</v>
          </cell>
          <cell r="N37">
            <v>19970129</v>
          </cell>
        </row>
        <row r="38">
          <cell r="A38" t="str">
            <v>WPS</v>
          </cell>
          <cell r="B38" t="str">
            <v>WPS</v>
          </cell>
          <cell r="C38" t="str">
            <v>WPS RESOURCES CP</v>
          </cell>
          <cell r="D38">
            <v>19961219</v>
          </cell>
          <cell r="E38" t="str">
            <v>EPS</v>
          </cell>
          <cell r="F38" t="str">
            <v>ANN</v>
          </cell>
          <cell r="G38">
            <v>1</v>
          </cell>
          <cell r="H38">
            <v>8</v>
          </cell>
          <cell r="I38">
            <v>2.33</v>
          </cell>
          <cell r="J38">
            <v>2.27</v>
          </cell>
          <cell r="K38">
            <v>1</v>
          </cell>
          <cell r="L38">
            <v>19961231</v>
          </cell>
          <cell r="M38">
            <v>2.35</v>
          </cell>
          <cell r="N38">
            <v>19970128</v>
          </cell>
        </row>
        <row r="39">
          <cell r="A39" t="str">
            <v>DPL</v>
          </cell>
          <cell r="B39" t="str">
            <v>@3DK</v>
          </cell>
          <cell r="C39" t="str">
            <v>DANKOTUWA PORC.</v>
          </cell>
          <cell r="D39">
            <v>19961219</v>
          </cell>
          <cell r="E39" t="str">
            <v>EPS</v>
          </cell>
          <cell r="F39" t="str">
            <v>ANN</v>
          </cell>
          <cell r="G39">
            <v>1</v>
          </cell>
          <cell r="H39">
            <v>3</v>
          </cell>
          <cell r="I39">
            <v>2.71</v>
          </cell>
          <cell r="J39">
            <v>2.73</v>
          </cell>
          <cell r="K39">
            <v>0</v>
          </cell>
          <cell r="L39">
            <v>19961231</v>
          </cell>
          <cell r="M39">
            <v>2.5152999999999999</v>
          </cell>
          <cell r="N39">
            <v>19970221</v>
          </cell>
        </row>
        <row r="40">
          <cell r="A40" t="str">
            <v>CV</v>
          </cell>
          <cell r="B40" t="str">
            <v>@3MT</v>
          </cell>
          <cell r="C40" t="str">
            <v>COATS VIYELLA</v>
          </cell>
          <cell r="D40">
            <v>19961219</v>
          </cell>
          <cell r="E40" t="str">
            <v>EPS</v>
          </cell>
          <cell r="F40" t="str">
            <v>ANN</v>
          </cell>
          <cell r="G40">
            <v>1</v>
          </cell>
          <cell r="H40">
            <v>2</v>
          </cell>
          <cell r="I40">
            <v>5.75</v>
          </cell>
          <cell r="J40">
            <v>5.75</v>
          </cell>
          <cell r="K40">
            <v>0</v>
          </cell>
          <cell r="L40">
            <v>19961231</v>
          </cell>
          <cell r="M40">
            <v>2.1</v>
          </cell>
          <cell r="N40">
            <v>19970422</v>
          </cell>
        </row>
        <row r="41">
          <cell r="A41" t="str">
            <v>AGR</v>
          </cell>
          <cell r="B41" t="str">
            <v>@AGM</v>
          </cell>
          <cell r="C41" t="str">
            <v>AGROMAN</v>
          </cell>
          <cell r="D41">
            <v>19961219</v>
          </cell>
          <cell r="E41" t="str">
            <v>EPS</v>
          </cell>
          <cell r="F41" t="str">
            <v>ANN</v>
          </cell>
          <cell r="G41">
            <v>1</v>
          </cell>
          <cell r="H41">
            <v>6</v>
          </cell>
          <cell r="I41">
            <v>-2</v>
          </cell>
          <cell r="J41">
            <v>-1</v>
          </cell>
          <cell r="K41">
            <v>0</v>
          </cell>
          <cell r="L41">
            <v>19961231</v>
          </cell>
          <cell r="M41">
            <v>1</v>
          </cell>
          <cell r="N41">
            <v>19970403</v>
          </cell>
        </row>
        <row r="42">
          <cell r="A42" t="str">
            <v>AVA</v>
          </cell>
          <cell r="B42" t="str">
            <v>@AHV</v>
          </cell>
          <cell r="C42" t="str">
            <v>AVA</v>
          </cell>
          <cell r="D42">
            <v>19961219</v>
          </cell>
          <cell r="E42" t="str">
            <v>EPS</v>
          </cell>
          <cell r="F42" t="str">
            <v>ANN</v>
          </cell>
          <cell r="G42">
            <v>1</v>
          </cell>
          <cell r="H42">
            <v>28</v>
          </cell>
          <cell r="I42">
            <v>1.6</v>
          </cell>
          <cell r="J42">
            <v>1.7</v>
          </cell>
          <cell r="K42">
            <v>0</v>
          </cell>
          <cell r="L42">
            <v>19961231</v>
          </cell>
          <cell r="M42">
            <v>0.75</v>
          </cell>
          <cell r="N42">
            <v>19970702</v>
          </cell>
        </row>
        <row r="43">
          <cell r="A43" t="str">
            <v>ALE</v>
          </cell>
          <cell r="B43" t="str">
            <v>@AVG</v>
          </cell>
          <cell r="C43" t="str">
            <v>ABI LEISURE</v>
          </cell>
          <cell r="D43">
            <v>19961219</v>
          </cell>
          <cell r="E43" t="str">
            <v>EPS</v>
          </cell>
          <cell r="F43" t="str">
            <v>ANN</v>
          </cell>
          <cell r="G43">
            <v>1</v>
          </cell>
          <cell r="H43">
            <v>2</v>
          </cell>
          <cell r="I43">
            <v>11.1</v>
          </cell>
          <cell r="J43">
            <v>11.1</v>
          </cell>
          <cell r="K43">
            <v>0</v>
          </cell>
          <cell r="L43">
            <v>19970831</v>
          </cell>
          <cell r="M43">
            <v>-11.9</v>
          </cell>
          <cell r="N43">
            <v>19971216</v>
          </cell>
        </row>
        <row r="44">
          <cell r="A44" t="str">
            <v>CEG</v>
          </cell>
          <cell r="B44" t="str">
            <v>@CCG</v>
          </cell>
          <cell r="C44" t="str">
            <v>CEGEP</v>
          </cell>
          <cell r="D44">
            <v>19961219</v>
          </cell>
          <cell r="E44" t="str">
            <v>EPS</v>
          </cell>
          <cell r="F44" t="str">
            <v>ANN</v>
          </cell>
          <cell r="G44">
            <v>1</v>
          </cell>
          <cell r="H44">
            <v>1</v>
          </cell>
          <cell r="I44">
            <v>3.6</v>
          </cell>
          <cell r="J44">
            <v>3.6</v>
          </cell>
          <cell r="K44">
            <v>0</v>
          </cell>
          <cell r="L44">
            <v>19961231</v>
          </cell>
        </row>
        <row r="45">
          <cell r="A45" t="str">
            <v>CNP</v>
          </cell>
          <cell r="B45" t="str">
            <v>@CE4</v>
          </cell>
          <cell r="C45" t="str">
            <v>CEMENTOS N PACAS</v>
          </cell>
          <cell r="D45">
            <v>19961219</v>
          </cell>
          <cell r="E45" t="str">
            <v>EPS</v>
          </cell>
          <cell r="F45" t="str">
            <v>ANN</v>
          </cell>
          <cell r="G45">
            <v>1</v>
          </cell>
          <cell r="H45">
            <v>8</v>
          </cell>
          <cell r="I45">
            <v>0.11</v>
          </cell>
          <cell r="J45">
            <v>0.12</v>
          </cell>
          <cell r="K45">
            <v>0</v>
          </cell>
          <cell r="L45">
            <v>19961231</v>
          </cell>
          <cell r="M45">
            <v>0.1368</v>
          </cell>
          <cell r="N45">
            <v>19970423</v>
          </cell>
        </row>
        <row r="46">
          <cell r="A46" t="str">
            <v>CEG</v>
          </cell>
          <cell r="B46" t="str">
            <v>@CQ5</v>
          </cell>
          <cell r="C46" t="str">
            <v>CROWN EYEGLASSES</v>
          </cell>
          <cell r="D46">
            <v>19961219</v>
          </cell>
          <cell r="E46" t="str">
            <v>EPS</v>
          </cell>
          <cell r="F46" t="str">
            <v>ANN</v>
          </cell>
          <cell r="G46">
            <v>1</v>
          </cell>
          <cell r="H46">
            <v>1</v>
          </cell>
          <cell r="I46">
            <v>33.5</v>
          </cell>
          <cell r="J46">
            <v>33.5</v>
          </cell>
          <cell r="K46">
            <v>0</v>
          </cell>
          <cell r="L46">
            <v>19970331</v>
          </cell>
          <cell r="M46">
            <v>16</v>
          </cell>
          <cell r="N46">
            <v>19970826</v>
          </cell>
        </row>
        <row r="47">
          <cell r="A47" t="str">
            <v>CIN</v>
          </cell>
          <cell r="B47" t="str">
            <v>@CUW</v>
          </cell>
          <cell r="C47" t="str">
            <v>CITY OF LOND PR</v>
          </cell>
          <cell r="D47">
            <v>19961219</v>
          </cell>
          <cell r="E47" t="str">
            <v>EPS</v>
          </cell>
          <cell r="F47" t="str">
            <v>ANN</v>
          </cell>
          <cell r="G47">
            <v>1</v>
          </cell>
          <cell r="H47">
            <v>1</v>
          </cell>
          <cell r="I47">
            <v>177.4</v>
          </cell>
          <cell r="J47">
            <v>177.4</v>
          </cell>
          <cell r="K47">
            <v>0</v>
          </cell>
          <cell r="L47">
            <v>19970331</v>
          </cell>
          <cell r="M47">
            <v>185.2</v>
          </cell>
          <cell r="N47">
            <v>19970625</v>
          </cell>
        </row>
        <row r="48">
          <cell r="A48" t="str">
            <v>CMS</v>
          </cell>
          <cell r="B48" t="str">
            <v>@CWJ</v>
          </cell>
          <cell r="C48" t="str">
            <v>CAMAS</v>
          </cell>
          <cell r="D48">
            <v>19961219</v>
          </cell>
          <cell r="E48" t="str">
            <v>EPS</v>
          </cell>
          <cell r="F48" t="str">
            <v>ANN</v>
          </cell>
          <cell r="G48">
            <v>1</v>
          </cell>
          <cell r="H48">
            <v>10</v>
          </cell>
          <cell r="I48">
            <v>4.9000000000000004</v>
          </cell>
          <cell r="J48">
            <v>5.03</v>
          </cell>
          <cell r="K48">
            <v>0</v>
          </cell>
          <cell r="L48">
            <v>19961231</v>
          </cell>
          <cell r="M48">
            <v>4.8</v>
          </cell>
          <cell r="N48">
            <v>19970404</v>
          </cell>
        </row>
        <row r="49">
          <cell r="A49" t="str">
            <v>CNP</v>
          </cell>
          <cell r="B49" t="str">
            <v>@CWV</v>
          </cell>
          <cell r="C49" t="str">
            <v>CANADIAN PIZZA</v>
          </cell>
          <cell r="D49">
            <v>19961219</v>
          </cell>
          <cell r="E49" t="str">
            <v>EPS</v>
          </cell>
          <cell r="F49" t="str">
            <v>ANN</v>
          </cell>
          <cell r="G49">
            <v>1</v>
          </cell>
          <cell r="H49">
            <v>2</v>
          </cell>
          <cell r="I49">
            <v>8.75</v>
          </cell>
          <cell r="J49">
            <v>8.75</v>
          </cell>
          <cell r="K49">
            <v>0</v>
          </cell>
          <cell r="L49">
            <v>19961231</v>
          </cell>
          <cell r="M49">
            <v>8.6999999999999993</v>
          </cell>
          <cell r="N49">
            <v>19970304</v>
          </cell>
        </row>
        <row r="50">
          <cell r="A50" t="str">
            <v>CNL</v>
          </cell>
          <cell r="B50" t="str">
            <v>@CXU</v>
          </cell>
          <cell r="C50" t="str">
            <v>CONTROL INSTR.</v>
          </cell>
          <cell r="D50">
            <v>19961219</v>
          </cell>
          <cell r="E50" t="str">
            <v>EPS</v>
          </cell>
          <cell r="F50" t="str">
            <v>ANN</v>
          </cell>
          <cell r="G50">
            <v>1</v>
          </cell>
          <cell r="H50">
            <v>1</v>
          </cell>
          <cell r="I50">
            <v>0.26</v>
          </cell>
          <cell r="J50">
            <v>0.26</v>
          </cell>
          <cell r="K50">
            <v>0</v>
          </cell>
          <cell r="L50">
            <v>19970630</v>
          </cell>
          <cell r="M50">
            <v>0.12</v>
          </cell>
          <cell r="N50">
            <v>19971105</v>
          </cell>
        </row>
        <row r="51">
          <cell r="A51" t="str">
            <v>D</v>
          </cell>
          <cell r="B51" t="str">
            <v>@DLM</v>
          </cell>
          <cell r="C51" t="str">
            <v>DALMINE</v>
          </cell>
          <cell r="D51">
            <v>19961219</v>
          </cell>
          <cell r="E51" t="str">
            <v>EPS</v>
          </cell>
          <cell r="F51" t="str">
            <v>ANN</v>
          </cell>
          <cell r="G51">
            <v>1</v>
          </cell>
          <cell r="H51">
            <v>3</v>
          </cell>
          <cell r="I51">
            <v>36</v>
          </cell>
          <cell r="J51">
            <v>40</v>
          </cell>
          <cell r="K51">
            <v>0</v>
          </cell>
          <cell r="L51">
            <v>19961231</v>
          </cell>
          <cell r="M51">
            <v>14.7</v>
          </cell>
          <cell r="N51">
            <v>19970520</v>
          </cell>
        </row>
        <row r="52">
          <cell r="A52" t="str">
            <v>DTE</v>
          </cell>
          <cell r="B52" t="str">
            <v>@DT</v>
          </cell>
          <cell r="C52" t="str">
            <v>DEUTSCHE TELEKOM</v>
          </cell>
          <cell r="D52">
            <v>19961219</v>
          </cell>
          <cell r="E52" t="str">
            <v>EPS</v>
          </cell>
          <cell r="F52" t="str">
            <v>ANN</v>
          </cell>
          <cell r="G52">
            <v>1</v>
          </cell>
          <cell r="H52">
            <v>15</v>
          </cell>
          <cell r="I52">
            <v>1.1000000000000001</v>
          </cell>
          <cell r="J52">
            <v>1.1000000000000001</v>
          </cell>
          <cell r="K52">
            <v>0</v>
          </cell>
          <cell r="L52">
            <v>19961231</v>
          </cell>
          <cell r="M52">
            <v>0.95240000000000002</v>
          </cell>
          <cell r="N52">
            <v>19970519</v>
          </cell>
        </row>
        <row r="53">
          <cell r="A53" t="str">
            <v>EXC</v>
          </cell>
          <cell r="B53" t="str">
            <v>@ECH</v>
          </cell>
          <cell r="C53" t="str">
            <v>EX-CELL-O-HLDG</v>
          </cell>
          <cell r="D53">
            <v>19961219</v>
          </cell>
          <cell r="E53" t="str">
            <v>EPS</v>
          </cell>
          <cell r="F53" t="str">
            <v>ANN</v>
          </cell>
          <cell r="G53">
            <v>1</v>
          </cell>
          <cell r="H53">
            <v>6</v>
          </cell>
          <cell r="I53">
            <v>-10.7</v>
          </cell>
          <cell r="J53">
            <v>-10.8</v>
          </cell>
          <cell r="K53">
            <v>0</v>
          </cell>
          <cell r="L53">
            <v>19961231</v>
          </cell>
          <cell r="M53">
            <v>-6.4775999999999998</v>
          </cell>
          <cell r="N53">
            <v>19970307</v>
          </cell>
        </row>
        <row r="54">
          <cell r="A54" t="str">
            <v>EXC</v>
          </cell>
          <cell r="B54" t="str">
            <v>@EXG</v>
          </cell>
          <cell r="C54" t="str">
            <v>EXCO</v>
          </cell>
          <cell r="D54">
            <v>19961219</v>
          </cell>
          <cell r="E54" t="str">
            <v>EPS</v>
          </cell>
          <cell r="F54" t="str">
            <v>ANN</v>
          </cell>
          <cell r="G54">
            <v>1</v>
          </cell>
          <cell r="H54">
            <v>6</v>
          </cell>
          <cell r="I54">
            <v>7.61</v>
          </cell>
          <cell r="J54">
            <v>7.49</v>
          </cell>
          <cell r="K54">
            <v>0</v>
          </cell>
          <cell r="L54">
            <v>19961231</v>
          </cell>
          <cell r="M54">
            <v>6.4</v>
          </cell>
          <cell r="N54">
            <v>19970319</v>
          </cell>
        </row>
        <row r="55">
          <cell r="A55" t="str">
            <v>CMS</v>
          </cell>
          <cell r="B55" t="str">
            <v>@HMD</v>
          </cell>
          <cell r="C55" t="str">
            <v>CAHYA MATA SARA.</v>
          </cell>
          <cell r="D55">
            <v>19961219</v>
          </cell>
          <cell r="E55" t="str">
            <v>EPS</v>
          </cell>
          <cell r="F55" t="str">
            <v>ANN</v>
          </cell>
          <cell r="G55">
            <v>1</v>
          </cell>
          <cell r="H55">
            <v>2</v>
          </cell>
          <cell r="I55">
            <v>0.13300000000000001</v>
          </cell>
          <cell r="J55">
            <v>0.13300000000000001</v>
          </cell>
          <cell r="K55">
            <v>0</v>
          </cell>
          <cell r="L55">
            <v>19961231</v>
          </cell>
          <cell r="M55">
            <v>0.1333</v>
          </cell>
          <cell r="N55">
            <v>19970422</v>
          </cell>
        </row>
        <row r="56">
          <cell r="A56" t="str">
            <v>DUK</v>
          </cell>
          <cell r="B56" t="str">
            <v>@IKR</v>
          </cell>
          <cell r="C56" t="str">
            <v>DUIKER MINING</v>
          </cell>
          <cell r="D56">
            <v>19961219</v>
          </cell>
          <cell r="E56" t="str">
            <v>EPS</v>
          </cell>
          <cell r="F56" t="str">
            <v>ANN</v>
          </cell>
          <cell r="G56">
            <v>1</v>
          </cell>
          <cell r="H56">
            <v>6</v>
          </cell>
          <cell r="I56">
            <v>1.34</v>
          </cell>
          <cell r="J56">
            <v>1.33</v>
          </cell>
          <cell r="K56">
            <v>0</v>
          </cell>
          <cell r="L56">
            <v>19970930</v>
          </cell>
          <cell r="M56">
            <v>0.98409999999999997</v>
          </cell>
          <cell r="N56">
            <v>19971215</v>
          </cell>
        </row>
        <row r="57">
          <cell r="A57" t="str">
            <v>FE</v>
          </cell>
          <cell r="B57" t="str">
            <v>@NNF</v>
          </cell>
          <cell r="C57" t="str">
            <v>FINEXTEL</v>
          </cell>
          <cell r="D57">
            <v>19961219</v>
          </cell>
          <cell r="E57" t="str">
            <v>EPS</v>
          </cell>
          <cell r="F57" t="str">
            <v>ANN</v>
          </cell>
          <cell r="G57">
            <v>1</v>
          </cell>
          <cell r="H57">
            <v>2</v>
          </cell>
          <cell r="I57">
            <v>2.95</v>
          </cell>
          <cell r="J57">
            <v>2.95</v>
          </cell>
          <cell r="K57">
            <v>0</v>
          </cell>
          <cell r="L57">
            <v>19961231</v>
          </cell>
          <cell r="M57">
            <v>4.7</v>
          </cell>
          <cell r="N57">
            <v>19970516</v>
          </cell>
        </row>
        <row r="58">
          <cell r="A58" t="str">
            <v>NST</v>
          </cell>
          <cell r="B58" t="str">
            <v>@NST</v>
          </cell>
          <cell r="C58" t="str">
            <v>N. S. TIMES</v>
          </cell>
          <cell r="D58">
            <v>19961219</v>
          </cell>
          <cell r="E58" t="str">
            <v>EPS</v>
          </cell>
          <cell r="F58" t="str">
            <v>ANN</v>
          </cell>
          <cell r="G58">
            <v>1</v>
          </cell>
          <cell r="H58">
            <v>21</v>
          </cell>
          <cell r="I58">
            <v>0.55200000000000005</v>
          </cell>
          <cell r="J58">
            <v>0.54100000000000004</v>
          </cell>
          <cell r="K58">
            <v>0</v>
          </cell>
          <cell r="L58">
            <v>19960831</v>
          </cell>
          <cell r="M58">
            <v>0.56499999999999995</v>
          </cell>
          <cell r="N58">
            <v>19970127</v>
          </cell>
        </row>
        <row r="59">
          <cell r="A59" t="str">
            <v>NST</v>
          </cell>
          <cell r="B59" t="str">
            <v>@NSZ</v>
          </cell>
          <cell r="C59" t="str">
            <v>NORDDEUTSCHE STE</v>
          </cell>
          <cell r="D59">
            <v>19961219</v>
          </cell>
          <cell r="E59" t="str">
            <v>EPS</v>
          </cell>
          <cell r="F59" t="str">
            <v>ANN</v>
          </cell>
          <cell r="G59">
            <v>1</v>
          </cell>
          <cell r="H59">
            <v>1</v>
          </cell>
          <cell r="I59">
            <v>1.5</v>
          </cell>
          <cell r="J59">
            <v>1.5</v>
          </cell>
          <cell r="K59">
            <v>0</v>
          </cell>
          <cell r="L59">
            <v>19961231</v>
          </cell>
          <cell r="M59">
            <v>1.2</v>
          </cell>
          <cell r="N59">
            <v>19971017</v>
          </cell>
        </row>
        <row r="60">
          <cell r="A60" t="str">
            <v>PEG</v>
          </cell>
          <cell r="B60" t="str">
            <v>@P7P</v>
          </cell>
          <cell r="C60" t="str">
            <v>PEG PROFILO</v>
          </cell>
          <cell r="D60">
            <v>19961219</v>
          </cell>
          <cell r="E60" t="str">
            <v>EPS</v>
          </cell>
          <cell r="F60" t="str">
            <v>ANN</v>
          </cell>
          <cell r="G60">
            <v>1</v>
          </cell>
          <cell r="H60">
            <v>9</v>
          </cell>
          <cell r="I60">
            <v>0.04</v>
          </cell>
          <cell r="J60">
            <v>0.04</v>
          </cell>
          <cell r="K60">
            <v>0</v>
          </cell>
          <cell r="L60">
            <v>19961231</v>
          </cell>
          <cell r="M60">
            <v>2.46E-2</v>
          </cell>
          <cell r="N60">
            <v>19970408</v>
          </cell>
        </row>
        <row r="61">
          <cell r="A61" t="str">
            <v>POM</v>
          </cell>
          <cell r="B61" t="str">
            <v>@PO8</v>
          </cell>
          <cell r="C61" t="str">
            <v>PLASTIC OMNIUM</v>
          </cell>
          <cell r="D61">
            <v>19961219</v>
          </cell>
          <cell r="E61" t="str">
            <v>EPS</v>
          </cell>
          <cell r="F61" t="str">
            <v>ANN</v>
          </cell>
          <cell r="G61">
            <v>1</v>
          </cell>
          <cell r="H61">
            <v>15</v>
          </cell>
          <cell r="I61">
            <v>0.47</v>
          </cell>
          <cell r="J61">
            <v>0.5</v>
          </cell>
          <cell r="K61">
            <v>0</v>
          </cell>
          <cell r="L61">
            <v>19961231</v>
          </cell>
          <cell r="M61">
            <v>0.63700000000000001</v>
          </cell>
          <cell r="N61">
            <v>19970513</v>
          </cell>
        </row>
        <row r="62">
          <cell r="A62" t="str">
            <v>POR</v>
          </cell>
          <cell r="B62" t="str">
            <v>@PS</v>
          </cell>
          <cell r="C62" t="str">
            <v>PORST HLDG</v>
          </cell>
          <cell r="D62">
            <v>19961219</v>
          </cell>
          <cell r="E62" t="str">
            <v>EPS</v>
          </cell>
          <cell r="F62" t="str">
            <v>ANN</v>
          </cell>
          <cell r="G62">
            <v>1</v>
          </cell>
          <cell r="H62">
            <v>4</v>
          </cell>
          <cell r="I62">
            <v>12.9</v>
          </cell>
          <cell r="J62">
            <v>12.15</v>
          </cell>
          <cell r="K62">
            <v>0</v>
          </cell>
          <cell r="L62">
            <v>19961231</v>
          </cell>
          <cell r="M62">
            <v>-76.599999999999994</v>
          </cell>
          <cell r="N62">
            <v>19970707</v>
          </cell>
        </row>
        <row r="63">
          <cell r="A63" t="str">
            <v>SCG</v>
          </cell>
          <cell r="B63" t="str">
            <v>@RRA</v>
          </cell>
          <cell r="C63" t="str">
            <v>SCHARRIGHUISEN</v>
          </cell>
          <cell r="D63">
            <v>19961219</v>
          </cell>
          <cell r="E63" t="str">
            <v>EPS</v>
          </cell>
          <cell r="F63" t="str">
            <v>ANN</v>
          </cell>
          <cell r="G63">
            <v>1</v>
          </cell>
          <cell r="H63">
            <v>1</v>
          </cell>
          <cell r="I63">
            <v>0.7</v>
          </cell>
          <cell r="J63">
            <v>0.7</v>
          </cell>
          <cell r="K63">
            <v>0</v>
          </cell>
          <cell r="L63">
            <v>19961231</v>
          </cell>
          <cell r="M63">
            <v>0.81</v>
          </cell>
          <cell r="N63">
            <v>19970326</v>
          </cell>
        </row>
        <row r="64">
          <cell r="A64" t="str">
            <v>SO</v>
          </cell>
          <cell r="B64" t="str">
            <v>@SOM</v>
          </cell>
          <cell r="C64" t="str">
            <v>SOMMER-ALLIBERT</v>
          </cell>
          <cell r="D64">
            <v>19961219</v>
          </cell>
          <cell r="E64" t="str">
            <v>EPS</v>
          </cell>
          <cell r="F64" t="str">
            <v>ANN</v>
          </cell>
          <cell r="G64">
            <v>1</v>
          </cell>
          <cell r="H64">
            <v>18</v>
          </cell>
          <cell r="I64">
            <v>10.75</v>
          </cell>
          <cell r="J64">
            <v>10.75</v>
          </cell>
          <cell r="K64">
            <v>0</v>
          </cell>
          <cell r="L64">
            <v>19961231</v>
          </cell>
          <cell r="M64">
            <v>11.3</v>
          </cell>
          <cell r="N64">
            <v>19970403</v>
          </cell>
        </row>
        <row r="65">
          <cell r="A65" t="str">
            <v>POR</v>
          </cell>
          <cell r="B65" t="str">
            <v>@YCP</v>
          </cell>
          <cell r="C65" t="str">
            <v>CEMENT PORTLAND</v>
          </cell>
          <cell r="D65">
            <v>19961219</v>
          </cell>
          <cell r="E65" t="str">
            <v>EPS</v>
          </cell>
          <cell r="F65" t="str">
            <v>ANN</v>
          </cell>
          <cell r="G65">
            <v>1</v>
          </cell>
          <cell r="H65">
            <v>13</v>
          </cell>
          <cell r="I65">
            <v>202</v>
          </cell>
          <cell r="J65">
            <v>212</v>
          </cell>
          <cell r="K65">
            <v>0</v>
          </cell>
          <cell r="L65">
            <v>19961231</v>
          </cell>
          <cell r="M65">
            <v>201.56370000000001</v>
          </cell>
          <cell r="N65">
            <v>19970610</v>
          </cell>
        </row>
        <row r="66">
          <cell r="A66" t="str">
            <v>CIN</v>
          </cell>
          <cell r="B66" t="str">
            <v>@YYN</v>
          </cell>
          <cell r="C66" t="str">
            <v>CIN</v>
          </cell>
          <cell r="D66">
            <v>19961219</v>
          </cell>
          <cell r="E66" t="str">
            <v>EPS</v>
          </cell>
          <cell r="F66" t="str">
            <v>ANN</v>
          </cell>
          <cell r="G66">
            <v>1</v>
          </cell>
          <cell r="H66">
            <v>8</v>
          </cell>
          <cell r="I66">
            <v>60</v>
          </cell>
          <cell r="J66">
            <v>62</v>
          </cell>
          <cell r="K66">
            <v>0</v>
          </cell>
          <cell r="L66">
            <v>19961231</v>
          </cell>
          <cell r="M66">
            <v>62.286000000000001</v>
          </cell>
          <cell r="N66">
            <v>19970416</v>
          </cell>
        </row>
        <row r="67">
          <cell r="A67" t="str">
            <v>AGR</v>
          </cell>
          <cell r="B67" t="str">
            <v>AGR1</v>
          </cell>
          <cell r="C67" t="str">
            <v>AGRA INDUSTRIES</v>
          </cell>
          <cell r="D67">
            <v>19961219</v>
          </cell>
          <cell r="E67" t="str">
            <v>EPS</v>
          </cell>
          <cell r="F67" t="str">
            <v>ANN</v>
          </cell>
          <cell r="G67">
            <v>1</v>
          </cell>
          <cell r="H67">
            <v>4</v>
          </cell>
          <cell r="I67">
            <v>0.8</v>
          </cell>
          <cell r="J67">
            <v>0.81</v>
          </cell>
          <cell r="K67">
            <v>0</v>
          </cell>
          <cell r="L67">
            <v>19970731</v>
          </cell>
          <cell r="M67">
            <v>-0.14000000000000001</v>
          </cell>
          <cell r="N67">
            <v>19971017</v>
          </cell>
        </row>
        <row r="68">
          <cell r="A68" t="str">
            <v>ALE</v>
          </cell>
          <cell r="B68" t="str">
            <v>ALE1</v>
          </cell>
          <cell r="C68" t="str">
            <v>SLEEMAN BREWS</v>
          </cell>
          <cell r="D68">
            <v>19961219</v>
          </cell>
          <cell r="E68" t="str">
            <v>EPS</v>
          </cell>
          <cell r="F68" t="str">
            <v>ANN</v>
          </cell>
          <cell r="G68">
            <v>1</v>
          </cell>
          <cell r="H68">
            <v>2</v>
          </cell>
          <cell r="I68">
            <v>0.15</v>
          </cell>
          <cell r="J68">
            <v>0.15</v>
          </cell>
          <cell r="K68">
            <v>0</v>
          </cell>
          <cell r="L68">
            <v>19961231</v>
          </cell>
          <cell r="M68">
            <v>0.15</v>
          </cell>
          <cell r="N68">
            <v>19970318</v>
          </cell>
        </row>
        <row r="69">
          <cell r="A69" t="str">
            <v>CMS</v>
          </cell>
          <cell r="B69" t="str">
            <v>CMS1</v>
          </cell>
          <cell r="C69" t="str">
            <v>C-MAC</v>
          </cell>
          <cell r="D69">
            <v>19961219</v>
          </cell>
          <cell r="E69" t="str">
            <v>EPS</v>
          </cell>
          <cell r="F69" t="str">
            <v>ANN</v>
          </cell>
          <cell r="G69">
            <v>1</v>
          </cell>
          <cell r="H69">
            <v>5</v>
          </cell>
          <cell r="I69">
            <v>0.27</v>
          </cell>
          <cell r="J69">
            <v>0.27</v>
          </cell>
          <cell r="K69">
            <v>0</v>
          </cell>
          <cell r="L69">
            <v>19961231</v>
          </cell>
          <cell r="M69">
            <v>0.28499999999999998</v>
          </cell>
          <cell r="N69">
            <v>19970206</v>
          </cell>
        </row>
        <row r="70">
          <cell r="A70" t="str">
            <v>FPL</v>
          </cell>
          <cell r="B70" t="str">
            <v>FPI1</v>
          </cell>
          <cell r="C70" t="str">
            <v>FPI LTD</v>
          </cell>
          <cell r="D70">
            <v>19961219</v>
          </cell>
          <cell r="E70" t="str">
            <v>EPS</v>
          </cell>
          <cell r="F70" t="str">
            <v>ANN</v>
          </cell>
          <cell r="G70">
            <v>1</v>
          </cell>
          <cell r="H70">
            <v>3</v>
          </cell>
          <cell r="I70">
            <v>0.25</v>
          </cell>
          <cell r="J70">
            <v>0.28000000000000003</v>
          </cell>
          <cell r="K70">
            <v>0</v>
          </cell>
          <cell r="L70">
            <v>19961231</v>
          </cell>
          <cell r="M70">
            <v>0.37</v>
          </cell>
          <cell r="N70">
            <v>19970227</v>
          </cell>
        </row>
        <row r="71">
          <cell r="A71" t="str">
            <v>PGN</v>
          </cell>
          <cell r="B71" t="str">
            <v>PGN1</v>
          </cell>
          <cell r="C71" t="str">
            <v>PARAGON PETE</v>
          </cell>
          <cell r="D71">
            <v>19961219</v>
          </cell>
          <cell r="E71" t="str">
            <v>EPS</v>
          </cell>
          <cell r="F71" t="str">
            <v>ANN</v>
          </cell>
          <cell r="G71">
            <v>1</v>
          </cell>
          <cell r="H71">
            <v>7</v>
          </cell>
          <cell r="I71">
            <v>0.12</v>
          </cell>
          <cell r="J71">
            <v>0.13</v>
          </cell>
          <cell r="K71">
            <v>0</v>
          </cell>
          <cell r="L71">
            <v>19961231</v>
          </cell>
          <cell r="M71">
            <v>0.13</v>
          </cell>
          <cell r="N71">
            <v>19970224</v>
          </cell>
        </row>
        <row r="72">
          <cell r="A72" t="str">
            <v>SCG</v>
          </cell>
          <cell r="B72" t="str">
            <v>SCG1</v>
          </cell>
          <cell r="C72" t="str">
            <v>SANTA CRUZ GOLD</v>
          </cell>
          <cell r="D72">
            <v>19961219</v>
          </cell>
          <cell r="E72" t="str">
            <v>EPS</v>
          </cell>
          <cell r="F72" t="str">
            <v>ANN</v>
          </cell>
          <cell r="G72">
            <v>1</v>
          </cell>
          <cell r="H72">
            <v>1</v>
          </cell>
          <cell r="I72">
            <v>-7.0000000000000007E-2</v>
          </cell>
          <cell r="J72">
            <v>-7.0000000000000007E-2</v>
          </cell>
          <cell r="K72">
            <v>0</v>
          </cell>
          <cell r="L72">
            <v>19961231</v>
          </cell>
          <cell r="M72">
            <v>-0.05</v>
          </cell>
          <cell r="N72">
            <v>19970916</v>
          </cell>
        </row>
        <row r="73">
          <cell r="A73" t="str">
            <v>SO</v>
          </cell>
          <cell r="B73" t="str">
            <v>SO1</v>
          </cell>
          <cell r="C73" t="str">
            <v>STONE CONS CP</v>
          </cell>
          <cell r="D73">
            <v>19961219</v>
          </cell>
          <cell r="E73" t="str">
            <v>EPS</v>
          </cell>
          <cell r="F73" t="str">
            <v>ANN</v>
          </cell>
          <cell r="G73">
            <v>1</v>
          </cell>
          <cell r="H73">
            <v>14</v>
          </cell>
          <cell r="I73">
            <v>1.51</v>
          </cell>
          <cell r="J73">
            <v>1.53</v>
          </cell>
          <cell r="K73">
            <v>0</v>
          </cell>
          <cell r="L73">
            <v>19961231</v>
          </cell>
          <cell r="M73">
            <v>1.58</v>
          </cell>
          <cell r="N73">
            <v>19970130</v>
          </cell>
        </row>
      </sheetData>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RDS"/>
    </sheetNames>
    <sheetDataSet>
      <sheetData sheetId="0">
        <row r="1">
          <cell r="A1" t="str">
            <v>OFTIC</v>
          </cell>
          <cell r="B1" t="str">
            <v>IBES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USFIRM=0 if from .INT file and USFIRM=1 if from .US file</v>
          </cell>
          <cell r="M1" t="str">
            <v>Forecast Period End Date (SAS Format)</v>
          </cell>
          <cell r="N1" t="str">
            <v>Actual Value, from the Detail Actuals File</v>
          </cell>
          <cell r="O1" t="str">
            <v>Announce date of the Actual, from the Detail Actuals File</v>
          </cell>
        </row>
        <row r="2">
          <cell r="A2" t="str">
            <v>AGR</v>
          </cell>
          <cell r="B2" t="str">
            <v>AGR2</v>
          </cell>
          <cell r="C2" t="str">
            <v>ARGENTARIA</v>
          </cell>
          <cell r="D2">
            <v>19961219</v>
          </cell>
          <cell r="E2" t="str">
            <v>EPS</v>
          </cell>
          <cell r="F2" t="str">
            <v>LTG</v>
          </cell>
          <cell r="G2">
            <v>0</v>
          </cell>
          <cell r="H2">
            <v>2</v>
          </cell>
          <cell r="I2">
            <v>5.9</v>
          </cell>
          <cell r="J2">
            <v>5.9</v>
          </cell>
          <cell r="K2">
            <v>5.8</v>
          </cell>
          <cell r="L2">
            <v>1</v>
          </cell>
        </row>
        <row r="3">
          <cell r="A3" t="str">
            <v>PNW</v>
          </cell>
          <cell r="B3" t="str">
            <v>AZP</v>
          </cell>
          <cell r="C3" t="str">
            <v>PINNACLE WST CAP</v>
          </cell>
          <cell r="D3">
            <v>19961219</v>
          </cell>
          <cell r="E3" t="str">
            <v>EPS</v>
          </cell>
          <cell r="F3" t="str">
            <v>LTG</v>
          </cell>
          <cell r="G3">
            <v>0</v>
          </cell>
          <cell r="H3">
            <v>12</v>
          </cell>
          <cell r="I3">
            <v>6</v>
          </cell>
          <cell r="J3">
            <v>5.85</v>
          </cell>
          <cell r="K3">
            <v>1.85</v>
          </cell>
          <cell r="L3">
            <v>1</v>
          </cell>
        </row>
        <row r="4">
          <cell r="A4" t="str">
            <v>BKH</v>
          </cell>
          <cell r="B4" t="str">
            <v>BHP</v>
          </cell>
          <cell r="C4" t="str">
            <v>BLACK HILLS CP</v>
          </cell>
          <cell r="D4">
            <v>19961219</v>
          </cell>
          <cell r="E4" t="str">
            <v>EPS</v>
          </cell>
          <cell r="F4" t="str">
            <v>LTG</v>
          </cell>
          <cell r="G4">
            <v>0</v>
          </cell>
          <cell r="H4">
            <v>3</v>
          </cell>
          <cell r="I4">
            <v>4</v>
          </cell>
          <cell r="J4">
            <v>4.33</v>
          </cell>
          <cell r="K4">
            <v>0.57999999999999996</v>
          </cell>
          <cell r="L4">
            <v>1</v>
          </cell>
        </row>
        <row r="5">
          <cell r="A5" t="str">
            <v>CIN</v>
          </cell>
          <cell r="B5" t="str">
            <v>CIN</v>
          </cell>
          <cell r="C5" t="str">
            <v>CINERGY CORP</v>
          </cell>
          <cell r="D5">
            <v>19961219</v>
          </cell>
          <cell r="E5" t="str">
            <v>EPS</v>
          </cell>
          <cell r="F5" t="str">
            <v>LTG</v>
          </cell>
          <cell r="G5">
            <v>0</v>
          </cell>
          <cell r="H5">
            <v>16</v>
          </cell>
          <cell r="I5">
            <v>4.5</v>
          </cell>
          <cell r="J5">
            <v>4.71</v>
          </cell>
          <cell r="K5">
            <v>1.67</v>
          </cell>
          <cell r="L5">
            <v>1</v>
          </cell>
        </row>
        <row r="6">
          <cell r="A6" t="str">
            <v>CMS</v>
          </cell>
          <cell r="B6" t="str">
            <v>CMS</v>
          </cell>
          <cell r="C6" t="str">
            <v>CMS ENERGY CORP</v>
          </cell>
          <cell r="D6">
            <v>19961219</v>
          </cell>
          <cell r="E6" t="str">
            <v>EPS</v>
          </cell>
          <cell r="F6" t="str">
            <v>LTG</v>
          </cell>
          <cell r="G6">
            <v>0</v>
          </cell>
          <cell r="H6">
            <v>12</v>
          </cell>
          <cell r="I6">
            <v>8</v>
          </cell>
          <cell r="J6">
            <v>7.92</v>
          </cell>
          <cell r="K6">
            <v>1.62</v>
          </cell>
          <cell r="L6">
            <v>1</v>
          </cell>
        </row>
        <row r="7">
          <cell r="A7" t="str">
            <v>CNL</v>
          </cell>
          <cell r="B7" t="str">
            <v>CNL</v>
          </cell>
          <cell r="C7" t="str">
            <v>CENT LA ELEC INC</v>
          </cell>
          <cell r="D7">
            <v>19961219</v>
          </cell>
          <cell r="E7" t="str">
            <v>EPS</v>
          </cell>
          <cell r="F7" t="str">
            <v>LTG</v>
          </cell>
          <cell r="G7">
            <v>0</v>
          </cell>
          <cell r="H7">
            <v>5</v>
          </cell>
          <cell r="I7">
            <v>3</v>
          </cell>
          <cell r="J7">
            <v>2.82</v>
          </cell>
          <cell r="K7">
            <v>1.4</v>
          </cell>
          <cell r="L7">
            <v>1</v>
          </cell>
        </row>
        <row r="8">
          <cell r="A8" t="str">
            <v>D</v>
          </cell>
          <cell r="B8" t="str">
            <v>D</v>
          </cell>
          <cell r="C8" t="str">
            <v>DOMINION RES INC</v>
          </cell>
          <cell r="D8">
            <v>19961219</v>
          </cell>
          <cell r="E8" t="str">
            <v>EPS</v>
          </cell>
          <cell r="F8" t="str">
            <v>LTG</v>
          </cell>
          <cell r="G8">
            <v>0</v>
          </cell>
          <cell r="H8">
            <v>15</v>
          </cell>
          <cell r="I8">
            <v>3</v>
          </cell>
          <cell r="J8">
            <v>3.19</v>
          </cell>
          <cell r="K8">
            <v>0.98</v>
          </cell>
          <cell r="L8">
            <v>1</v>
          </cell>
        </row>
        <row r="9">
          <cell r="A9" t="str">
            <v>DPL</v>
          </cell>
          <cell r="B9" t="str">
            <v>DPL</v>
          </cell>
          <cell r="C9" t="str">
            <v>DPL INC</v>
          </cell>
          <cell r="D9">
            <v>19961219</v>
          </cell>
          <cell r="E9" t="str">
            <v>EPS</v>
          </cell>
          <cell r="F9" t="str">
            <v>LTG</v>
          </cell>
          <cell r="G9">
            <v>0</v>
          </cell>
          <cell r="H9">
            <v>13</v>
          </cell>
          <cell r="I9">
            <v>4</v>
          </cell>
          <cell r="J9">
            <v>4.41</v>
          </cell>
          <cell r="K9">
            <v>1.08</v>
          </cell>
          <cell r="L9">
            <v>1</v>
          </cell>
        </row>
        <row r="10">
          <cell r="A10" t="str">
            <v>DTE</v>
          </cell>
          <cell r="B10" t="str">
            <v>DTE</v>
          </cell>
          <cell r="C10" t="str">
            <v>DTE ENERGY</v>
          </cell>
          <cell r="D10">
            <v>19961219</v>
          </cell>
          <cell r="E10" t="str">
            <v>EPS</v>
          </cell>
          <cell r="F10" t="str">
            <v>LTG</v>
          </cell>
          <cell r="G10">
            <v>0</v>
          </cell>
          <cell r="H10">
            <v>14</v>
          </cell>
          <cell r="I10">
            <v>2</v>
          </cell>
          <cell r="J10">
            <v>2.68</v>
          </cell>
          <cell r="K10">
            <v>1.26</v>
          </cell>
          <cell r="L10">
            <v>1</v>
          </cell>
        </row>
        <row r="11">
          <cell r="A11" t="str">
            <v>DUK</v>
          </cell>
          <cell r="B11" t="str">
            <v>DUK</v>
          </cell>
          <cell r="C11" t="str">
            <v>DUKE POWER CO</v>
          </cell>
          <cell r="D11">
            <v>19961219</v>
          </cell>
          <cell r="E11" t="str">
            <v>EPS</v>
          </cell>
          <cell r="F11" t="str">
            <v>LTG</v>
          </cell>
          <cell r="G11">
            <v>0</v>
          </cell>
          <cell r="H11">
            <v>14</v>
          </cell>
          <cell r="I11">
            <v>4</v>
          </cell>
          <cell r="J11">
            <v>4.84</v>
          </cell>
          <cell r="K11">
            <v>2.2599999999999998</v>
          </cell>
          <cell r="L11">
            <v>1</v>
          </cell>
        </row>
        <row r="12">
          <cell r="A12" t="str">
            <v>ED</v>
          </cell>
          <cell r="B12" t="str">
            <v>ED</v>
          </cell>
          <cell r="C12" t="str">
            <v>CONS EDISON CO</v>
          </cell>
          <cell r="D12">
            <v>19961219</v>
          </cell>
          <cell r="E12" t="str">
            <v>EPS</v>
          </cell>
          <cell r="F12" t="str">
            <v>LTG</v>
          </cell>
          <cell r="G12">
            <v>0</v>
          </cell>
          <cell r="H12">
            <v>9</v>
          </cell>
          <cell r="I12">
            <v>1</v>
          </cell>
          <cell r="J12">
            <v>1.33</v>
          </cell>
          <cell r="K12">
            <v>1.1200000000000001</v>
          </cell>
          <cell r="L12">
            <v>1</v>
          </cell>
        </row>
        <row r="13">
          <cell r="A13" t="str">
            <v>EDE</v>
          </cell>
          <cell r="B13" t="str">
            <v>EDE</v>
          </cell>
          <cell r="C13" t="str">
            <v>EMPIRE DIST ELEC</v>
          </cell>
          <cell r="D13">
            <v>19961219</v>
          </cell>
          <cell r="E13" t="str">
            <v>EPS</v>
          </cell>
          <cell r="F13" t="str">
            <v>LTG</v>
          </cell>
          <cell r="G13">
            <v>0</v>
          </cell>
          <cell r="H13">
            <v>1</v>
          </cell>
          <cell r="I13">
            <v>2</v>
          </cell>
          <cell r="J13">
            <v>2</v>
          </cell>
          <cell r="L13">
            <v>1</v>
          </cell>
        </row>
        <row r="14">
          <cell r="A14" t="str">
            <v>EXC</v>
          </cell>
          <cell r="B14" t="str">
            <v>EXC</v>
          </cell>
          <cell r="C14" t="str">
            <v>EXCEL INDS INC</v>
          </cell>
          <cell r="D14">
            <v>19961219</v>
          </cell>
          <cell r="E14" t="str">
            <v>EPS</v>
          </cell>
          <cell r="F14" t="str">
            <v>LTG</v>
          </cell>
          <cell r="G14">
            <v>0</v>
          </cell>
          <cell r="H14">
            <v>4</v>
          </cell>
          <cell r="I14">
            <v>10.5</v>
          </cell>
          <cell r="J14">
            <v>11</v>
          </cell>
          <cell r="K14">
            <v>2.94</v>
          </cell>
          <cell r="L14">
            <v>1</v>
          </cell>
        </row>
        <row r="15">
          <cell r="A15" t="str">
            <v>FPL</v>
          </cell>
          <cell r="B15" t="str">
            <v>FPL</v>
          </cell>
          <cell r="C15" t="str">
            <v>FPL GROUP</v>
          </cell>
          <cell r="D15">
            <v>19961219</v>
          </cell>
          <cell r="E15" t="str">
            <v>EPS</v>
          </cell>
          <cell r="F15" t="str">
            <v>LTG</v>
          </cell>
          <cell r="G15">
            <v>0</v>
          </cell>
          <cell r="H15">
            <v>17</v>
          </cell>
          <cell r="I15">
            <v>5</v>
          </cell>
          <cell r="J15">
            <v>4.9400000000000004</v>
          </cell>
          <cell r="K15">
            <v>1.1100000000000001</v>
          </cell>
          <cell r="L15">
            <v>1</v>
          </cell>
        </row>
        <row r="16">
          <cell r="A16" t="str">
            <v>HE</v>
          </cell>
          <cell r="B16" t="str">
            <v>HE</v>
          </cell>
          <cell r="C16" t="str">
            <v>HAWAIIAN ELEC</v>
          </cell>
          <cell r="D16">
            <v>19961219</v>
          </cell>
          <cell r="E16" t="str">
            <v>EPS</v>
          </cell>
          <cell r="F16" t="str">
            <v>LTG</v>
          </cell>
          <cell r="G16">
            <v>0</v>
          </cell>
          <cell r="H16">
            <v>9</v>
          </cell>
          <cell r="I16">
            <v>3.7</v>
          </cell>
          <cell r="J16">
            <v>3.5</v>
          </cell>
          <cell r="K16">
            <v>1.1100000000000001</v>
          </cell>
          <cell r="L16">
            <v>1</v>
          </cell>
        </row>
        <row r="17">
          <cell r="A17" t="str">
            <v>IDA</v>
          </cell>
          <cell r="B17" t="str">
            <v>IDA</v>
          </cell>
          <cell r="C17" t="str">
            <v>IDAHO POWER CO</v>
          </cell>
          <cell r="D17">
            <v>19961219</v>
          </cell>
          <cell r="E17" t="str">
            <v>EPS</v>
          </cell>
          <cell r="F17" t="str">
            <v>LTG</v>
          </cell>
          <cell r="G17">
            <v>0</v>
          </cell>
          <cell r="H17">
            <v>6</v>
          </cell>
          <cell r="I17">
            <v>2.6</v>
          </cell>
          <cell r="J17">
            <v>3.03</v>
          </cell>
          <cell r="K17">
            <v>1.24</v>
          </cell>
          <cell r="L17">
            <v>1</v>
          </cell>
        </row>
        <row r="18">
          <cell r="A18" t="str">
            <v>WR</v>
          </cell>
          <cell r="B18" t="str">
            <v>KAN</v>
          </cell>
          <cell r="C18" t="str">
            <v>WESTN RESOURCES</v>
          </cell>
          <cell r="D18">
            <v>19961219</v>
          </cell>
          <cell r="E18" t="str">
            <v>EPS</v>
          </cell>
          <cell r="F18" t="str">
            <v>LTG</v>
          </cell>
          <cell r="G18">
            <v>0</v>
          </cell>
          <cell r="H18">
            <v>9</v>
          </cell>
          <cell r="I18">
            <v>3</v>
          </cell>
          <cell r="J18">
            <v>3.06</v>
          </cell>
          <cell r="K18">
            <v>0.81</v>
          </cell>
          <cell r="L18">
            <v>1</v>
          </cell>
        </row>
        <row r="19">
          <cell r="A19" t="str">
            <v>ETR</v>
          </cell>
          <cell r="B19" t="str">
            <v>MSU</v>
          </cell>
          <cell r="C19" t="str">
            <v>ENTERGY CP</v>
          </cell>
          <cell r="D19">
            <v>19961219</v>
          </cell>
          <cell r="E19" t="str">
            <v>EPS</v>
          </cell>
          <cell r="F19" t="str">
            <v>LTG</v>
          </cell>
          <cell r="G19">
            <v>0</v>
          </cell>
          <cell r="H19">
            <v>13</v>
          </cell>
          <cell r="I19">
            <v>4</v>
          </cell>
          <cell r="J19">
            <v>4.01</v>
          </cell>
          <cell r="K19">
            <v>0.9</v>
          </cell>
          <cell r="L19">
            <v>1</v>
          </cell>
        </row>
        <row r="20">
          <cell r="A20" t="str">
            <v>NU</v>
          </cell>
          <cell r="B20" t="str">
            <v>NU</v>
          </cell>
          <cell r="C20" t="str">
            <v>NORTHEAST UTILS</v>
          </cell>
          <cell r="D20">
            <v>19961219</v>
          </cell>
          <cell r="E20" t="str">
            <v>EPS</v>
          </cell>
          <cell r="F20" t="str">
            <v>LTG</v>
          </cell>
          <cell r="G20">
            <v>0</v>
          </cell>
          <cell r="H20">
            <v>12</v>
          </cell>
          <cell r="I20">
            <v>2</v>
          </cell>
          <cell r="J20">
            <v>0.61</v>
          </cell>
          <cell r="K20">
            <v>2.83</v>
          </cell>
          <cell r="L20">
            <v>1</v>
          </cell>
        </row>
        <row r="21">
          <cell r="A21" t="str">
            <v>OGE</v>
          </cell>
          <cell r="B21" t="str">
            <v>OGE</v>
          </cell>
          <cell r="C21" t="str">
            <v>OKLAHOMA G&amp;E</v>
          </cell>
          <cell r="D21">
            <v>19961219</v>
          </cell>
          <cell r="E21" t="str">
            <v>EPS</v>
          </cell>
          <cell r="F21" t="str">
            <v>LTG</v>
          </cell>
          <cell r="G21">
            <v>0</v>
          </cell>
          <cell r="H21">
            <v>10</v>
          </cell>
          <cell r="I21">
            <v>2.15</v>
          </cell>
          <cell r="J21">
            <v>2.06</v>
          </cell>
          <cell r="K21">
            <v>0.91</v>
          </cell>
          <cell r="L21">
            <v>1</v>
          </cell>
        </row>
        <row r="22">
          <cell r="A22" t="str">
            <v>OTTR</v>
          </cell>
          <cell r="B22" t="str">
            <v>OTTR</v>
          </cell>
          <cell r="C22" t="str">
            <v>OTTER TAIL PWR</v>
          </cell>
          <cell r="D22">
            <v>19961219</v>
          </cell>
          <cell r="E22" t="str">
            <v>EPS</v>
          </cell>
          <cell r="F22" t="str">
            <v>LTG</v>
          </cell>
          <cell r="G22">
            <v>0</v>
          </cell>
          <cell r="H22">
            <v>1</v>
          </cell>
          <cell r="I22">
            <v>3</v>
          </cell>
          <cell r="J22">
            <v>3</v>
          </cell>
          <cell r="L22">
            <v>1</v>
          </cell>
        </row>
        <row r="23">
          <cell r="A23" t="str">
            <v>PCG</v>
          </cell>
          <cell r="B23" t="str">
            <v>PCG</v>
          </cell>
          <cell r="C23" t="str">
            <v>PACIFIC G &amp; E</v>
          </cell>
          <cell r="D23">
            <v>19961219</v>
          </cell>
          <cell r="E23" t="str">
            <v>EPS</v>
          </cell>
          <cell r="F23" t="str">
            <v>LTG</v>
          </cell>
          <cell r="G23">
            <v>0</v>
          </cell>
          <cell r="H23">
            <v>9</v>
          </cell>
          <cell r="I23">
            <v>1</v>
          </cell>
          <cell r="J23">
            <v>-0.99</v>
          </cell>
          <cell r="K23">
            <v>3.61</v>
          </cell>
          <cell r="L23">
            <v>1</v>
          </cell>
        </row>
        <row r="24">
          <cell r="A24" t="str">
            <v>PEG</v>
          </cell>
          <cell r="B24" t="str">
            <v>PEG</v>
          </cell>
          <cell r="C24" t="str">
            <v>PUB SVC ENTERS</v>
          </cell>
          <cell r="D24">
            <v>19961219</v>
          </cell>
          <cell r="E24" t="str">
            <v>EPS</v>
          </cell>
          <cell r="F24" t="str">
            <v>LTG</v>
          </cell>
          <cell r="G24">
            <v>0</v>
          </cell>
          <cell r="H24">
            <v>14</v>
          </cell>
          <cell r="I24">
            <v>2</v>
          </cell>
          <cell r="J24">
            <v>2.21</v>
          </cell>
          <cell r="K24">
            <v>0.92</v>
          </cell>
          <cell r="L24">
            <v>1</v>
          </cell>
        </row>
        <row r="25">
          <cell r="A25" t="str">
            <v>PGN</v>
          </cell>
          <cell r="B25" t="str">
            <v>PGN</v>
          </cell>
          <cell r="C25" t="str">
            <v>PORTLAND GEN CP</v>
          </cell>
          <cell r="D25">
            <v>19961219</v>
          </cell>
          <cell r="E25" t="str">
            <v>EPS</v>
          </cell>
          <cell r="F25" t="str">
            <v>LTG</v>
          </cell>
          <cell r="G25">
            <v>0</v>
          </cell>
          <cell r="H25">
            <v>9</v>
          </cell>
          <cell r="I25">
            <v>4</v>
          </cell>
          <cell r="J25">
            <v>3.57</v>
          </cell>
          <cell r="K25">
            <v>1.49</v>
          </cell>
          <cell r="L25">
            <v>1</v>
          </cell>
        </row>
        <row r="26">
          <cell r="A26" t="str">
            <v>PNM</v>
          </cell>
          <cell r="B26" t="str">
            <v>PNM</v>
          </cell>
          <cell r="C26" t="str">
            <v>PUB SVC N MEX</v>
          </cell>
          <cell r="D26">
            <v>19961219</v>
          </cell>
          <cell r="E26" t="str">
            <v>EPS</v>
          </cell>
          <cell r="F26" t="str">
            <v>LTG</v>
          </cell>
          <cell r="G26">
            <v>0</v>
          </cell>
          <cell r="H26">
            <v>8</v>
          </cell>
          <cell r="I26">
            <v>4.5</v>
          </cell>
          <cell r="J26">
            <v>5.19</v>
          </cell>
          <cell r="K26">
            <v>3.27</v>
          </cell>
          <cell r="L26">
            <v>1</v>
          </cell>
        </row>
        <row r="27">
          <cell r="A27" t="str">
            <v>POM</v>
          </cell>
          <cell r="B27" t="str">
            <v>POM</v>
          </cell>
          <cell r="C27" t="str">
            <v>POTOMAC ELEC</v>
          </cell>
          <cell r="D27">
            <v>19961219</v>
          </cell>
          <cell r="E27" t="str">
            <v>EPS</v>
          </cell>
          <cell r="F27" t="str">
            <v>LTG</v>
          </cell>
          <cell r="G27">
            <v>0</v>
          </cell>
          <cell r="H27">
            <v>11</v>
          </cell>
          <cell r="I27">
            <v>2</v>
          </cell>
          <cell r="J27">
            <v>1.98</v>
          </cell>
          <cell r="K27">
            <v>1.86</v>
          </cell>
          <cell r="L27">
            <v>1</v>
          </cell>
        </row>
        <row r="28">
          <cell r="A28" t="str">
            <v>PPL</v>
          </cell>
          <cell r="B28" t="str">
            <v>PPL</v>
          </cell>
          <cell r="C28" t="str">
            <v>PP&amp;L RESOURCES</v>
          </cell>
          <cell r="D28">
            <v>19961219</v>
          </cell>
          <cell r="E28" t="str">
            <v>EPS</v>
          </cell>
          <cell r="F28" t="str">
            <v>LTG</v>
          </cell>
          <cell r="G28">
            <v>0</v>
          </cell>
          <cell r="H28">
            <v>13</v>
          </cell>
          <cell r="I28">
            <v>2</v>
          </cell>
          <cell r="J28">
            <v>3.98</v>
          </cell>
          <cell r="K28">
            <v>5.05</v>
          </cell>
          <cell r="L28">
            <v>1</v>
          </cell>
        </row>
        <row r="29">
          <cell r="A29" t="str">
            <v>PSD</v>
          </cell>
          <cell r="B29" t="str">
            <v>PSD</v>
          </cell>
          <cell r="C29" t="str">
            <v>PUGET SOUND P&amp;L</v>
          </cell>
          <cell r="D29">
            <v>19961219</v>
          </cell>
          <cell r="E29" t="str">
            <v>EPS</v>
          </cell>
          <cell r="F29" t="str">
            <v>LTG</v>
          </cell>
          <cell r="G29">
            <v>0</v>
          </cell>
          <cell r="H29">
            <v>7</v>
          </cell>
          <cell r="I29">
            <v>2</v>
          </cell>
          <cell r="J29">
            <v>2.77</v>
          </cell>
          <cell r="K29">
            <v>1.85</v>
          </cell>
          <cell r="L29">
            <v>1</v>
          </cell>
        </row>
        <row r="30">
          <cell r="A30" t="str">
            <v>EIX</v>
          </cell>
          <cell r="B30" t="str">
            <v>SCE</v>
          </cell>
          <cell r="C30" t="str">
            <v>EDISON INTL</v>
          </cell>
          <cell r="D30">
            <v>19961219</v>
          </cell>
          <cell r="E30" t="str">
            <v>EPS</v>
          </cell>
          <cell r="F30" t="str">
            <v>LTG</v>
          </cell>
          <cell r="G30">
            <v>0</v>
          </cell>
          <cell r="H30">
            <v>14</v>
          </cell>
          <cell r="I30">
            <v>2.9</v>
          </cell>
          <cell r="J30">
            <v>3.15</v>
          </cell>
          <cell r="K30">
            <v>1.98</v>
          </cell>
          <cell r="L30">
            <v>1</v>
          </cell>
        </row>
        <row r="31">
          <cell r="A31" t="str">
            <v>SCG</v>
          </cell>
          <cell r="B31" t="str">
            <v>SCG</v>
          </cell>
          <cell r="C31" t="str">
            <v>SCANA CP</v>
          </cell>
          <cell r="D31">
            <v>19961219</v>
          </cell>
          <cell r="E31" t="str">
            <v>EPS</v>
          </cell>
          <cell r="F31" t="str">
            <v>LTG</v>
          </cell>
          <cell r="G31">
            <v>0</v>
          </cell>
          <cell r="H31">
            <v>10</v>
          </cell>
          <cell r="I31">
            <v>4</v>
          </cell>
          <cell r="J31">
            <v>3.89</v>
          </cell>
          <cell r="K31">
            <v>1</v>
          </cell>
          <cell r="L31">
            <v>1</v>
          </cell>
        </row>
        <row r="32">
          <cell r="A32" t="str">
            <v>SO</v>
          </cell>
          <cell r="B32" t="str">
            <v>SO</v>
          </cell>
          <cell r="C32" t="str">
            <v>SOUTHN CO</v>
          </cell>
          <cell r="D32">
            <v>19961219</v>
          </cell>
          <cell r="E32" t="str">
            <v>EPS</v>
          </cell>
          <cell r="F32" t="str">
            <v>LTG</v>
          </cell>
          <cell r="G32">
            <v>0</v>
          </cell>
          <cell r="H32">
            <v>15</v>
          </cell>
          <cell r="I32">
            <v>4</v>
          </cell>
          <cell r="J32">
            <v>3.82</v>
          </cell>
          <cell r="K32">
            <v>0.9</v>
          </cell>
          <cell r="L32">
            <v>1</v>
          </cell>
        </row>
        <row r="33">
          <cell r="A33" t="str">
            <v>TE</v>
          </cell>
          <cell r="B33" t="str">
            <v>TE</v>
          </cell>
          <cell r="C33" t="str">
            <v>TECO ENERGY INC</v>
          </cell>
          <cell r="D33">
            <v>19961219</v>
          </cell>
          <cell r="E33" t="str">
            <v>EPS</v>
          </cell>
          <cell r="F33" t="str">
            <v>LTG</v>
          </cell>
          <cell r="G33">
            <v>0</v>
          </cell>
          <cell r="H33">
            <v>15</v>
          </cell>
          <cell r="I33">
            <v>5</v>
          </cell>
          <cell r="J33">
            <v>4.68</v>
          </cell>
          <cell r="K33">
            <v>0.99</v>
          </cell>
          <cell r="L33">
            <v>1</v>
          </cell>
        </row>
        <row r="34">
          <cell r="A34" t="str">
            <v>UIL</v>
          </cell>
          <cell r="B34" t="str">
            <v>UIL</v>
          </cell>
          <cell r="C34" t="str">
            <v>UTD ILLUM COO</v>
          </cell>
          <cell r="D34">
            <v>19961219</v>
          </cell>
          <cell r="E34" t="str">
            <v>EPS</v>
          </cell>
          <cell r="F34" t="str">
            <v>LTG</v>
          </cell>
          <cell r="G34">
            <v>0</v>
          </cell>
          <cell r="H34">
            <v>4</v>
          </cell>
          <cell r="I34">
            <v>3</v>
          </cell>
          <cell r="J34">
            <v>3.5</v>
          </cell>
          <cell r="K34">
            <v>1</v>
          </cell>
          <cell r="L34">
            <v>1</v>
          </cell>
        </row>
        <row r="35">
          <cell r="A35" t="str">
            <v>WEC</v>
          </cell>
          <cell r="B35" t="str">
            <v>WPC</v>
          </cell>
          <cell r="C35" t="str">
            <v>WISCONSIN ENERGY</v>
          </cell>
          <cell r="D35">
            <v>19961219</v>
          </cell>
          <cell r="E35" t="str">
            <v>EPS</v>
          </cell>
          <cell r="F35" t="str">
            <v>LTG</v>
          </cell>
          <cell r="G35">
            <v>0</v>
          </cell>
          <cell r="H35">
            <v>14</v>
          </cell>
          <cell r="I35">
            <v>3.5</v>
          </cell>
          <cell r="J35">
            <v>3.91</v>
          </cell>
          <cell r="K35">
            <v>1.61</v>
          </cell>
          <cell r="L35">
            <v>1</v>
          </cell>
        </row>
        <row r="36">
          <cell r="A36" t="str">
            <v>WPS</v>
          </cell>
          <cell r="B36" t="str">
            <v>WPS</v>
          </cell>
          <cell r="C36" t="str">
            <v>WPS RESOURCES CP</v>
          </cell>
          <cell r="D36">
            <v>19961219</v>
          </cell>
          <cell r="E36" t="str">
            <v>EPS</v>
          </cell>
          <cell r="F36" t="str">
            <v>LTG</v>
          </cell>
          <cell r="G36">
            <v>0</v>
          </cell>
          <cell r="H36">
            <v>7</v>
          </cell>
          <cell r="I36">
            <v>2.2999999999999998</v>
          </cell>
          <cell r="J36">
            <v>2.76</v>
          </cell>
          <cell r="K36">
            <v>0.95</v>
          </cell>
          <cell r="L36">
            <v>1</v>
          </cell>
        </row>
        <row r="37">
          <cell r="A37" t="str">
            <v>AVA</v>
          </cell>
          <cell r="B37" t="str">
            <v>@AHV</v>
          </cell>
          <cell r="C37" t="str">
            <v>AVA</v>
          </cell>
          <cell r="D37">
            <v>19961219</v>
          </cell>
          <cell r="E37" t="str">
            <v>EPS</v>
          </cell>
          <cell r="F37" t="str">
            <v>LTG</v>
          </cell>
          <cell r="G37">
            <v>0</v>
          </cell>
          <cell r="H37">
            <v>2</v>
          </cell>
          <cell r="I37">
            <v>16.5</v>
          </cell>
          <cell r="J37">
            <v>16.5</v>
          </cell>
          <cell r="K37">
            <v>4.95</v>
          </cell>
          <cell r="L37">
            <v>0</v>
          </cell>
        </row>
        <row r="38">
          <cell r="A38" t="str">
            <v>NST</v>
          </cell>
          <cell r="B38" t="str">
            <v>@NST</v>
          </cell>
          <cell r="C38" t="str">
            <v>N. S. TIMES</v>
          </cell>
          <cell r="D38">
            <v>19961219</v>
          </cell>
          <cell r="E38" t="str">
            <v>EPS</v>
          </cell>
          <cell r="F38" t="str">
            <v>LTG</v>
          </cell>
          <cell r="G38">
            <v>0</v>
          </cell>
          <cell r="H38">
            <v>1</v>
          </cell>
          <cell r="I38">
            <v>15</v>
          </cell>
          <cell r="J38">
            <v>15</v>
          </cell>
          <cell r="L38">
            <v>0</v>
          </cell>
        </row>
        <row r="39">
          <cell r="A39" t="str">
            <v>POM</v>
          </cell>
          <cell r="B39" t="str">
            <v>@PO8</v>
          </cell>
          <cell r="C39" t="str">
            <v>PLASTIC OMNIUM</v>
          </cell>
          <cell r="D39">
            <v>19961219</v>
          </cell>
          <cell r="E39" t="str">
            <v>EPS</v>
          </cell>
          <cell r="F39" t="str">
            <v>LTG</v>
          </cell>
          <cell r="G39">
            <v>0</v>
          </cell>
          <cell r="H39">
            <v>1</v>
          </cell>
          <cell r="I39">
            <v>12</v>
          </cell>
          <cell r="J39">
            <v>12</v>
          </cell>
          <cell r="L39">
            <v>0</v>
          </cell>
        </row>
        <row r="40">
          <cell r="A40" t="str">
            <v>POR</v>
          </cell>
          <cell r="B40" t="str">
            <v>@PS</v>
          </cell>
          <cell r="C40" t="str">
            <v>PORST HLDG</v>
          </cell>
          <cell r="D40">
            <v>19961219</v>
          </cell>
          <cell r="E40" t="str">
            <v>EPS</v>
          </cell>
          <cell r="F40" t="str">
            <v>LTG</v>
          </cell>
          <cell r="G40">
            <v>0</v>
          </cell>
          <cell r="H40">
            <v>1</v>
          </cell>
          <cell r="I40">
            <v>7.5</v>
          </cell>
          <cell r="J40">
            <v>7.5</v>
          </cell>
          <cell r="L40">
            <v>0</v>
          </cell>
        </row>
        <row r="41">
          <cell r="A41" t="str">
            <v>SO</v>
          </cell>
          <cell r="B41" t="str">
            <v>@SOM</v>
          </cell>
          <cell r="C41" t="str">
            <v>SOMMER-ALLIBERT</v>
          </cell>
          <cell r="D41">
            <v>19961219</v>
          </cell>
          <cell r="E41" t="str">
            <v>EPS</v>
          </cell>
          <cell r="F41" t="str">
            <v>LTG</v>
          </cell>
          <cell r="G41">
            <v>0</v>
          </cell>
          <cell r="H41">
            <v>2</v>
          </cell>
          <cell r="I41">
            <v>9.5</v>
          </cell>
          <cell r="J41">
            <v>9.5</v>
          </cell>
          <cell r="K41">
            <v>3.54</v>
          </cell>
          <cell r="L41">
            <v>0</v>
          </cell>
        </row>
        <row r="42">
          <cell r="A42" t="str">
            <v>CIN</v>
          </cell>
          <cell r="B42" t="str">
            <v>@YYN</v>
          </cell>
          <cell r="C42" t="str">
            <v>CIN</v>
          </cell>
          <cell r="D42">
            <v>19961219</v>
          </cell>
          <cell r="E42" t="str">
            <v>EPS</v>
          </cell>
          <cell r="F42" t="str">
            <v>LTG</v>
          </cell>
          <cell r="G42">
            <v>0</v>
          </cell>
          <cell r="H42">
            <v>1</v>
          </cell>
          <cell r="I42">
            <v>24</v>
          </cell>
          <cell r="J42">
            <v>24</v>
          </cell>
          <cell r="L42">
            <v>0</v>
          </cell>
        </row>
      </sheetData>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b6lsq2xczghsvs"/>
    </sheetNames>
    <sheetDataSet>
      <sheetData sheetId="0">
        <row r="1">
          <cell r="B1" t="str">
            <v>Official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Forecast Period End Date (SAS Format)</v>
          </cell>
          <cell r="M1" t="str">
            <v>Actual Value, from the Detail Actuals File</v>
          </cell>
          <cell r="N1" t="str">
            <v>Announce date of the Actual, from the Detail Actuals File</v>
          </cell>
        </row>
        <row r="2">
          <cell r="B2" t="str">
            <v>ATG</v>
          </cell>
          <cell r="C2" t="str">
            <v>AGL RESOURCES</v>
          </cell>
          <cell r="D2">
            <v>35418</v>
          </cell>
          <cell r="E2" t="str">
            <v>EPS</v>
          </cell>
          <cell r="F2" t="str">
            <v>ANN</v>
          </cell>
          <cell r="G2" t="str">
            <v>1</v>
          </cell>
          <cell r="H2">
            <v>14</v>
          </cell>
          <cell r="I2">
            <v>1.5</v>
          </cell>
          <cell r="J2">
            <v>1.49</v>
          </cell>
          <cell r="K2">
            <v>0.04</v>
          </cell>
          <cell r="L2">
            <v>35703</v>
          </cell>
          <cell r="M2">
            <v>1.38</v>
          </cell>
          <cell r="N2">
            <v>35741</v>
          </cell>
        </row>
        <row r="3">
          <cell r="B3" t="str">
            <v>CGC</v>
          </cell>
          <cell r="C3" t="str">
            <v>CASCADE NAT GAS</v>
          </cell>
          <cell r="D3">
            <v>35418</v>
          </cell>
          <cell r="E3" t="str">
            <v>EPS</v>
          </cell>
          <cell r="F3" t="str">
            <v>ANN</v>
          </cell>
          <cell r="G3" t="str">
            <v>1</v>
          </cell>
          <cell r="H3">
            <v>4</v>
          </cell>
          <cell r="I3">
            <v>1.05</v>
          </cell>
          <cell r="J3">
            <v>1.04</v>
          </cell>
          <cell r="K3">
            <v>0.05</v>
          </cell>
          <cell r="L3">
            <v>35430</v>
          </cell>
          <cell r="M3">
            <v>0.97</v>
          </cell>
          <cell r="N3">
            <v>35460</v>
          </cell>
        </row>
        <row r="4">
          <cell r="B4" t="str">
            <v>CPK</v>
          </cell>
          <cell r="C4" t="str">
            <v>CHESAPEAKE UTIL</v>
          </cell>
          <cell r="D4">
            <v>35418</v>
          </cell>
          <cell r="E4" t="str">
            <v>EPS</v>
          </cell>
          <cell r="F4" t="str">
            <v>ANN</v>
          </cell>
          <cell r="G4" t="str">
            <v>1</v>
          </cell>
          <cell r="H4">
            <v>1</v>
          </cell>
          <cell r="I4">
            <v>1.07</v>
          </cell>
          <cell r="J4">
            <v>1.07</v>
          </cell>
          <cell r="L4">
            <v>35430</v>
          </cell>
          <cell r="M4">
            <v>1.2266999999999999</v>
          </cell>
          <cell r="N4">
            <v>35489</v>
          </cell>
        </row>
        <row r="5">
          <cell r="B5" t="str">
            <v>ATO</v>
          </cell>
          <cell r="C5" t="str">
            <v>ATMOS ENERGY CP</v>
          </cell>
          <cell r="D5">
            <v>35418</v>
          </cell>
          <cell r="E5" t="str">
            <v>EPS</v>
          </cell>
          <cell r="F5" t="str">
            <v>ANN</v>
          </cell>
          <cell r="G5" t="str">
            <v>1</v>
          </cell>
          <cell r="H5">
            <v>11</v>
          </cell>
          <cell r="I5">
            <v>1.65</v>
          </cell>
          <cell r="J5">
            <v>1.65</v>
          </cell>
          <cell r="K5">
            <v>0.09</v>
          </cell>
          <cell r="L5">
            <v>35703</v>
          </cell>
          <cell r="M5">
            <v>1.34</v>
          </cell>
          <cell r="N5">
            <v>35746</v>
          </cell>
        </row>
        <row r="6">
          <cell r="B6" t="str">
            <v>GAS</v>
          </cell>
          <cell r="C6" t="str">
            <v>NICOR INC</v>
          </cell>
          <cell r="D6">
            <v>35418</v>
          </cell>
          <cell r="E6" t="str">
            <v>EPS</v>
          </cell>
          <cell r="F6" t="str">
            <v>ANN</v>
          </cell>
          <cell r="G6" t="str">
            <v>1</v>
          </cell>
          <cell r="H6">
            <v>12</v>
          </cell>
          <cell r="I6">
            <v>2.38</v>
          </cell>
          <cell r="J6">
            <v>2.35</v>
          </cell>
          <cell r="K6">
            <v>0.1</v>
          </cell>
          <cell r="L6">
            <v>35430</v>
          </cell>
          <cell r="M6">
            <v>2.41</v>
          </cell>
          <cell r="N6">
            <v>35458</v>
          </cell>
        </row>
        <row r="7">
          <cell r="B7" t="str">
            <v>LG</v>
          </cell>
          <cell r="C7" t="str">
            <v>LACLEDE GAS</v>
          </cell>
          <cell r="D7">
            <v>35418</v>
          </cell>
          <cell r="E7" t="str">
            <v>EPS</v>
          </cell>
          <cell r="F7" t="str">
            <v>ANN</v>
          </cell>
          <cell r="G7" t="str">
            <v>1</v>
          </cell>
          <cell r="H7">
            <v>3</v>
          </cell>
          <cell r="I7">
            <v>1.65</v>
          </cell>
          <cell r="J7">
            <v>1.63</v>
          </cell>
          <cell r="K7">
            <v>0.03</v>
          </cell>
          <cell r="L7">
            <v>35703</v>
          </cell>
          <cell r="M7">
            <v>1.84</v>
          </cell>
          <cell r="N7">
            <v>35732</v>
          </cell>
        </row>
        <row r="8">
          <cell r="B8" t="str">
            <v>NI</v>
          </cell>
          <cell r="C8" t="str">
            <v>NIPSCO IND INC</v>
          </cell>
          <cell r="D8">
            <v>35418</v>
          </cell>
          <cell r="E8" t="str">
            <v>EPS</v>
          </cell>
          <cell r="F8" t="str">
            <v>ANN</v>
          </cell>
          <cell r="G8" t="str">
            <v>1</v>
          </cell>
          <cell r="H8">
            <v>25</v>
          </cell>
          <cell r="I8">
            <v>1.41</v>
          </cell>
          <cell r="J8">
            <v>1.41</v>
          </cell>
          <cell r="K8">
            <v>0.02</v>
          </cell>
          <cell r="L8">
            <v>35430</v>
          </cell>
          <cell r="M8">
            <v>1.4350000000000001</v>
          </cell>
          <cell r="N8">
            <v>35460</v>
          </cell>
        </row>
        <row r="9">
          <cell r="B9" t="str">
            <v>NJR</v>
          </cell>
          <cell r="C9" t="str">
            <v>NEW JERSEY RES</v>
          </cell>
          <cell r="D9">
            <v>35418</v>
          </cell>
          <cell r="E9" t="str">
            <v>EPS</v>
          </cell>
          <cell r="F9" t="str">
            <v>ANN</v>
          </cell>
          <cell r="G9" t="str">
            <v>1</v>
          </cell>
          <cell r="H9">
            <v>8</v>
          </cell>
          <cell r="I9">
            <v>0.48</v>
          </cell>
          <cell r="J9">
            <v>0.48</v>
          </cell>
          <cell r="K9">
            <v>0.01</v>
          </cell>
          <cell r="L9">
            <v>35703</v>
          </cell>
          <cell r="M9">
            <v>0.49109999999999998</v>
          </cell>
          <cell r="N9">
            <v>35732</v>
          </cell>
        </row>
        <row r="10">
          <cell r="B10" t="str">
            <v>PNY</v>
          </cell>
          <cell r="C10" t="str">
            <v>PIEDMONT NAT GAS</v>
          </cell>
          <cell r="D10">
            <v>35418</v>
          </cell>
          <cell r="E10" t="str">
            <v>EPS</v>
          </cell>
          <cell r="F10" t="str">
            <v>ANN</v>
          </cell>
          <cell r="G10" t="str">
            <v>1</v>
          </cell>
          <cell r="H10">
            <v>6</v>
          </cell>
          <cell r="I10">
            <v>0.86</v>
          </cell>
          <cell r="J10">
            <v>0.87</v>
          </cell>
          <cell r="K10">
            <v>0.02</v>
          </cell>
          <cell r="L10">
            <v>35734</v>
          </cell>
          <cell r="M10">
            <v>0.90500000000000003</v>
          </cell>
          <cell r="N10">
            <v>35769</v>
          </cell>
        </row>
        <row r="11">
          <cell r="B11" t="str">
            <v>SJI</v>
          </cell>
          <cell r="C11" t="str">
            <v>SO JERSEY INDS</v>
          </cell>
          <cell r="D11">
            <v>35418</v>
          </cell>
          <cell r="E11" t="str">
            <v>EPS</v>
          </cell>
          <cell r="F11" t="str">
            <v>ANN</v>
          </cell>
          <cell r="G11" t="str">
            <v>1</v>
          </cell>
          <cell r="H11">
            <v>2</v>
          </cell>
          <cell r="I11">
            <v>0.42</v>
          </cell>
          <cell r="J11">
            <v>0.42</v>
          </cell>
          <cell r="K11">
            <v>0.04</v>
          </cell>
          <cell r="L11">
            <v>35430</v>
          </cell>
          <cell r="M11">
            <v>0.4375</v>
          </cell>
          <cell r="N11">
            <v>35458</v>
          </cell>
        </row>
        <row r="12">
          <cell r="B12" t="str">
            <v>SWX</v>
          </cell>
          <cell r="C12" t="str">
            <v>SOUTHWEST GAS</v>
          </cell>
          <cell r="D12">
            <v>35418</v>
          </cell>
          <cell r="E12" t="str">
            <v>EPS</v>
          </cell>
          <cell r="F12" t="str">
            <v>ANN</v>
          </cell>
          <cell r="G12" t="str">
            <v>1</v>
          </cell>
          <cell r="H12">
            <v>7</v>
          </cell>
          <cell r="I12">
            <v>0.79</v>
          </cell>
          <cell r="J12">
            <v>0.73</v>
          </cell>
          <cell r="K12">
            <v>0.13</v>
          </cell>
          <cell r="L12">
            <v>35430</v>
          </cell>
          <cell r="M12">
            <v>0.28000000000000003</v>
          </cell>
          <cell r="N12">
            <v>35472</v>
          </cell>
        </row>
        <row r="13">
          <cell r="B13" t="str">
            <v>WGL</v>
          </cell>
          <cell r="C13" t="str">
            <v>WASH GAS LT</v>
          </cell>
          <cell r="D13">
            <v>35418</v>
          </cell>
          <cell r="E13" t="str">
            <v>EPS</v>
          </cell>
          <cell r="F13" t="str">
            <v>ANN</v>
          </cell>
          <cell r="G13" t="str">
            <v>1</v>
          </cell>
          <cell r="H13">
            <v>11</v>
          </cell>
          <cell r="I13">
            <v>1.7</v>
          </cell>
          <cell r="J13">
            <v>1.71</v>
          </cell>
          <cell r="K13">
            <v>0.03</v>
          </cell>
          <cell r="L13">
            <v>35703</v>
          </cell>
          <cell r="M13">
            <v>1.85</v>
          </cell>
          <cell r="N13">
            <v>35732</v>
          </cell>
        </row>
      </sheetData>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nh0vluyyx6mxoyo"/>
    </sheetNames>
    <sheetDataSet>
      <sheetData sheetId="0">
        <row r="1">
          <cell r="B1" t="str">
            <v>Official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Forecast Period End Date (SAS Format)</v>
          </cell>
          <cell r="M1" t="str">
            <v>Actual Value, from the Detail Actuals File</v>
          </cell>
          <cell r="N1" t="str">
            <v>Announce date of the Actual, from the Detail Actuals File</v>
          </cell>
        </row>
        <row r="2">
          <cell r="B2" t="str">
            <v>ATG</v>
          </cell>
          <cell r="C2" t="str">
            <v>AGL RESOURCES</v>
          </cell>
          <cell r="D2">
            <v>35418</v>
          </cell>
          <cell r="E2" t="str">
            <v>EPS</v>
          </cell>
          <cell r="F2" t="str">
            <v>LTG</v>
          </cell>
          <cell r="G2" t="str">
            <v>0</v>
          </cell>
          <cell r="H2">
            <v>10</v>
          </cell>
          <cell r="I2">
            <v>5</v>
          </cell>
          <cell r="J2">
            <v>4.9000000000000004</v>
          </cell>
          <cell r="K2">
            <v>1.29</v>
          </cell>
        </row>
        <row r="3">
          <cell r="B3" t="str">
            <v>CGC</v>
          </cell>
          <cell r="C3" t="str">
            <v>CASCADE NAT GAS</v>
          </cell>
          <cell r="D3">
            <v>35418</v>
          </cell>
          <cell r="E3" t="str">
            <v>EPS</v>
          </cell>
          <cell r="F3" t="str">
            <v>LTG</v>
          </cell>
          <cell r="G3" t="str">
            <v>0</v>
          </cell>
          <cell r="H3">
            <v>2</v>
          </cell>
          <cell r="I3">
            <v>5.25</v>
          </cell>
          <cell r="J3">
            <v>5.25</v>
          </cell>
          <cell r="K3">
            <v>1.77</v>
          </cell>
        </row>
        <row r="4">
          <cell r="B4" t="str">
            <v>CPK</v>
          </cell>
          <cell r="C4" t="str">
            <v>CHESAPEAKE UTIL</v>
          </cell>
          <cell r="D4">
            <v>35418</v>
          </cell>
          <cell r="E4" t="str">
            <v>EPS</v>
          </cell>
          <cell r="F4" t="str">
            <v>LTG</v>
          </cell>
          <cell r="G4" t="str">
            <v>0</v>
          </cell>
          <cell r="H4">
            <v>1</v>
          </cell>
          <cell r="I4">
            <v>3</v>
          </cell>
          <cell r="J4">
            <v>3</v>
          </cell>
        </row>
        <row r="5">
          <cell r="B5" t="str">
            <v>ATO</v>
          </cell>
          <cell r="C5" t="str">
            <v>ATMOS ENERGY CP</v>
          </cell>
          <cell r="D5">
            <v>35418</v>
          </cell>
          <cell r="E5" t="str">
            <v>EPS</v>
          </cell>
          <cell r="F5" t="str">
            <v>LTG</v>
          </cell>
          <cell r="G5" t="str">
            <v>0</v>
          </cell>
          <cell r="H5">
            <v>6</v>
          </cell>
          <cell r="I5">
            <v>8</v>
          </cell>
          <cell r="J5">
            <v>9</v>
          </cell>
          <cell r="K5">
            <v>4.6500000000000004</v>
          </cell>
        </row>
        <row r="6">
          <cell r="B6" t="str">
            <v>GAS</v>
          </cell>
          <cell r="C6" t="str">
            <v>NICOR INC</v>
          </cell>
          <cell r="D6">
            <v>35418</v>
          </cell>
          <cell r="E6" t="str">
            <v>EPS</v>
          </cell>
          <cell r="F6" t="str">
            <v>LTG</v>
          </cell>
          <cell r="G6" t="str">
            <v>0</v>
          </cell>
          <cell r="H6">
            <v>8</v>
          </cell>
          <cell r="I6">
            <v>5</v>
          </cell>
          <cell r="J6">
            <v>5.19</v>
          </cell>
          <cell r="K6">
            <v>0.92</v>
          </cell>
        </row>
        <row r="7">
          <cell r="B7" t="str">
            <v>LG</v>
          </cell>
          <cell r="C7" t="str">
            <v>LACLEDE GAS</v>
          </cell>
          <cell r="D7">
            <v>35418</v>
          </cell>
          <cell r="E7" t="str">
            <v>EPS</v>
          </cell>
          <cell r="F7" t="str">
            <v>LTG</v>
          </cell>
          <cell r="G7" t="str">
            <v>0</v>
          </cell>
          <cell r="H7">
            <v>2</v>
          </cell>
          <cell r="I7">
            <v>3.75</v>
          </cell>
          <cell r="J7">
            <v>3.75</v>
          </cell>
          <cell r="K7">
            <v>1.06</v>
          </cell>
        </row>
        <row r="8">
          <cell r="B8" t="str">
            <v>NI</v>
          </cell>
          <cell r="C8" t="str">
            <v>NIPSCO IND INC</v>
          </cell>
          <cell r="D8">
            <v>35418</v>
          </cell>
          <cell r="E8" t="str">
            <v>EPS</v>
          </cell>
          <cell r="F8" t="str">
            <v>LTG</v>
          </cell>
          <cell r="G8" t="str">
            <v>0</v>
          </cell>
          <cell r="H8">
            <v>16</v>
          </cell>
          <cell r="I8">
            <v>5.2</v>
          </cell>
          <cell r="J8">
            <v>5.42</v>
          </cell>
          <cell r="K8">
            <v>0.96</v>
          </cell>
        </row>
        <row r="9">
          <cell r="B9" t="str">
            <v>NJR</v>
          </cell>
          <cell r="C9" t="str">
            <v>NEW JERSEY RES</v>
          </cell>
          <cell r="D9">
            <v>35418</v>
          </cell>
          <cell r="E9" t="str">
            <v>EPS</v>
          </cell>
          <cell r="F9" t="str">
            <v>LTG</v>
          </cell>
          <cell r="G9" t="str">
            <v>0</v>
          </cell>
          <cell r="H9">
            <v>5</v>
          </cell>
          <cell r="I9">
            <v>5</v>
          </cell>
          <cell r="J9">
            <v>5.0999999999999996</v>
          </cell>
          <cell r="K9">
            <v>0.22</v>
          </cell>
        </row>
        <row r="10">
          <cell r="B10" t="str">
            <v>PNY</v>
          </cell>
          <cell r="C10" t="str">
            <v>PIEDMONT NAT GAS</v>
          </cell>
          <cell r="D10">
            <v>35418</v>
          </cell>
          <cell r="E10" t="str">
            <v>EPS</v>
          </cell>
          <cell r="F10" t="str">
            <v>LTG</v>
          </cell>
          <cell r="G10" t="str">
            <v>0</v>
          </cell>
          <cell r="H10">
            <v>5</v>
          </cell>
          <cell r="I10">
            <v>7</v>
          </cell>
          <cell r="J10">
            <v>6.4</v>
          </cell>
          <cell r="K10">
            <v>1.34</v>
          </cell>
        </row>
        <row r="11">
          <cell r="B11" t="str">
            <v>SJI</v>
          </cell>
          <cell r="C11" t="str">
            <v>SO JERSEY INDS</v>
          </cell>
          <cell r="D11">
            <v>35418</v>
          </cell>
          <cell r="E11" t="str">
            <v>EPS</v>
          </cell>
          <cell r="F11" t="str">
            <v>LTG</v>
          </cell>
          <cell r="G11" t="str">
            <v>0</v>
          </cell>
          <cell r="H11">
            <v>2</v>
          </cell>
          <cell r="I11">
            <v>3.5</v>
          </cell>
          <cell r="J11">
            <v>3.5</v>
          </cell>
          <cell r="K11">
            <v>0.71</v>
          </cell>
        </row>
        <row r="12">
          <cell r="B12" t="str">
            <v>SWX</v>
          </cell>
          <cell r="C12" t="str">
            <v>SOUTHWEST GAS</v>
          </cell>
          <cell r="D12">
            <v>35418</v>
          </cell>
          <cell r="E12" t="str">
            <v>EPS</v>
          </cell>
          <cell r="F12" t="str">
            <v>LTG</v>
          </cell>
          <cell r="G12" t="str">
            <v>0</v>
          </cell>
          <cell r="H12">
            <v>4</v>
          </cell>
          <cell r="I12">
            <v>5</v>
          </cell>
          <cell r="J12">
            <v>5.13</v>
          </cell>
          <cell r="K12">
            <v>1.84</v>
          </cell>
        </row>
        <row r="13">
          <cell r="B13" t="str">
            <v>WGL</v>
          </cell>
          <cell r="C13" t="str">
            <v>WASH GAS LT</v>
          </cell>
          <cell r="D13">
            <v>35418</v>
          </cell>
          <cell r="E13" t="str">
            <v>EPS</v>
          </cell>
          <cell r="F13" t="str">
            <v>LTG</v>
          </cell>
          <cell r="G13" t="str">
            <v>0</v>
          </cell>
          <cell r="H13">
            <v>7</v>
          </cell>
          <cell r="I13">
            <v>4</v>
          </cell>
          <cell r="J13">
            <v>4.07</v>
          </cell>
          <cell r="K13">
            <v>0.93</v>
          </cell>
        </row>
      </sheetData>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RDS"/>
    </sheetNames>
    <sheetDataSet>
      <sheetData sheetId="0">
        <row r="1">
          <cell r="A1" t="str">
            <v>OFTIC</v>
          </cell>
          <cell r="B1" t="str">
            <v>IBES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USFIRM=0 if from .INT file and USFIRM=1 if from .US file</v>
          </cell>
          <cell r="L1" t="str">
            <v>Forecast Period End Date (SAS Format)</v>
          </cell>
          <cell r="M1" t="str">
            <v>Actual Value, from the Detail Actuals File</v>
          </cell>
          <cell r="N1" t="str">
            <v>Announce date of the Actual, from the Detail Actuals File</v>
          </cell>
        </row>
        <row r="2">
          <cell r="A2" t="str">
            <v>AGR</v>
          </cell>
          <cell r="B2" t="str">
            <v>AGR2</v>
          </cell>
          <cell r="C2" t="str">
            <v>ARGENTARIA</v>
          </cell>
          <cell r="D2">
            <v>19951214</v>
          </cell>
          <cell r="E2" t="str">
            <v>EPS</v>
          </cell>
          <cell r="F2" t="str">
            <v>ANN</v>
          </cell>
          <cell r="G2">
            <v>1</v>
          </cell>
          <cell r="H2">
            <v>4</v>
          </cell>
          <cell r="I2">
            <v>2.15</v>
          </cell>
          <cell r="J2">
            <v>2.17</v>
          </cell>
          <cell r="K2">
            <v>1</v>
          </cell>
          <cell r="L2">
            <v>19951231</v>
          </cell>
          <cell r="M2">
            <v>2.36</v>
          </cell>
          <cell r="N2">
            <v>19960306</v>
          </cell>
        </row>
        <row r="3">
          <cell r="A3" t="str">
            <v>PNW</v>
          </cell>
          <cell r="B3" t="str">
            <v>AZP</v>
          </cell>
          <cell r="C3" t="str">
            <v>PINNACLE WST CAP</v>
          </cell>
          <cell r="D3">
            <v>19951214</v>
          </cell>
          <cell r="E3" t="str">
            <v>EPS</v>
          </cell>
          <cell r="F3" t="str">
            <v>ANN</v>
          </cell>
          <cell r="G3">
            <v>1</v>
          </cell>
          <cell r="H3">
            <v>21</v>
          </cell>
          <cell r="I3">
            <v>2.2000000000000002</v>
          </cell>
          <cell r="J3">
            <v>2.17</v>
          </cell>
          <cell r="K3">
            <v>1</v>
          </cell>
          <cell r="L3">
            <v>19951231</v>
          </cell>
          <cell r="M3">
            <v>2.2799999999999998</v>
          </cell>
          <cell r="N3">
            <v>19960117</v>
          </cell>
        </row>
        <row r="4">
          <cell r="A4" t="str">
            <v>BKH</v>
          </cell>
          <cell r="B4" t="str">
            <v>BHP</v>
          </cell>
          <cell r="C4" t="str">
            <v>BLACK HILLS CORP</v>
          </cell>
          <cell r="D4">
            <v>19951214</v>
          </cell>
          <cell r="E4" t="str">
            <v>EPS</v>
          </cell>
          <cell r="F4" t="str">
            <v>ANN</v>
          </cell>
          <cell r="G4">
            <v>1</v>
          </cell>
          <cell r="H4">
            <v>9</v>
          </cell>
          <cell r="I4">
            <v>1.1399999999999999</v>
          </cell>
          <cell r="J4">
            <v>1.1399999999999999</v>
          </cell>
          <cell r="K4">
            <v>1</v>
          </cell>
          <cell r="L4">
            <v>19951231</v>
          </cell>
          <cell r="M4">
            <v>1.1867000000000001</v>
          </cell>
          <cell r="N4">
            <v>19960131</v>
          </cell>
        </row>
        <row r="5">
          <cell r="A5" t="str">
            <v>CIN</v>
          </cell>
          <cell r="B5" t="str">
            <v>CIN</v>
          </cell>
          <cell r="C5" t="str">
            <v>CINERGY CORP</v>
          </cell>
          <cell r="D5">
            <v>19951214</v>
          </cell>
          <cell r="E5" t="str">
            <v>EPS</v>
          </cell>
          <cell r="F5" t="str">
            <v>ANN</v>
          </cell>
          <cell r="G5">
            <v>1</v>
          </cell>
          <cell r="H5">
            <v>25</v>
          </cell>
          <cell r="I5">
            <v>2.12</v>
          </cell>
          <cell r="J5">
            <v>2.13</v>
          </cell>
          <cell r="K5">
            <v>1</v>
          </cell>
          <cell r="L5">
            <v>19951231</v>
          </cell>
          <cell r="M5">
            <v>2.2200000000000002</v>
          </cell>
          <cell r="N5">
            <v>19960125</v>
          </cell>
        </row>
        <row r="6">
          <cell r="A6" t="str">
            <v>CMS</v>
          </cell>
          <cell r="B6" t="str">
            <v>CMS</v>
          </cell>
          <cell r="C6" t="str">
            <v>CMS ENERGY CORP</v>
          </cell>
          <cell r="D6">
            <v>19951214</v>
          </cell>
          <cell r="E6" t="str">
            <v>EPS</v>
          </cell>
          <cell r="F6" t="str">
            <v>ANN</v>
          </cell>
          <cell r="G6">
            <v>1</v>
          </cell>
          <cell r="H6">
            <v>23</v>
          </cell>
          <cell r="I6">
            <v>2.25</v>
          </cell>
          <cell r="J6">
            <v>2.23</v>
          </cell>
          <cell r="K6">
            <v>1</v>
          </cell>
          <cell r="L6">
            <v>19951231</v>
          </cell>
          <cell r="M6">
            <v>2.27</v>
          </cell>
          <cell r="N6">
            <v>19960126</v>
          </cell>
        </row>
        <row r="7">
          <cell r="A7" t="str">
            <v>CNL</v>
          </cell>
          <cell r="B7" t="str">
            <v>CNL</v>
          </cell>
          <cell r="C7" t="str">
            <v>CENT LA ELEC INC</v>
          </cell>
          <cell r="D7">
            <v>19951214</v>
          </cell>
          <cell r="E7" t="str">
            <v>EPS</v>
          </cell>
          <cell r="F7" t="str">
            <v>ANN</v>
          </cell>
          <cell r="G7">
            <v>1</v>
          </cell>
          <cell r="H7">
            <v>8</v>
          </cell>
          <cell r="I7">
            <v>1.05</v>
          </cell>
          <cell r="J7">
            <v>1.05</v>
          </cell>
          <cell r="K7">
            <v>1</v>
          </cell>
          <cell r="L7">
            <v>19951231</v>
          </cell>
          <cell r="M7">
            <v>1.04</v>
          </cell>
          <cell r="N7">
            <v>19960131</v>
          </cell>
        </row>
        <row r="8">
          <cell r="A8" t="str">
            <v>CNP</v>
          </cell>
          <cell r="B8" t="str">
            <v>CNP</v>
          </cell>
          <cell r="C8" t="str">
            <v>CROWN CENT PETE</v>
          </cell>
          <cell r="D8">
            <v>19951214</v>
          </cell>
          <cell r="E8" t="str">
            <v>EPS</v>
          </cell>
          <cell r="F8" t="str">
            <v>ANN</v>
          </cell>
          <cell r="G8">
            <v>1</v>
          </cell>
          <cell r="H8">
            <v>2</v>
          </cell>
          <cell r="I8">
            <v>0.25</v>
          </cell>
          <cell r="J8">
            <v>0.25</v>
          </cell>
          <cell r="K8">
            <v>1</v>
          </cell>
          <cell r="L8">
            <v>19951231</v>
          </cell>
          <cell r="M8">
            <v>-2.11</v>
          </cell>
          <cell r="N8">
            <v>19960220</v>
          </cell>
        </row>
        <row r="9">
          <cell r="A9" t="str">
            <v>CV</v>
          </cell>
          <cell r="B9" t="str">
            <v>CV</v>
          </cell>
          <cell r="C9" t="str">
            <v>CNTRL VT PUB SVC</v>
          </cell>
          <cell r="D9">
            <v>19951214</v>
          </cell>
          <cell r="E9" t="str">
            <v>EPS</v>
          </cell>
          <cell r="F9" t="str">
            <v>ANN</v>
          </cell>
          <cell r="G9">
            <v>1</v>
          </cell>
          <cell r="H9">
            <v>3</v>
          </cell>
          <cell r="I9">
            <v>1.53</v>
          </cell>
          <cell r="J9">
            <v>1.55</v>
          </cell>
          <cell r="K9">
            <v>1</v>
          </cell>
          <cell r="L9">
            <v>19951231</v>
          </cell>
          <cell r="M9">
            <v>1.87</v>
          </cell>
          <cell r="N9">
            <v>19960205</v>
          </cell>
        </row>
        <row r="10">
          <cell r="A10" t="str">
            <v>D</v>
          </cell>
          <cell r="B10" t="str">
            <v>D</v>
          </cell>
          <cell r="C10" t="str">
            <v>DOMINION RES INC</v>
          </cell>
          <cell r="D10">
            <v>19951214</v>
          </cell>
          <cell r="E10" t="str">
            <v>EPS</v>
          </cell>
          <cell r="F10" t="str">
            <v>ANN</v>
          </cell>
          <cell r="G10">
            <v>1</v>
          </cell>
          <cell r="H10">
            <v>31</v>
          </cell>
          <cell r="I10">
            <v>1.42</v>
          </cell>
          <cell r="J10">
            <v>1.44</v>
          </cell>
          <cell r="K10">
            <v>1</v>
          </cell>
          <cell r="L10">
            <v>19951231</v>
          </cell>
          <cell r="M10">
            <v>1.4650000000000001</v>
          </cell>
          <cell r="N10">
            <v>19960126</v>
          </cell>
        </row>
        <row r="11">
          <cell r="A11" t="str">
            <v>DPL</v>
          </cell>
          <cell r="B11" t="str">
            <v>DPL</v>
          </cell>
          <cell r="C11" t="str">
            <v>DPL INC</v>
          </cell>
          <cell r="D11">
            <v>19951214</v>
          </cell>
          <cell r="E11" t="str">
            <v>EPS</v>
          </cell>
          <cell r="F11" t="str">
            <v>ANN</v>
          </cell>
          <cell r="G11">
            <v>1</v>
          </cell>
          <cell r="H11">
            <v>23</v>
          </cell>
          <cell r="I11">
            <v>1.07</v>
          </cell>
          <cell r="J11">
            <v>1.07</v>
          </cell>
          <cell r="K11">
            <v>1</v>
          </cell>
          <cell r="L11">
            <v>19951231</v>
          </cell>
          <cell r="M11">
            <v>1.0867</v>
          </cell>
          <cell r="N11">
            <v>19960116</v>
          </cell>
        </row>
        <row r="12">
          <cell r="A12" t="str">
            <v>DTE</v>
          </cell>
          <cell r="B12" t="str">
            <v>DTE</v>
          </cell>
          <cell r="C12" t="str">
            <v>DETROIT EDISON</v>
          </cell>
          <cell r="D12">
            <v>19951214</v>
          </cell>
          <cell r="E12" t="str">
            <v>EPS</v>
          </cell>
          <cell r="F12" t="str">
            <v>ANN</v>
          </cell>
          <cell r="G12">
            <v>1</v>
          </cell>
          <cell r="H12">
            <v>22</v>
          </cell>
          <cell r="I12">
            <v>2.88</v>
          </cell>
          <cell r="J12">
            <v>2.85</v>
          </cell>
          <cell r="K12">
            <v>1</v>
          </cell>
          <cell r="L12">
            <v>19951231</v>
          </cell>
          <cell r="M12">
            <v>3.09</v>
          </cell>
          <cell r="N12">
            <v>19960122</v>
          </cell>
        </row>
        <row r="13">
          <cell r="A13" t="str">
            <v>DUK</v>
          </cell>
          <cell r="B13" t="str">
            <v>DUK</v>
          </cell>
          <cell r="C13" t="str">
            <v>DUKE POWER CO</v>
          </cell>
          <cell r="D13">
            <v>19951214</v>
          </cell>
          <cell r="E13" t="str">
            <v>EPS</v>
          </cell>
          <cell r="F13" t="str">
            <v>ANN</v>
          </cell>
          <cell r="G13">
            <v>1</v>
          </cell>
          <cell r="H13">
            <v>28</v>
          </cell>
          <cell r="I13">
            <v>4.8600000000000003</v>
          </cell>
          <cell r="J13">
            <v>4.82</v>
          </cell>
          <cell r="K13">
            <v>1</v>
          </cell>
          <cell r="L13">
            <v>19951231</v>
          </cell>
          <cell r="M13">
            <v>5.13</v>
          </cell>
          <cell r="N13">
            <v>19960123</v>
          </cell>
        </row>
        <row r="14">
          <cell r="A14" t="str">
            <v>ED</v>
          </cell>
          <cell r="B14" t="str">
            <v>ED</v>
          </cell>
          <cell r="C14" t="str">
            <v>CONSOL EDISON</v>
          </cell>
          <cell r="D14">
            <v>19951214</v>
          </cell>
          <cell r="E14" t="str">
            <v>EPS</v>
          </cell>
          <cell r="F14" t="str">
            <v>ANN</v>
          </cell>
          <cell r="G14">
            <v>1</v>
          </cell>
          <cell r="H14">
            <v>23</v>
          </cell>
          <cell r="I14">
            <v>2.85</v>
          </cell>
          <cell r="J14">
            <v>2.83</v>
          </cell>
          <cell r="K14">
            <v>1</v>
          </cell>
          <cell r="L14">
            <v>19951231</v>
          </cell>
          <cell r="M14">
            <v>2.93</v>
          </cell>
          <cell r="N14">
            <v>19960123</v>
          </cell>
        </row>
        <row r="15">
          <cell r="A15" t="str">
            <v>EDE</v>
          </cell>
          <cell r="B15" t="str">
            <v>EDE</v>
          </cell>
          <cell r="C15" t="str">
            <v>EMPIRE DIST ELEC</v>
          </cell>
          <cell r="D15">
            <v>19951214</v>
          </cell>
          <cell r="E15" t="str">
            <v>EPS</v>
          </cell>
          <cell r="F15" t="str">
            <v>ANN</v>
          </cell>
          <cell r="G15">
            <v>1</v>
          </cell>
          <cell r="H15">
            <v>4</v>
          </cell>
          <cell r="I15">
            <v>1.4</v>
          </cell>
          <cell r="J15">
            <v>1.4</v>
          </cell>
          <cell r="K15">
            <v>1</v>
          </cell>
          <cell r="L15">
            <v>19951231</v>
          </cell>
          <cell r="M15">
            <v>0.91</v>
          </cell>
          <cell r="N15">
            <v>19960125</v>
          </cell>
        </row>
        <row r="16">
          <cell r="A16" t="str">
            <v>EXC</v>
          </cell>
          <cell r="B16" t="str">
            <v>EXC</v>
          </cell>
          <cell r="C16" t="str">
            <v>EXCEL INDS INC</v>
          </cell>
          <cell r="D16">
            <v>19951214</v>
          </cell>
          <cell r="E16" t="str">
            <v>EPS</v>
          </cell>
          <cell r="F16" t="str">
            <v>ANN</v>
          </cell>
          <cell r="G16">
            <v>1</v>
          </cell>
          <cell r="H16">
            <v>4</v>
          </cell>
          <cell r="I16">
            <v>1.17</v>
          </cell>
          <cell r="J16">
            <v>1.19</v>
          </cell>
          <cell r="K16">
            <v>1</v>
          </cell>
          <cell r="L16">
            <v>19951231</v>
          </cell>
          <cell r="M16">
            <v>1.2330000000000001</v>
          </cell>
          <cell r="N16">
            <v>19960215</v>
          </cell>
        </row>
        <row r="17">
          <cell r="A17" t="str">
            <v>FPL</v>
          </cell>
          <cell r="B17" t="str">
            <v>FPL</v>
          </cell>
          <cell r="C17" t="str">
            <v>FPL GROUP</v>
          </cell>
          <cell r="D17">
            <v>19951214</v>
          </cell>
          <cell r="E17" t="str">
            <v>EPS</v>
          </cell>
          <cell r="F17" t="str">
            <v>ANN</v>
          </cell>
          <cell r="G17">
            <v>1</v>
          </cell>
          <cell r="H17">
            <v>27</v>
          </cell>
          <cell r="I17">
            <v>0.39</v>
          </cell>
          <cell r="J17">
            <v>0.39</v>
          </cell>
          <cell r="K17">
            <v>1</v>
          </cell>
          <cell r="L17">
            <v>19951231</v>
          </cell>
          <cell r="M17">
            <v>0.39500000000000002</v>
          </cell>
          <cell r="N17">
            <v>19960119</v>
          </cell>
        </row>
        <row r="18">
          <cell r="A18" t="str">
            <v>HE</v>
          </cell>
          <cell r="B18" t="str">
            <v>HE</v>
          </cell>
          <cell r="C18" t="str">
            <v>HAWAIIAN ELEC</v>
          </cell>
          <cell r="D18">
            <v>19951214</v>
          </cell>
          <cell r="E18" t="str">
            <v>EPS</v>
          </cell>
          <cell r="F18" t="str">
            <v>ANN</v>
          </cell>
          <cell r="G18">
            <v>1</v>
          </cell>
          <cell r="H18">
            <v>12</v>
          </cell>
          <cell r="I18">
            <v>1.38</v>
          </cell>
          <cell r="J18">
            <v>1.39</v>
          </cell>
          <cell r="K18">
            <v>1</v>
          </cell>
          <cell r="L18">
            <v>19951231</v>
          </cell>
          <cell r="M18">
            <v>1.33</v>
          </cell>
          <cell r="N18">
            <v>19960126</v>
          </cell>
        </row>
        <row r="19">
          <cell r="A19" t="str">
            <v>IDA</v>
          </cell>
          <cell r="B19" t="str">
            <v>IDA</v>
          </cell>
          <cell r="C19" t="str">
            <v>IDAHO POWER CO</v>
          </cell>
          <cell r="D19">
            <v>19951214</v>
          </cell>
          <cell r="E19" t="str">
            <v>EPS</v>
          </cell>
          <cell r="F19" t="str">
            <v>ANN</v>
          </cell>
          <cell r="G19">
            <v>1</v>
          </cell>
          <cell r="H19">
            <v>14</v>
          </cell>
          <cell r="I19">
            <v>2.0099999999999998</v>
          </cell>
          <cell r="J19">
            <v>2.0099999999999998</v>
          </cell>
          <cell r="K19">
            <v>1</v>
          </cell>
          <cell r="L19">
            <v>19951231</v>
          </cell>
          <cell r="M19">
            <v>2.1</v>
          </cell>
          <cell r="N19">
            <v>19960131</v>
          </cell>
        </row>
        <row r="20">
          <cell r="A20" t="str">
            <v>WR</v>
          </cell>
          <cell r="B20" t="str">
            <v>KAN</v>
          </cell>
          <cell r="C20" t="str">
            <v>WESTN RESOURCES</v>
          </cell>
          <cell r="D20">
            <v>19951214</v>
          </cell>
          <cell r="E20" t="str">
            <v>EPS</v>
          </cell>
          <cell r="F20" t="str">
            <v>ANN</v>
          </cell>
          <cell r="G20">
            <v>1</v>
          </cell>
          <cell r="H20">
            <v>21</v>
          </cell>
          <cell r="I20">
            <v>2.65</v>
          </cell>
          <cell r="J20">
            <v>2.66</v>
          </cell>
          <cell r="K20">
            <v>1</v>
          </cell>
          <cell r="L20">
            <v>19951231</v>
          </cell>
          <cell r="M20">
            <v>2.83</v>
          </cell>
          <cell r="N20">
            <v>19960124</v>
          </cell>
        </row>
        <row r="21">
          <cell r="A21" t="str">
            <v>ETR</v>
          </cell>
          <cell r="B21" t="str">
            <v>MSU</v>
          </cell>
          <cell r="C21" t="str">
            <v>ENTERGY CP</v>
          </cell>
          <cell r="D21">
            <v>19951214</v>
          </cell>
          <cell r="E21" t="str">
            <v>EPS</v>
          </cell>
          <cell r="F21" t="str">
            <v>ANN</v>
          </cell>
          <cell r="G21">
            <v>1</v>
          </cell>
          <cell r="H21">
            <v>21</v>
          </cell>
          <cell r="I21">
            <v>2.35</v>
          </cell>
          <cell r="J21">
            <v>2.31</v>
          </cell>
          <cell r="K21">
            <v>1</v>
          </cell>
          <cell r="L21">
            <v>19951231</v>
          </cell>
          <cell r="M21">
            <v>2.36</v>
          </cell>
          <cell r="N21">
            <v>19960215</v>
          </cell>
        </row>
        <row r="22">
          <cell r="A22" t="str">
            <v>NU</v>
          </cell>
          <cell r="B22" t="str">
            <v>NU</v>
          </cell>
          <cell r="C22" t="str">
            <v>NORTHEAST UTILS</v>
          </cell>
          <cell r="D22">
            <v>19951214</v>
          </cell>
          <cell r="E22" t="str">
            <v>EPS</v>
          </cell>
          <cell r="F22" t="str">
            <v>ANN</v>
          </cell>
          <cell r="G22">
            <v>1</v>
          </cell>
          <cell r="H22">
            <v>21</v>
          </cell>
          <cell r="I22">
            <v>2.2000000000000002</v>
          </cell>
          <cell r="J22">
            <v>2.2400000000000002</v>
          </cell>
          <cell r="K22">
            <v>1</v>
          </cell>
          <cell r="L22">
            <v>19951231</v>
          </cell>
          <cell r="M22">
            <v>2.25</v>
          </cell>
          <cell r="N22">
            <v>19960123</v>
          </cell>
        </row>
        <row r="23">
          <cell r="A23" t="str">
            <v>OGE</v>
          </cell>
          <cell r="B23" t="str">
            <v>OGE</v>
          </cell>
          <cell r="C23" t="str">
            <v>OKLAHOMA G&amp;E</v>
          </cell>
          <cell r="D23">
            <v>19951214</v>
          </cell>
          <cell r="E23" t="str">
            <v>EPS</v>
          </cell>
          <cell r="F23" t="str">
            <v>ANN</v>
          </cell>
          <cell r="G23">
            <v>1</v>
          </cell>
          <cell r="H23">
            <v>19</v>
          </cell>
          <cell r="I23">
            <v>0.76</v>
          </cell>
          <cell r="J23">
            <v>0.77</v>
          </cell>
          <cell r="K23">
            <v>1</v>
          </cell>
          <cell r="L23">
            <v>19951231</v>
          </cell>
          <cell r="M23">
            <v>0.76249999999999996</v>
          </cell>
          <cell r="N23">
            <v>19960129</v>
          </cell>
        </row>
        <row r="24">
          <cell r="A24" t="str">
            <v>OTTR</v>
          </cell>
          <cell r="B24" t="str">
            <v>OTTR</v>
          </cell>
          <cell r="C24" t="str">
            <v>OTTER TAIL PWR</v>
          </cell>
          <cell r="D24">
            <v>19951214</v>
          </cell>
          <cell r="E24" t="str">
            <v>EPS</v>
          </cell>
          <cell r="F24" t="str">
            <v>ANN</v>
          </cell>
          <cell r="G24">
            <v>1</v>
          </cell>
          <cell r="H24">
            <v>5</v>
          </cell>
          <cell r="I24">
            <v>1.18</v>
          </cell>
          <cell r="J24">
            <v>1.19</v>
          </cell>
          <cell r="K24">
            <v>1</v>
          </cell>
          <cell r="L24">
            <v>19951231</v>
          </cell>
          <cell r="M24">
            <v>1.19</v>
          </cell>
          <cell r="N24">
            <v>19960124</v>
          </cell>
        </row>
        <row r="25">
          <cell r="A25" t="str">
            <v>PCG</v>
          </cell>
          <cell r="B25" t="str">
            <v>PCG</v>
          </cell>
          <cell r="C25" t="str">
            <v>PACIFIC G&amp;E</v>
          </cell>
          <cell r="D25">
            <v>19951214</v>
          </cell>
          <cell r="E25" t="str">
            <v>EPS</v>
          </cell>
          <cell r="F25" t="str">
            <v>ANN</v>
          </cell>
          <cell r="G25">
            <v>1</v>
          </cell>
          <cell r="H25">
            <v>23</v>
          </cell>
          <cell r="I25">
            <v>3.05</v>
          </cell>
          <cell r="J25">
            <v>3.04</v>
          </cell>
          <cell r="K25">
            <v>1</v>
          </cell>
          <cell r="L25">
            <v>19951231</v>
          </cell>
          <cell r="M25">
            <v>3.09</v>
          </cell>
          <cell r="N25">
            <v>19960117</v>
          </cell>
        </row>
        <row r="26">
          <cell r="A26" t="str">
            <v>PEG</v>
          </cell>
          <cell r="B26" t="str">
            <v>PEG</v>
          </cell>
          <cell r="C26" t="str">
            <v>PUB SVC ENTERS</v>
          </cell>
          <cell r="D26">
            <v>19951214</v>
          </cell>
          <cell r="E26" t="str">
            <v>EPS</v>
          </cell>
          <cell r="F26" t="str">
            <v>ANN</v>
          </cell>
          <cell r="G26">
            <v>1</v>
          </cell>
          <cell r="H26">
            <v>25</v>
          </cell>
          <cell r="I26">
            <v>1.33</v>
          </cell>
          <cell r="J26">
            <v>1.33</v>
          </cell>
          <cell r="K26">
            <v>1</v>
          </cell>
          <cell r="L26">
            <v>19951231</v>
          </cell>
          <cell r="M26">
            <v>1.3049999999999999</v>
          </cell>
          <cell r="N26">
            <v>19960116</v>
          </cell>
        </row>
        <row r="27">
          <cell r="A27" t="str">
            <v>PGN</v>
          </cell>
          <cell r="B27" t="str">
            <v>PGN</v>
          </cell>
          <cell r="C27" t="str">
            <v>PORTLAND GEN CP</v>
          </cell>
          <cell r="D27">
            <v>19951214</v>
          </cell>
          <cell r="E27" t="str">
            <v>EPS</v>
          </cell>
          <cell r="F27" t="str">
            <v>ANN</v>
          </cell>
          <cell r="G27">
            <v>1</v>
          </cell>
          <cell r="H27">
            <v>17</v>
          </cell>
          <cell r="I27">
            <v>2.4</v>
          </cell>
          <cell r="J27">
            <v>2.33</v>
          </cell>
          <cell r="K27">
            <v>1</v>
          </cell>
          <cell r="L27">
            <v>19951231</v>
          </cell>
          <cell r="M27">
            <v>2.57</v>
          </cell>
          <cell r="N27">
            <v>19960125</v>
          </cell>
        </row>
        <row r="28">
          <cell r="A28" t="str">
            <v>PNM</v>
          </cell>
          <cell r="B28" t="str">
            <v>PNM</v>
          </cell>
          <cell r="C28" t="str">
            <v>PUB SVC N MEX</v>
          </cell>
          <cell r="D28">
            <v>19951214</v>
          </cell>
          <cell r="E28" t="str">
            <v>EPS</v>
          </cell>
          <cell r="F28" t="str">
            <v>ANN</v>
          </cell>
          <cell r="G28">
            <v>1</v>
          </cell>
          <cell r="H28">
            <v>14</v>
          </cell>
          <cell r="I28">
            <v>0.9</v>
          </cell>
          <cell r="J28">
            <v>0.91</v>
          </cell>
          <cell r="K28">
            <v>1</v>
          </cell>
          <cell r="L28">
            <v>19951231</v>
          </cell>
          <cell r="M28">
            <v>0.92669999999999997</v>
          </cell>
          <cell r="N28">
            <v>19960126</v>
          </cell>
        </row>
        <row r="29">
          <cell r="A29" t="str">
            <v>POM</v>
          </cell>
          <cell r="B29" t="str">
            <v>POM</v>
          </cell>
          <cell r="C29" t="str">
            <v>POTOMAC ELEC</v>
          </cell>
          <cell r="D29">
            <v>19951214</v>
          </cell>
          <cell r="E29" t="str">
            <v>EPS</v>
          </cell>
          <cell r="F29" t="str">
            <v>ANN</v>
          </cell>
          <cell r="G29">
            <v>1</v>
          </cell>
          <cell r="H29">
            <v>26</v>
          </cell>
          <cell r="I29">
            <v>1.74</v>
          </cell>
          <cell r="J29">
            <v>1.67</v>
          </cell>
          <cell r="K29">
            <v>1</v>
          </cell>
          <cell r="L29">
            <v>19951231</v>
          </cell>
          <cell r="M29">
            <v>1.67</v>
          </cell>
          <cell r="N29">
            <v>19960125</v>
          </cell>
        </row>
        <row r="30">
          <cell r="A30" t="str">
            <v>PPL</v>
          </cell>
          <cell r="B30" t="str">
            <v>PPL</v>
          </cell>
          <cell r="C30" t="str">
            <v>PP&amp;L RESOURCES</v>
          </cell>
          <cell r="D30">
            <v>19951214</v>
          </cell>
          <cell r="E30" t="str">
            <v>EPS</v>
          </cell>
          <cell r="F30" t="str">
            <v>ANN</v>
          </cell>
          <cell r="G30">
            <v>1</v>
          </cell>
          <cell r="H30">
            <v>22</v>
          </cell>
          <cell r="I30">
            <v>0.97</v>
          </cell>
          <cell r="J30">
            <v>0.97</v>
          </cell>
          <cell r="K30">
            <v>1</v>
          </cell>
          <cell r="L30">
            <v>19951231</v>
          </cell>
          <cell r="M30">
            <v>0.97</v>
          </cell>
          <cell r="N30">
            <v>19960124</v>
          </cell>
        </row>
        <row r="31">
          <cell r="A31" t="str">
            <v>PSD</v>
          </cell>
          <cell r="B31" t="str">
            <v>PSD</v>
          </cell>
          <cell r="C31" t="str">
            <v>PUGET SOUND P&amp;L</v>
          </cell>
          <cell r="D31">
            <v>19951214</v>
          </cell>
          <cell r="E31" t="str">
            <v>EPS</v>
          </cell>
          <cell r="F31" t="str">
            <v>ANN</v>
          </cell>
          <cell r="G31">
            <v>1</v>
          </cell>
          <cell r="H31">
            <v>12</v>
          </cell>
          <cell r="I31">
            <v>1.85</v>
          </cell>
          <cell r="J31">
            <v>1.87</v>
          </cell>
          <cell r="K31">
            <v>1</v>
          </cell>
          <cell r="L31">
            <v>19951231</v>
          </cell>
          <cell r="M31">
            <v>1.89</v>
          </cell>
          <cell r="N31">
            <v>19960212</v>
          </cell>
        </row>
        <row r="32">
          <cell r="A32" t="str">
            <v>SCG</v>
          </cell>
          <cell r="B32" t="str">
            <v>SCG</v>
          </cell>
          <cell r="C32" t="str">
            <v>SCANA CP</v>
          </cell>
          <cell r="D32">
            <v>19951214</v>
          </cell>
          <cell r="E32" t="str">
            <v>EPS</v>
          </cell>
          <cell r="F32" t="str">
            <v>ANN</v>
          </cell>
          <cell r="G32">
            <v>1</v>
          </cell>
          <cell r="H32">
            <v>18</v>
          </cell>
          <cell r="I32">
            <v>1.78</v>
          </cell>
          <cell r="J32">
            <v>1.76</v>
          </cell>
          <cell r="K32">
            <v>1</v>
          </cell>
          <cell r="L32">
            <v>19951231</v>
          </cell>
          <cell r="M32">
            <v>1.6950000000000001</v>
          </cell>
          <cell r="N32">
            <v>19960208</v>
          </cell>
        </row>
        <row r="33">
          <cell r="A33" t="str">
            <v>SO</v>
          </cell>
          <cell r="B33" t="str">
            <v>SO</v>
          </cell>
          <cell r="C33" t="str">
            <v>SOUTHN CO</v>
          </cell>
          <cell r="D33">
            <v>19951214</v>
          </cell>
          <cell r="E33" t="str">
            <v>EPS</v>
          </cell>
          <cell r="F33" t="str">
            <v>ANN</v>
          </cell>
          <cell r="G33">
            <v>1</v>
          </cell>
          <cell r="H33">
            <v>31</v>
          </cell>
          <cell r="I33">
            <v>1.65</v>
          </cell>
          <cell r="J33">
            <v>1.67</v>
          </cell>
          <cell r="K33">
            <v>1</v>
          </cell>
          <cell r="L33">
            <v>19951231</v>
          </cell>
          <cell r="M33">
            <v>1.66</v>
          </cell>
          <cell r="N33">
            <v>19960115</v>
          </cell>
        </row>
        <row r="34">
          <cell r="A34" t="str">
            <v>TE</v>
          </cell>
          <cell r="B34" t="str">
            <v>TE</v>
          </cell>
          <cell r="C34" t="str">
            <v>TECO ENERGY INC</v>
          </cell>
          <cell r="D34">
            <v>19951214</v>
          </cell>
          <cell r="E34" t="str">
            <v>EPS</v>
          </cell>
          <cell r="F34" t="str">
            <v>ANN</v>
          </cell>
          <cell r="G34">
            <v>1</v>
          </cell>
          <cell r="H34">
            <v>27</v>
          </cell>
          <cell r="I34">
            <v>1.58</v>
          </cell>
          <cell r="J34">
            <v>1.57</v>
          </cell>
          <cell r="K34">
            <v>1</v>
          </cell>
          <cell r="L34">
            <v>19951231</v>
          </cell>
          <cell r="M34">
            <v>1.6</v>
          </cell>
          <cell r="N34">
            <v>19960115</v>
          </cell>
        </row>
        <row r="35">
          <cell r="A35" t="str">
            <v>UIL</v>
          </cell>
          <cell r="B35" t="str">
            <v>UIL</v>
          </cell>
          <cell r="C35" t="str">
            <v>UTD ILLUM CO</v>
          </cell>
          <cell r="D35">
            <v>19951214</v>
          </cell>
          <cell r="E35" t="str">
            <v>EPS</v>
          </cell>
          <cell r="F35" t="str">
            <v>ANN</v>
          </cell>
          <cell r="G35">
            <v>1</v>
          </cell>
          <cell r="H35">
            <v>9</v>
          </cell>
          <cell r="I35">
            <v>2</v>
          </cell>
          <cell r="J35">
            <v>2.0099999999999998</v>
          </cell>
          <cell r="K35">
            <v>1</v>
          </cell>
          <cell r="L35">
            <v>19951231</v>
          </cell>
          <cell r="M35">
            <v>2.1659999999999999</v>
          </cell>
          <cell r="N35">
            <v>19960122</v>
          </cell>
        </row>
        <row r="36">
          <cell r="A36" t="str">
            <v>WEC</v>
          </cell>
          <cell r="B36" t="str">
            <v>WPC</v>
          </cell>
          <cell r="C36" t="str">
            <v>WISCONSIN ENERGY</v>
          </cell>
          <cell r="D36">
            <v>19951214</v>
          </cell>
          <cell r="E36" t="str">
            <v>EPS</v>
          </cell>
          <cell r="F36" t="str">
            <v>ANN</v>
          </cell>
          <cell r="G36">
            <v>1</v>
          </cell>
          <cell r="H36">
            <v>26</v>
          </cell>
          <cell r="I36">
            <v>1.08</v>
          </cell>
          <cell r="J36">
            <v>1.07</v>
          </cell>
          <cell r="K36">
            <v>1</v>
          </cell>
          <cell r="L36">
            <v>19951231</v>
          </cell>
          <cell r="M36">
            <v>1.0649999999999999</v>
          </cell>
          <cell r="N36">
            <v>19960131</v>
          </cell>
        </row>
        <row r="37">
          <cell r="A37" t="str">
            <v>WPS</v>
          </cell>
          <cell r="B37" t="str">
            <v>WPS</v>
          </cell>
          <cell r="C37" t="str">
            <v>WPS RESOURCES CP</v>
          </cell>
          <cell r="D37">
            <v>19951214</v>
          </cell>
          <cell r="E37" t="str">
            <v>EPS</v>
          </cell>
          <cell r="F37" t="str">
            <v>ANN</v>
          </cell>
          <cell r="G37">
            <v>1</v>
          </cell>
          <cell r="H37">
            <v>12</v>
          </cell>
          <cell r="I37">
            <v>2.31</v>
          </cell>
          <cell r="J37">
            <v>2.31</v>
          </cell>
          <cell r="K37">
            <v>1</v>
          </cell>
          <cell r="L37">
            <v>19951231</v>
          </cell>
          <cell r="M37">
            <v>2.37</v>
          </cell>
          <cell r="N37">
            <v>19960126</v>
          </cell>
        </row>
        <row r="38">
          <cell r="A38" t="str">
            <v>AVA</v>
          </cell>
          <cell r="B38" t="str">
            <v>@AHV</v>
          </cell>
          <cell r="C38" t="str">
            <v>AVA</v>
          </cell>
          <cell r="D38">
            <v>19951214</v>
          </cell>
          <cell r="E38" t="str">
            <v>EPS</v>
          </cell>
          <cell r="F38" t="str">
            <v>ANN</v>
          </cell>
          <cell r="G38">
            <v>1</v>
          </cell>
          <cell r="H38">
            <v>32</v>
          </cell>
          <cell r="I38">
            <v>1.3</v>
          </cell>
          <cell r="J38">
            <v>1.4</v>
          </cell>
          <cell r="K38">
            <v>0</v>
          </cell>
          <cell r="L38">
            <v>19951231</v>
          </cell>
          <cell r="M38">
            <v>0.18</v>
          </cell>
          <cell r="N38">
            <v>19960801</v>
          </cell>
        </row>
        <row r="39">
          <cell r="A39" t="str">
            <v>ALE</v>
          </cell>
          <cell r="B39" t="str">
            <v>@AVG</v>
          </cell>
          <cell r="C39" t="str">
            <v>ABI LEISURE</v>
          </cell>
          <cell r="D39">
            <v>19951214</v>
          </cell>
          <cell r="E39" t="str">
            <v>EPS</v>
          </cell>
          <cell r="F39" t="str">
            <v>ANN</v>
          </cell>
          <cell r="G39">
            <v>1</v>
          </cell>
          <cell r="H39">
            <v>2</v>
          </cell>
          <cell r="I39">
            <v>10.199999999999999</v>
          </cell>
          <cell r="J39">
            <v>10.199999999999999</v>
          </cell>
          <cell r="K39">
            <v>0</v>
          </cell>
          <cell r="L39">
            <v>19960831</v>
          </cell>
          <cell r="M39">
            <v>10.199999999999999</v>
          </cell>
          <cell r="N39">
            <v>19961113</v>
          </cell>
        </row>
        <row r="40">
          <cell r="A40" t="str">
            <v>CEG</v>
          </cell>
          <cell r="B40" t="str">
            <v>@CCG</v>
          </cell>
          <cell r="C40" t="str">
            <v>CEGEP</v>
          </cell>
          <cell r="D40">
            <v>19951214</v>
          </cell>
          <cell r="E40" t="str">
            <v>EPS</v>
          </cell>
          <cell r="F40" t="str">
            <v>ANN</v>
          </cell>
          <cell r="G40">
            <v>1</v>
          </cell>
          <cell r="H40">
            <v>1</v>
          </cell>
          <cell r="I40">
            <v>0.9</v>
          </cell>
          <cell r="J40">
            <v>0.9</v>
          </cell>
          <cell r="K40">
            <v>0</v>
          </cell>
          <cell r="L40">
            <v>19951231</v>
          </cell>
          <cell r="M40">
            <v>2.2000000000000002</v>
          </cell>
          <cell r="N40">
            <v>19960709</v>
          </cell>
        </row>
        <row r="41">
          <cell r="A41" t="str">
            <v>CNP</v>
          </cell>
          <cell r="B41" t="str">
            <v>@CE4</v>
          </cell>
          <cell r="C41" t="str">
            <v>CEMENTOS N PACAS</v>
          </cell>
          <cell r="D41">
            <v>19951214</v>
          </cell>
          <cell r="E41" t="str">
            <v>EPS</v>
          </cell>
          <cell r="F41" t="str">
            <v>ANN</v>
          </cell>
          <cell r="G41">
            <v>1</v>
          </cell>
          <cell r="H41">
            <v>10</v>
          </cell>
          <cell r="I41">
            <v>0.13</v>
          </cell>
          <cell r="J41">
            <v>0.13</v>
          </cell>
          <cell r="K41">
            <v>0</v>
          </cell>
          <cell r="L41">
            <v>19951231</v>
          </cell>
          <cell r="M41">
            <v>0.1069</v>
          </cell>
          <cell r="N41">
            <v>19960416</v>
          </cell>
        </row>
        <row r="42">
          <cell r="A42" t="str">
            <v>CEG</v>
          </cell>
          <cell r="B42" t="str">
            <v>@CQ5</v>
          </cell>
          <cell r="C42" t="str">
            <v>CROWN EYEGLASSES</v>
          </cell>
          <cell r="D42">
            <v>19951214</v>
          </cell>
          <cell r="E42" t="str">
            <v>EPS</v>
          </cell>
          <cell r="F42" t="str">
            <v>ANN</v>
          </cell>
          <cell r="G42">
            <v>1</v>
          </cell>
          <cell r="H42">
            <v>1</v>
          </cell>
          <cell r="I42">
            <v>33.5</v>
          </cell>
          <cell r="J42">
            <v>33.5</v>
          </cell>
          <cell r="K42">
            <v>0</v>
          </cell>
          <cell r="L42">
            <v>19960331</v>
          </cell>
          <cell r="M42">
            <v>28.5</v>
          </cell>
          <cell r="N42">
            <v>19960823</v>
          </cell>
        </row>
        <row r="43">
          <cell r="A43" t="str">
            <v>CIN</v>
          </cell>
          <cell r="B43" t="str">
            <v>@CUW</v>
          </cell>
          <cell r="C43" t="str">
            <v>CITY OF LOND PR</v>
          </cell>
          <cell r="D43">
            <v>19951214</v>
          </cell>
          <cell r="E43" t="str">
            <v>EPS</v>
          </cell>
          <cell r="F43" t="str">
            <v>ANN</v>
          </cell>
          <cell r="G43">
            <v>1</v>
          </cell>
          <cell r="H43">
            <v>1</v>
          </cell>
          <cell r="I43">
            <v>165.71</v>
          </cell>
          <cell r="J43">
            <v>165.71</v>
          </cell>
          <cell r="K43">
            <v>0</v>
          </cell>
          <cell r="L43">
            <v>19960331</v>
          </cell>
          <cell r="M43">
            <v>167.65479999999999</v>
          </cell>
          <cell r="N43">
            <v>19960523</v>
          </cell>
        </row>
        <row r="44">
          <cell r="A44" t="str">
            <v>CMS</v>
          </cell>
          <cell r="B44" t="str">
            <v>@CWJ</v>
          </cell>
          <cell r="C44" t="str">
            <v>CAMAS</v>
          </cell>
          <cell r="D44">
            <v>19951214</v>
          </cell>
          <cell r="E44" t="str">
            <v>EPS</v>
          </cell>
          <cell r="F44" t="str">
            <v>ANN</v>
          </cell>
          <cell r="G44">
            <v>1</v>
          </cell>
          <cell r="H44">
            <v>10</v>
          </cell>
          <cell r="I44">
            <v>5.4</v>
          </cell>
          <cell r="J44">
            <v>5.33</v>
          </cell>
          <cell r="K44">
            <v>0</v>
          </cell>
          <cell r="L44">
            <v>19951231</v>
          </cell>
          <cell r="M44">
            <v>5.3</v>
          </cell>
          <cell r="N44">
            <v>19960329</v>
          </cell>
        </row>
        <row r="45">
          <cell r="A45" t="str">
            <v>CNP</v>
          </cell>
          <cell r="B45" t="str">
            <v>@CWV</v>
          </cell>
          <cell r="C45" t="str">
            <v>CANADIAN PIZZA</v>
          </cell>
          <cell r="D45">
            <v>19951214</v>
          </cell>
          <cell r="E45" t="str">
            <v>EPS</v>
          </cell>
          <cell r="F45" t="str">
            <v>ANN</v>
          </cell>
          <cell r="G45">
            <v>1</v>
          </cell>
          <cell r="H45">
            <v>3</v>
          </cell>
          <cell r="I45">
            <v>6.4</v>
          </cell>
          <cell r="J45">
            <v>6.67</v>
          </cell>
          <cell r="K45">
            <v>0</v>
          </cell>
          <cell r="L45">
            <v>19951231</v>
          </cell>
          <cell r="M45">
            <v>5.9</v>
          </cell>
          <cell r="N45">
            <v>19960424</v>
          </cell>
        </row>
        <row r="46">
          <cell r="A46" t="str">
            <v>D</v>
          </cell>
          <cell r="B46" t="str">
            <v>@DLM</v>
          </cell>
          <cell r="C46" t="str">
            <v>DALMINE</v>
          </cell>
          <cell r="D46">
            <v>19951214</v>
          </cell>
          <cell r="E46" t="str">
            <v>EPS</v>
          </cell>
          <cell r="F46" t="str">
            <v>ANN</v>
          </cell>
          <cell r="G46">
            <v>1</v>
          </cell>
          <cell r="H46">
            <v>5</v>
          </cell>
          <cell r="I46">
            <v>23</v>
          </cell>
          <cell r="J46">
            <v>21</v>
          </cell>
          <cell r="K46">
            <v>0</v>
          </cell>
          <cell r="L46">
            <v>19951231</v>
          </cell>
          <cell r="M46">
            <v>7.1</v>
          </cell>
          <cell r="N46">
            <v>19960710</v>
          </cell>
        </row>
        <row r="47">
          <cell r="A47" t="str">
            <v>EXC</v>
          </cell>
          <cell r="B47" t="str">
            <v>@ECH</v>
          </cell>
          <cell r="C47" t="str">
            <v>EX-CELL-O-HLDG</v>
          </cell>
          <cell r="D47">
            <v>19951214</v>
          </cell>
          <cell r="E47" t="str">
            <v>EPS</v>
          </cell>
          <cell r="F47" t="str">
            <v>ANN</v>
          </cell>
          <cell r="G47">
            <v>1</v>
          </cell>
          <cell r="H47">
            <v>9</v>
          </cell>
          <cell r="I47">
            <v>-25.8</v>
          </cell>
          <cell r="J47">
            <v>-24.1</v>
          </cell>
          <cell r="K47">
            <v>0</v>
          </cell>
          <cell r="L47">
            <v>19951231</v>
          </cell>
          <cell r="M47">
            <v>-34.889699999999998</v>
          </cell>
          <cell r="N47">
            <v>19961010</v>
          </cell>
        </row>
        <row r="48">
          <cell r="A48" t="str">
            <v>EXC</v>
          </cell>
          <cell r="B48" t="str">
            <v>@EXG</v>
          </cell>
          <cell r="C48" t="str">
            <v>EXCO</v>
          </cell>
          <cell r="D48">
            <v>19951214</v>
          </cell>
          <cell r="E48" t="str">
            <v>EPS</v>
          </cell>
          <cell r="F48" t="str">
            <v>ANN</v>
          </cell>
          <cell r="G48">
            <v>1</v>
          </cell>
          <cell r="H48">
            <v>6</v>
          </cell>
          <cell r="I48">
            <v>13.15</v>
          </cell>
          <cell r="J48">
            <v>10.94</v>
          </cell>
          <cell r="K48">
            <v>0</v>
          </cell>
          <cell r="L48">
            <v>19951231</v>
          </cell>
          <cell r="M48">
            <v>10.7</v>
          </cell>
          <cell r="N48">
            <v>19960425</v>
          </cell>
        </row>
        <row r="49">
          <cell r="A49" t="str">
            <v>DUK</v>
          </cell>
          <cell r="B49" t="str">
            <v>@IKR</v>
          </cell>
          <cell r="C49" t="str">
            <v>DUIKER MINING</v>
          </cell>
          <cell r="D49">
            <v>19951214</v>
          </cell>
          <cell r="E49" t="str">
            <v>EPS</v>
          </cell>
          <cell r="F49" t="str">
            <v>ANN</v>
          </cell>
          <cell r="G49">
            <v>1</v>
          </cell>
          <cell r="H49">
            <v>2</v>
          </cell>
          <cell r="I49">
            <v>0.78</v>
          </cell>
          <cell r="J49">
            <v>0.78</v>
          </cell>
          <cell r="K49">
            <v>0</v>
          </cell>
          <cell r="L49">
            <v>19960930</v>
          </cell>
          <cell r="M49">
            <v>1.0113000000000001</v>
          </cell>
          <cell r="N49">
            <v>19961122</v>
          </cell>
        </row>
        <row r="50">
          <cell r="A50" t="str">
            <v>FE</v>
          </cell>
          <cell r="B50" t="str">
            <v>@NNF</v>
          </cell>
          <cell r="C50" t="str">
            <v>FINEXTEL</v>
          </cell>
          <cell r="D50">
            <v>19951214</v>
          </cell>
          <cell r="E50" t="str">
            <v>EPS</v>
          </cell>
          <cell r="F50" t="str">
            <v>ANN</v>
          </cell>
          <cell r="G50">
            <v>1</v>
          </cell>
          <cell r="H50">
            <v>4</v>
          </cell>
          <cell r="I50">
            <v>2.4500000000000002</v>
          </cell>
          <cell r="J50">
            <v>3.7</v>
          </cell>
          <cell r="K50">
            <v>0</v>
          </cell>
          <cell r="L50">
            <v>19951231</v>
          </cell>
          <cell r="M50">
            <v>-30.5</v>
          </cell>
          <cell r="N50">
            <v>19960924</v>
          </cell>
        </row>
        <row r="51">
          <cell r="A51" t="str">
            <v>NST</v>
          </cell>
          <cell r="B51" t="str">
            <v>@NST</v>
          </cell>
          <cell r="C51" t="str">
            <v>N. S. TIMES</v>
          </cell>
          <cell r="D51">
            <v>19951214</v>
          </cell>
          <cell r="E51" t="str">
            <v>EPS</v>
          </cell>
          <cell r="F51" t="str">
            <v>ANN</v>
          </cell>
          <cell r="G51">
            <v>1</v>
          </cell>
          <cell r="H51">
            <v>19</v>
          </cell>
          <cell r="I51">
            <v>0.45</v>
          </cell>
          <cell r="J51">
            <v>0.442</v>
          </cell>
          <cell r="K51">
            <v>0</v>
          </cell>
          <cell r="L51">
            <v>19960831</v>
          </cell>
          <cell r="M51">
            <v>0.56499999999999995</v>
          </cell>
          <cell r="N51">
            <v>19970127</v>
          </cell>
        </row>
        <row r="52">
          <cell r="A52" t="str">
            <v>NST</v>
          </cell>
          <cell r="B52" t="str">
            <v>@NSZ</v>
          </cell>
          <cell r="C52" t="str">
            <v>NORDDEUTSCHE STE</v>
          </cell>
          <cell r="D52">
            <v>19951214</v>
          </cell>
          <cell r="E52" t="str">
            <v>EPS</v>
          </cell>
          <cell r="F52" t="str">
            <v>ANN</v>
          </cell>
          <cell r="G52">
            <v>1</v>
          </cell>
          <cell r="H52">
            <v>1</v>
          </cell>
          <cell r="I52">
            <v>1.7</v>
          </cell>
          <cell r="J52">
            <v>1.7</v>
          </cell>
          <cell r="K52">
            <v>0</v>
          </cell>
          <cell r="L52">
            <v>19951231</v>
          </cell>
          <cell r="M52">
            <v>15.36</v>
          </cell>
          <cell r="N52">
            <v>19960613</v>
          </cell>
        </row>
        <row r="53">
          <cell r="A53" t="str">
            <v>PEG</v>
          </cell>
          <cell r="B53" t="str">
            <v>@P7P</v>
          </cell>
          <cell r="C53" t="str">
            <v>PEG PROFILO</v>
          </cell>
          <cell r="D53">
            <v>19951214</v>
          </cell>
          <cell r="E53" t="str">
            <v>EPS</v>
          </cell>
          <cell r="F53" t="str">
            <v>ANN</v>
          </cell>
          <cell r="G53">
            <v>1</v>
          </cell>
          <cell r="H53">
            <v>10</v>
          </cell>
          <cell r="I53">
            <v>0.02</v>
          </cell>
          <cell r="J53">
            <v>0.02</v>
          </cell>
          <cell r="K53">
            <v>0</v>
          </cell>
          <cell r="L53">
            <v>19951231</v>
          </cell>
          <cell r="M53">
            <v>1.6199999999999999E-2</v>
          </cell>
          <cell r="N53">
            <v>19960426</v>
          </cell>
        </row>
        <row r="54">
          <cell r="A54" t="str">
            <v>POM</v>
          </cell>
          <cell r="B54" t="str">
            <v>@PO8</v>
          </cell>
          <cell r="C54" t="str">
            <v>PLASTIC OMNIUM</v>
          </cell>
          <cell r="D54">
            <v>19951214</v>
          </cell>
          <cell r="E54" t="str">
            <v>EPS</v>
          </cell>
          <cell r="F54" t="str">
            <v>ANN</v>
          </cell>
          <cell r="G54">
            <v>1</v>
          </cell>
          <cell r="H54">
            <v>16</v>
          </cell>
          <cell r="I54">
            <v>-0.01</v>
          </cell>
          <cell r="J54">
            <v>0.17</v>
          </cell>
          <cell r="K54">
            <v>0</v>
          </cell>
          <cell r="L54">
            <v>19951231</v>
          </cell>
          <cell r="M54">
            <v>-0.70369999999999999</v>
          </cell>
          <cell r="N54">
            <v>19960412</v>
          </cell>
        </row>
        <row r="55">
          <cell r="A55" t="str">
            <v>SCG</v>
          </cell>
          <cell r="B55" t="str">
            <v>@RRA</v>
          </cell>
          <cell r="C55" t="str">
            <v>SCHARRIGHUISEN</v>
          </cell>
          <cell r="D55">
            <v>19951214</v>
          </cell>
          <cell r="E55" t="str">
            <v>EPS</v>
          </cell>
          <cell r="F55" t="str">
            <v>ANN</v>
          </cell>
          <cell r="G55">
            <v>1</v>
          </cell>
          <cell r="H55">
            <v>1</v>
          </cell>
          <cell r="I55">
            <v>1.22</v>
          </cell>
          <cell r="J55">
            <v>1.22</v>
          </cell>
          <cell r="K55">
            <v>0</v>
          </cell>
          <cell r="L55">
            <v>19951231</v>
          </cell>
          <cell r="M55">
            <v>0.78400000000000003</v>
          </cell>
          <cell r="N55">
            <v>19960528</v>
          </cell>
        </row>
        <row r="56">
          <cell r="A56" t="str">
            <v>SO</v>
          </cell>
          <cell r="B56" t="str">
            <v>@SOM</v>
          </cell>
          <cell r="C56" t="str">
            <v>SOMMER-ALLIBERT</v>
          </cell>
          <cell r="D56">
            <v>19951214</v>
          </cell>
          <cell r="E56" t="str">
            <v>EPS</v>
          </cell>
          <cell r="F56" t="str">
            <v>ANN</v>
          </cell>
          <cell r="G56">
            <v>1</v>
          </cell>
          <cell r="H56">
            <v>17</v>
          </cell>
          <cell r="I56">
            <v>13.97</v>
          </cell>
          <cell r="J56">
            <v>14.17</v>
          </cell>
          <cell r="K56">
            <v>0</v>
          </cell>
          <cell r="L56">
            <v>19951231</v>
          </cell>
          <cell r="M56">
            <v>8.26</v>
          </cell>
          <cell r="N56">
            <v>19960408</v>
          </cell>
        </row>
        <row r="57">
          <cell r="A57" t="str">
            <v>POR</v>
          </cell>
          <cell r="B57" t="str">
            <v>@YCP</v>
          </cell>
          <cell r="C57" t="str">
            <v>CEMENT PORTLAND</v>
          </cell>
          <cell r="D57">
            <v>19951214</v>
          </cell>
          <cell r="E57" t="str">
            <v>EPS</v>
          </cell>
          <cell r="F57" t="str">
            <v>ANN</v>
          </cell>
          <cell r="G57">
            <v>1</v>
          </cell>
          <cell r="H57">
            <v>13</v>
          </cell>
          <cell r="I57">
            <v>233</v>
          </cell>
          <cell r="J57">
            <v>233</v>
          </cell>
          <cell r="K57">
            <v>0</v>
          </cell>
          <cell r="L57">
            <v>19951231</v>
          </cell>
          <cell r="M57">
            <v>213.98599999999999</v>
          </cell>
          <cell r="N57">
            <v>19960506</v>
          </cell>
        </row>
        <row r="58">
          <cell r="A58" t="str">
            <v>CIN</v>
          </cell>
          <cell r="B58" t="str">
            <v>@YYN</v>
          </cell>
          <cell r="C58" t="str">
            <v>CIN</v>
          </cell>
          <cell r="D58">
            <v>19951214</v>
          </cell>
          <cell r="E58" t="str">
            <v>EPS</v>
          </cell>
          <cell r="F58" t="str">
            <v>ANN</v>
          </cell>
          <cell r="G58">
            <v>1</v>
          </cell>
          <cell r="H58">
            <v>8</v>
          </cell>
          <cell r="I58">
            <v>34</v>
          </cell>
          <cell r="J58">
            <v>35</v>
          </cell>
          <cell r="K58">
            <v>0</v>
          </cell>
          <cell r="L58">
            <v>19951231</v>
          </cell>
          <cell r="M58">
            <v>37.4</v>
          </cell>
          <cell r="N58">
            <v>19960520</v>
          </cell>
        </row>
        <row r="59">
          <cell r="A59" t="str">
            <v>AGR</v>
          </cell>
          <cell r="B59" t="str">
            <v>AGR1</v>
          </cell>
          <cell r="C59" t="str">
            <v>AGRA INDS INC</v>
          </cell>
          <cell r="D59">
            <v>19951214</v>
          </cell>
          <cell r="E59" t="str">
            <v>EPS</v>
          </cell>
          <cell r="F59" t="str">
            <v>ANN</v>
          </cell>
          <cell r="G59">
            <v>1</v>
          </cell>
          <cell r="H59">
            <v>3</v>
          </cell>
          <cell r="I59">
            <v>0.95</v>
          </cell>
          <cell r="J59">
            <v>0.9</v>
          </cell>
          <cell r="K59">
            <v>0</v>
          </cell>
          <cell r="L59">
            <v>19960731</v>
          </cell>
          <cell r="M59">
            <v>0.59</v>
          </cell>
          <cell r="N59">
            <v>19961015</v>
          </cell>
        </row>
        <row r="60">
          <cell r="A60" t="str">
            <v>CMS</v>
          </cell>
          <cell r="B60" t="str">
            <v>CMS1</v>
          </cell>
          <cell r="C60" t="str">
            <v>C-MAC</v>
          </cell>
          <cell r="D60">
            <v>19951214</v>
          </cell>
          <cell r="E60" t="str">
            <v>EPS</v>
          </cell>
          <cell r="F60" t="str">
            <v>ANN</v>
          </cell>
          <cell r="G60">
            <v>1</v>
          </cell>
          <cell r="H60">
            <v>5</v>
          </cell>
          <cell r="I60">
            <v>0.17</v>
          </cell>
          <cell r="J60">
            <v>0.17</v>
          </cell>
          <cell r="K60">
            <v>0</v>
          </cell>
          <cell r="L60">
            <v>19951231</v>
          </cell>
          <cell r="M60">
            <v>0.16500000000000001</v>
          </cell>
          <cell r="N60">
            <v>19960130</v>
          </cell>
        </row>
        <row r="61">
          <cell r="A61" t="str">
            <v>FPL</v>
          </cell>
          <cell r="B61" t="str">
            <v>FPI1</v>
          </cell>
          <cell r="C61" t="str">
            <v>FPI LTD</v>
          </cell>
          <cell r="D61">
            <v>19951214</v>
          </cell>
          <cell r="E61" t="str">
            <v>EPS</v>
          </cell>
          <cell r="F61" t="str">
            <v>ANN</v>
          </cell>
          <cell r="G61">
            <v>1</v>
          </cell>
          <cell r="H61">
            <v>3</v>
          </cell>
          <cell r="I61">
            <v>0.25</v>
          </cell>
          <cell r="J61">
            <v>0.27</v>
          </cell>
          <cell r="K61">
            <v>0</v>
          </cell>
          <cell r="L61">
            <v>19951231</v>
          </cell>
          <cell r="M61">
            <v>0.19</v>
          </cell>
          <cell r="N61">
            <v>19960506</v>
          </cell>
        </row>
        <row r="62">
          <cell r="A62" t="str">
            <v>SO</v>
          </cell>
          <cell r="B62" t="str">
            <v>SO1</v>
          </cell>
          <cell r="C62" t="str">
            <v>STONE CONS CP</v>
          </cell>
          <cell r="D62">
            <v>19951214</v>
          </cell>
          <cell r="E62" t="str">
            <v>EPS</v>
          </cell>
          <cell r="F62" t="str">
            <v>ANN</v>
          </cell>
          <cell r="G62">
            <v>1</v>
          </cell>
          <cell r="H62">
            <v>12</v>
          </cell>
          <cell r="I62">
            <v>2.56</v>
          </cell>
          <cell r="J62">
            <v>2.57</v>
          </cell>
          <cell r="K62">
            <v>0</v>
          </cell>
          <cell r="L62">
            <v>19951231</v>
          </cell>
          <cell r="M62">
            <v>2.84</v>
          </cell>
          <cell r="N62">
            <v>19960131</v>
          </cell>
        </row>
      </sheetData>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RDS"/>
    </sheetNames>
    <sheetDataSet>
      <sheetData sheetId="0">
        <row r="1">
          <cell r="A1" t="str">
            <v>OFTIC</v>
          </cell>
          <cell r="B1" t="str">
            <v>IBES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USFIRM=0 if from .INT file and USFIRM=1 if from .US file</v>
          </cell>
          <cell r="M1" t="str">
            <v>Forecast Period End Date (SAS Format)</v>
          </cell>
          <cell r="N1" t="str">
            <v>Actual Value, from the Detail Actuals File</v>
          </cell>
          <cell r="O1" t="str">
            <v>Announce date of the Actual, from the Detail Actuals File</v>
          </cell>
        </row>
        <row r="2">
          <cell r="A2" t="str">
            <v>AGR</v>
          </cell>
          <cell r="B2" t="str">
            <v>AGR2</v>
          </cell>
          <cell r="C2" t="str">
            <v>ARGENTARIA</v>
          </cell>
          <cell r="D2">
            <v>19951214</v>
          </cell>
          <cell r="E2" t="str">
            <v>EPS</v>
          </cell>
          <cell r="F2" t="str">
            <v>LTG</v>
          </cell>
          <cell r="G2">
            <v>0</v>
          </cell>
          <cell r="H2">
            <v>1</v>
          </cell>
          <cell r="I2">
            <v>2.9</v>
          </cell>
          <cell r="J2">
            <v>2.9</v>
          </cell>
          <cell r="L2">
            <v>1</v>
          </cell>
        </row>
        <row r="3">
          <cell r="A3" t="str">
            <v>PNW</v>
          </cell>
          <cell r="B3" t="str">
            <v>AZP</v>
          </cell>
          <cell r="C3" t="str">
            <v>PINNACLE WST CAP</v>
          </cell>
          <cell r="D3">
            <v>19951214</v>
          </cell>
          <cell r="E3" t="str">
            <v>EPS</v>
          </cell>
          <cell r="F3" t="str">
            <v>LTG</v>
          </cell>
          <cell r="G3">
            <v>0</v>
          </cell>
          <cell r="H3">
            <v>9</v>
          </cell>
          <cell r="I3">
            <v>5</v>
          </cell>
          <cell r="J3">
            <v>5.0999999999999996</v>
          </cell>
          <cell r="K3">
            <v>1.03</v>
          </cell>
          <cell r="L3">
            <v>1</v>
          </cell>
        </row>
        <row r="4">
          <cell r="A4" t="str">
            <v>BKH</v>
          </cell>
          <cell r="B4" t="str">
            <v>BHP</v>
          </cell>
          <cell r="C4" t="str">
            <v>BLACK HILLS CORP</v>
          </cell>
          <cell r="D4">
            <v>19951214</v>
          </cell>
          <cell r="E4" t="str">
            <v>EPS</v>
          </cell>
          <cell r="F4" t="str">
            <v>LTG</v>
          </cell>
          <cell r="G4">
            <v>0</v>
          </cell>
          <cell r="H4">
            <v>4</v>
          </cell>
          <cell r="I4">
            <v>4.05</v>
          </cell>
          <cell r="J4">
            <v>3.85</v>
          </cell>
          <cell r="K4">
            <v>0.57999999999999996</v>
          </cell>
          <cell r="L4">
            <v>1</v>
          </cell>
        </row>
        <row r="5">
          <cell r="A5" t="str">
            <v>CIN</v>
          </cell>
          <cell r="B5" t="str">
            <v>CIN</v>
          </cell>
          <cell r="C5" t="str">
            <v>CINERGY CORP</v>
          </cell>
          <cell r="D5">
            <v>19951214</v>
          </cell>
          <cell r="E5" t="str">
            <v>EPS</v>
          </cell>
          <cell r="F5" t="str">
            <v>LTG</v>
          </cell>
          <cell r="G5">
            <v>0</v>
          </cell>
          <cell r="H5">
            <v>11</v>
          </cell>
          <cell r="I5">
            <v>3</v>
          </cell>
          <cell r="J5">
            <v>4.3899999999999997</v>
          </cell>
          <cell r="K5">
            <v>2.4700000000000002</v>
          </cell>
          <cell r="L5">
            <v>1</v>
          </cell>
        </row>
        <row r="6">
          <cell r="A6" t="str">
            <v>CMS</v>
          </cell>
          <cell r="B6" t="str">
            <v>CMS</v>
          </cell>
          <cell r="C6" t="str">
            <v>CMS ENERGY CORP</v>
          </cell>
          <cell r="D6">
            <v>19951214</v>
          </cell>
          <cell r="E6" t="str">
            <v>EPS</v>
          </cell>
          <cell r="F6" t="str">
            <v>LTG</v>
          </cell>
          <cell r="G6">
            <v>0</v>
          </cell>
          <cell r="H6">
            <v>10</v>
          </cell>
          <cell r="I6">
            <v>6.6</v>
          </cell>
          <cell r="J6">
            <v>6.98</v>
          </cell>
          <cell r="K6">
            <v>2.41</v>
          </cell>
          <cell r="L6">
            <v>1</v>
          </cell>
        </row>
        <row r="7">
          <cell r="A7" t="str">
            <v>CNL</v>
          </cell>
          <cell r="B7" t="str">
            <v>CNL</v>
          </cell>
          <cell r="C7" t="str">
            <v>CENT LA ELEC INC</v>
          </cell>
          <cell r="D7">
            <v>19951214</v>
          </cell>
          <cell r="E7" t="str">
            <v>EPS</v>
          </cell>
          <cell r="F7" t="str">
            <v>LTG</v>
          </cell>
          <cell r="G7">
            <v>0</v>
          </cell>
          <cell r="H7">
            <v>5</v>
          </cell>
          <cell r="I7">
            <v>3</v>
          </cell>
          <cell r="J7">
            <v>3.08</v>
          </cell>
          <cell r="K7">
            <v>0.9</v>
          </cell>
          <cell r="L7">
            <v>1</v>
          </cell>
        </row>
        <row r="8">
          <cell r="A8" t="str">
            <v>CV</v>
          </cell>
          <cell r="B8" t="str">
            <v>CV</v>
          </cell>
          <cell r="C8" t="str">
            <v>CNTRL VT PUB SVC</v>
          </cell>
          <cell r="D8">
            <v>19951214</v>
          </cell>
          <cell r="E8" t="str">
            <v>EPS</v>
          </cell>
          <cell r="F8" t="str">
            <v>LTG</v>
          </cell>
          <cell r="G8">
            <v>0</v>
          </cell>
          <cell r="H8">
            <v>1</v>
          </cell>
          <cell r="I8">
            <v>2.6</v>
          </cell>
          <cell r="J8">
            <v>2.6</v>
          </cell>
          <cell r="L8">
            <v>1</v>
          </cell>
        </row>
        <row r="9">
          <cell r="A9" t="str">
            <v>D</v>
          </cell>
          <cell r="B9" t="str">
            <v>D</v>
          </cell>
          <cell r="C9" t="str">
            <v>DOMINION RES INC</v>
          </cell>
          <cell r="D9">
            <v>19951214</v>
          </cell>
          <cell r="E9" t="str">
            <v>EPS</v>
          </cell>
          <cell r="F9" t="str">
            <v>LTG</v>
          </cell>
          <cell r="G9">
            <v>0</v>
          </cell>
          <cell r="H9">
            <v>14</v>
          </cell>
          <cell r="I9">
            <v>2.4500000000000002</v>
          </cell>
          <cell r="J9">
            <v>2.4500000000000002</v>
          </cell>
          <cell r="K9">
            <v>0.85</v>
          </cell>
          <cell r="L9">
            <v>1</v>
          </cell>
        </row>
        <row r="10">
          <cell r="A10" t="str">
            <v>DPL</v>
          </cell>
          <cell r="B10" t="str">
            <v>DPL</v>
          </cell>
          <cell r="C10" t="str">
            <v>DPL INC</v>
          </cell>
          <cell r="D10">
            <v>19951214</v>
          </cell>
          <cell r="E10" t="str">
            <v>EPS</v>
          </cell>
          <cell r="F10" t="str">
            <v>LTG</v>
          </cell>
          <cell r="G10">
            <v>0</v>
          </cell>
          <cell r="H10">
            <v>15</v>
          </cell>
          <cell r="I10">
            <v>4</v>
          </cell>
          <cell r="J10">
            <v>4.25</v>
          </cell>
          <cell r="K10">
            <v>1.23</v>
          </cell>
          <cell r="L10">
            <v>1</v>
          </cell>
        </row>
        <row r="11">
          <cell r="A11" t="str">
            <v>DTE</v>
          </cell>
          <cell r="B11" t="str">
            <v>DTE</v>
          </cell>
          <cell r="C11" t="str">
            <v>DETROIT EDISON</v>
          </cell>
          <cell r="D11">
            <v>19951214</v>
          </cell>
          <cell r="E11" t="str">
            <v>EPS</v>
          </cell>
          <cell r="F11" t="str">
            <v>LTG</v>
          </cell>
          <cell r="G11">
            <v>0</v>
          </cell>
          <cell r="H11">
            <v>10</v>
          </cell>
          <cell r="I11">
            <v>2.8</v>
          </cell>
          <cell r="J11">
            <v>3.02</v>
          </cell>
          <cell r="K11">
            <v>1.28</v>
          </cell>
          <cell r="L11">
            <v>1</v>
          </cell>
        </row>
        <row r="12">
          <cell r="A12" t="str">
            <v>DUK</v>
          </cell>
          <cell r="B12" t="str">
            <v>DUK</v>
          </cell>
          <cell r="C12" t="str">
            <v>DUKE POWER CO</v>
          </cell>
          <cell r="D12">
            <v>19951214</v>
          </cell>
          <cell r="E12" t="str">
            <v>EPS</v>
          </cell>
          <cell r="F12" t="str">
            <v>LTG</v>
          </cell>
          <cell r="G12">
            <v>0</v>
          </cell>
          <cell r="H12">
            <v>13</v>
          </cell>
          <cell r="I12">
            <v>3</v>
          </cell>
          <cell r="J12">
            <v>3.35</v>
          </cell>
          <cell r="K12">
            <v>0.92</v>
          </cell>
          <cell r="L12">
            <v>1</v>
          </cell>
        </row>
        <row r="13">
          <cell r="A13" t="str">
            <v>ED</v>
          </cell>
          <cell r="B13" t="str">
            <v>ED</v>
          </cell>
          <cell r="C13" t="str">
            <v>CONSOL EDISON</v>
          </cell>
          <cell r="D13">
            <v>19951214</v>
          </cell>
          <cell r="E13" t="str">
            <v>EPS</v>
          </cell>
          <cell r="F13" t="str">
            <v>LTG</v>
          </cell>
          <cell r="G13">
            <v>0</v>
          </cell>
          <cell r="H13">
            <v>9</v>
          </cell>
          <cell r="I13">
            <v>1</v>
          </cell>
          <cell r="J13">
            <v>0.84</v>
          </cell>
          <cell r="K13">
            <v>1.04</v>
          </cell>
          <cell r="L13">
            <v>1</v>
          </cell>
        </row>
        <row r="14">
          <cell r="A14" t="str">
            <v>EDE</v>
          </cell>
          <cell r="B14" t="str">
            <v>EDE</v>
          </cell>
          <cell r="C14" t="str">
            <v>EMPIRE DIST ELEC</v>
          </cell>
          <cell r="D14">
            <v>19951214</v>
          </cell>
          <cell r="E14" t="str">
            <v>EPS</v>
          </cell>
          <cell r="F14" t="str">
            <v>LTG</v>
          </cell>
          <cell r="G14">
            <v>0</v>
          </cell>
          <cell r="H14">
            <v>2</v>
          </cell>
          <cell r="I14">
            <v>3.3</v>
          </cell>
          <cell r="J14">
            <v>3.3</v>
          </cell>
          <cell r="K14">
            <v>1.84</v>
          </cell>
          <cell r="L14">
            <v>1</v>
          </cell>
        </row>
        <row r="15">
          <cell r="A15" t="str">
            <v>EXC</v>
          </cell>
          <cell r="B15" t="str">
            <v>EXC</v>
          </cell>
          <cell r="C15" t="str">
            <v>EXCEL INDS INC</v>
          </cell>
          <cell r="D15">
            <v>19951214</v>
          </cell>
          <cell r="E15" t="str">
            <v>EPS</v>
          </cell>
          <cell r="F15" t="str">
            <v>LTG</v>
          </cell>
          <cell r="G15">
            <v>0</v>
          </cell>
          <cell r="H15">
            <v>3</v>
          </cell>
          <cell r="I15">
            <v>10</v>
          </cell>
          <cell r="J15">
            <v>11</v>
          </cell>
          <cell r="K15">
            <v>3.61</v>
          </cell>
          <cell r="L15">
            <v>1</v>
          </cell>
        </row>
        <row r="16">
          <cell r="A16" t="str">
            <v>FPL</v>
          </cell>
          <cell r="B16" t="str">
            <v>FPL</v>
          </cell>
          <cell r="C16" t="str">
            <v>FPL GROUP</v>
          </cell>
          <cell r="D16">
            <v>19951214</v>
          </cell>
          <cell r="E16" t="str">
            <v>EPS</v>
          </cell>
          <cell r="F16" t="str">
            <v>LTG</v>
          </cell>
          <cell r="G16">
            <v>0</v>
          </cell>
          <cell r="H16">
            <v>16</v>
          </cell>
          <cell r="I16">
            <v>5</v>
          </cell>
          <cell r="J16">
            <v>4.66</v>
          </cell>
          <cell r="K16">
            <v>1.0900000000000001</v>
          </cell>
          <cell r="L16">
            <v>1</v>
          </cell>
        </row>
        <row r="17">
          <cell r="A17" t="str">
            <v>HE</v>
          </cell>
          <cell r="B17" t="str">
            <v>HE</v>
          </cell>
          <cell r="C17" t="str">
            <v>HAWAIIAN ELEC</v>
          </cell>
          <cell r="D17">
            <v>19951214</v>
          </cell>
          <cell r="E17" t="str">
            <v>EPS</v>
          </cell>
          <cell r="F17" t="str">
            <v>LTG</v>
          </cell>
          <cell r="G17">
            <v>0</v>
          </cell>
          <cell r="H17">
            <v>9</v>
          </cell>
          <cell r="I17">
            <v>4</v>
          </cell>
          <cell r="J17">
            <v>3.91</v>
          </cell>
          <cell r="K17">
            <v>1.1499999999999999</v>
          </cell>
          <cell r="L17">
            <v>1</v>
          </cell>
        </row>
        <row r="18">
          <cell r="A18" t="str">
            <v>IDA</v>
          </cell>
          <cell r="B18" t="str">
            <v>IDA</v>
          </cell>
          <cell r="C18" t="str">
            <v>IDAHO POWER CO</v>
          </cell>
          <cell r="D18">
            <v>19951214</v>
          </cell>
          <cell r="E18" t="str">
            <v>EPS</v>
          </cell>
          <cell r="F18" t="str">
            <v>LTG</v>
          </cell>
          <cell r="G18">
            <v>0</v>
          </cell>
          <cell r="H18">
            <v>7</v>
          </cell>
          <cell r="I18">
            <v>4</v>
          </cell>
          <cell r="J18">
            <v>3.3</v>
          </cell>
          <cell r="K18">
            <v>1.61</v>
          </cell>
          <cell r="L18">
            <v>1</v>
          </cell>
        </row>
        <row r="19">
          <cell r="A19" t="str">
            <v>WR</v>
          </cell>
          <cell r="B19" t="str">
            <v>KAN</v>
          </cell>
          <cell r="C19" t="str">
            <v>WESTN RESOURCES</v>
          </cell>
          <cell r="D19">
            <v>19951214</v>
          </cell>
          <cell r="E19" t="str">
            <v>EPS</v>
          </cell>
          <cell r="F19" t="str">
            <v>LTG</v>
          </cell>
          <cell r="G19">
            <v>0</v>
          </cell>
          <cell r="H19">
            <v>10</v>
          </cell>
          <cell r="I19">
            <v>3</v>
          </cell>
          <cell r="J19">
            <v>2.96</v>
          </cell>
          <cell r="K19">
            <v>1.05</v>
          </cell>
          <cell r="L19">
            <v>1</v>
          </cell>
        </row>
        <row r="20">
          <cell r="A20" t="str">
            <v>ETR</v>
          </cell>
          <cell r="B20" t="str">
            <v>MSU</v>
          </cell>
          <cell r="C20" t="str">
            <v>ENTERGY CP</v>
          </cell>
          <cell r="D20">
            <v>19951214</v>
          </cell>
          <cell r="E20" t="str">
            <v>EPS</v>
          </cell>
          <cell r="F20" t="str">
            <v>LTG</v>
          </cell>
          <cell r="G20">
            <v>0</v>
          </cell>
          <cell r="H20">
            <v>12</v>
          </cell>
          <cell r="I20">
            <v>3</v>
          </cell>
          <cell r="J20">
            <v>3.33</v>
          </cell>
          <cell r="K20">
            <v>1.2</v>
          </cell>
          <cell r="L20">
            <v>1</v>
          </cell>
        </row>
        <row r="21">
          <cell r="A21" t="str">
            <v>NU</v>
          </cell>
          <cell r="B21" t="str">
            <v>NU</v>
          </cell>
          <cell r="C21" t="str">
            <v>NORTHEAST UTILS</v>
          </cell>
          <cell r="D21">
            <v>19951214</v>
          </cell>
          <cell r="E21" t="str">
            <v>EPS</v>
          </cell>
          <cell r="F21" t="str">
            <v>LTG</v>
          </cell>
          <cell r="G21">
            <v>0</v>
          </cell>
          <cell r="H21">
            <v>11</v>
          </cell>
          <cell r="I21">
            <v>2</v>
          </cell>
          <cell r="J21">
            <v>2.58</v>
          </cell>
          <cell r="K21">
            <v>0.96</v>
          </cell>
          <cell r="L21">
            <v>1</v>
          </cell>
        </row>
        <row r="22">
          <cell r="A22" t="str">
            <v>OGE</v>
          </cell>
          <cell r="B22" t="str">
            <v>OGE</v>
          </cell>
          <cell r="C22" t="str">
            <v>OKLAHOMA G&amp;E</v>
          </cell>
          <cell r="D22">
            <v>19951214</v>
          </cell>
          <cell r="E22" t="str">
            <v>EPS</v>
          </cell>
          <cell r="F22" t="str">
            <v>LTG</v>
          </cell>
          <cell r="G22">
            <v>0</v>
          </cell>
          <cell r="H22">
            <v>8</v>
          </cell>
          <cell r="I22">
            <v>2</v>
          </cell>
          <cell r="J22">
            <v>2.08</v>
          </cell>
          <cell r="K22">
            <v>0.78</v>
          </cell>
          <cell r="L22">
            <v>1</v>
          </cell>
        </row>
        <row r="23">
          <cell r="A23" t="str">
            <v>OTTR</v>
          </cell>
          <cell r="B23" t="str">
            <v>OTTR</v>
          </cell>
          <cell r="C23" t="str">
            <v>OTTER TAIL PWR</v>
          </cell>
          <cell r="D23">
            <v>19951214</v>
          </cell>
          <cell r="E23" t="str">
            <v>EPS</v>
          </cell>
          <cell r="F23" t="str">
            <v>LTG</v>
          </cell>
          <cell r="G23">
            <v>0</v>
          </cell>
          <cell r="H23">
            <v>2</v>
          </cell>
          <cell r="I23">
            <v>2.75</v>
          </cell>
          <cell r="J23">
            <v>2.75</v>
          </cell>
          <cell r="K23">
            <v>0.35</v>
          </cell>
          <cell r="L23">
            <v>1</v>
          </cell>
        </row>
        <row r="24">
          <cell r="A24" t="str">
            <v>PCG</v>
          </cell>
          <cell r="B24" t="str">
            <v>PCG</v>
          </cell>
          <cell r="C24" t="str">
            <v>PACIFIC G&amp;E</v>
          </cell>
          <cell r="D24">
            <v>19951214</v>
          </cell>
          <cell r="E24" t="str">
            <v>EPS</v>
          </cell>
          <cell r="F24" t="str">
            <v>LTG</v>
          </cell>
          <cell r="G24">
            <v>0</v>
          </cell>
          <cell r="H24">
            <v>8</v>
          </cell>
          <cell r="I24">
            <v>1</v>
          </cell>
          <cell r="J24">
            <v>1.01</v>
          </cell>
          <cell r="K24">
            <v>0.74</v>
          </cell>
          <cell r="L24">
            <v>1</v>
          </cell>
        </row>
        <row r="25">
          <cell r="A25" t="str">
            <v>PEG</v>
          </cell>
          <cell r="B25" t="str">
            <v>PEG</v>
          </cell>
          <cell r="C25" t="str">
            <v>PUB SVC ENTERS</v>
          </cell>
          <cell r="D25">
            <v>19951214</v>
          </cell>
          <cell r="E25" t="str">
            <v>EPS</v>
          </cell>
          <cell r="F25" t="str">
            <v>LTG</v>
          </cell>
          <cell r="G25">
            <v>0</v>
          </cell>
          <cell r="H25">
            <v>11</v>
          </cell>
          <cell r="I25">
            <v>2</v>
          </cell>
          <cell r="J25">
            <v>2.2000000000000002</v>
          </cell>
          <cell r="K25">
            <v>0.78</v>
          </cell>
          <cell r="L25">
            <v>1</v>
          </cell>
        </row>
        <row r="26">
          <cell r="A26" t="str">
            <v>PGN</v>
          </cell>
          <cell r="B26" t="str">
            <v>PGN</v>
          </cell>
          <cell r="C26" t="str">
            <v>PORTLAND GEN CP</v>
          </cell>
          <cell r="D26">
            <v>19951214</v>
          </cell>
          <cell r="E26" t="str">
            <v>EPS</v>
          </cell>
          <cell r="F26" t="str">
            <v>LTG</v>
          </cell>
          <cell r="G26">
            <v>0</v>
          </cell>
          <cell r="H26">
            <v>9</v>
          </cell>
          <cell r="I26">
            <v>4</v>
          </cell>
          <cell r="J26">
            <v>3.31</v>
          </cell>
          <cell r="K26">
            <v>1.61</v>
          </cell>
          <cell r="L26">
            <v>1</v>
          </cell>
        </row>
        <row r="27">
          <cell r="A27" t="str">
            <v>PNM</v>
          </cell>
          <cell r="B27" t="str">
            <v>PNM</v>
          </cell>
          <cell r="C27" t="str">
            <v>PUB SVC N MEX</v>
          </cell>
          <cell r="D27">
            <v>19951214</v>
          </cell>
          <cell r="E27" t="str">
            <v>EPS</v>
          </cell>
          <cell r="F27" t="str">
            <v>LTG</v>
          </cell>
          <cell r="G27">
            <v>0</v>
          </cell>
          <cell r="H27">
            <v>7</v>
          </cell>
          <cell r="I27">
            <v>4</v>
          </cell>
          <cell r="J27">
            <v>4.4400000000000004</v>
          </cell>
          <cell r="K27">
            <v>2.6</v>
          </cell>
          <cell r="L27">
            <v>1</v>
          </cell>
        </row>
        <row r="28">
          <cell r="A28" t="str">
            <v>POM</v>
          </cell>
          <cell r="B28" t="str">
            <v>POM</v>
          </cell>
          <cell r="C28" t="str">
            <v>POTOMAC ELEC</v>
          </cell>
          <cell r="D28">
            <v>19951214</v>
          </cell>
          <cell r="E28" t="str">
            <v>EPS</v>
          </cell>
          <cell r="F28" t="str">
            <v>LTG</v>
          </cell>
          <cell r="G28">
            <v>0</v>
          </cell>
          <cell r="H28">
            <v>11</v>
          </cell>
          <cell r="I28">
            <v>2</v>
          </cell>
          <cell r="J28">
            <v>1.73</v>
          </cell>
          <cell r="K28">
            <v>0.85</v>
          </cell>
          <cell r="L28">
            <v>1</v>
          </cell>
        </row>
        <row r="29">
          <cell r="A29" t="str">
            <v>PPL</v>
          </cell>
          <cell r="B29" t="str">
            <v>PPL</v>
          </cell>
          <cell r="C29" t="str">
            <v>PP&amp;L RESOURCES</v>
          </cell>
          <cell r="D29">
            <v>19951214</v>
          </cell>
          <cell r="E29" t="str">
            <v>EPS</v>
          </cell>
          <cell r="F29" t="str">
            <v>LTG</v>
          </cell>
          <cell r="G29">
            <v>0</v>
          </cell>
          <cell r="H29">
            <v>10</v>
          </cell>
          <cell r="I29">
            <v>1.1000000000000001</v>
          </cell>
          <cell r="J29">
            <v>1.94</v>
          </cell>
          <cell r="K29">
            <v>1.85</v>
          </cell>
          <cell r="L29">
            <v>1</v>
          </cell>
        </row>
        <row r="30">
          <cell r="A30" t="str">
            <v>PSD</v>
          </cell>
          <cell r="B30" t="str">
            <v>PSD</v>
          </cell>
          <cell r="C30" t="str">
            <v>PUGET SOUND P&amp;L</v>
          </cell>
          <cell r="D30">
            <v>19951214</v>
          </cell>
          <cell r="E30" t="str">
            <v>EPS</v>
          </cell>
          <cell r="F30" t="str">
            <v>LTG</v>
          </cell>
          <cell r="G30">
            <v>0</v>
          </cell>
          <cell r="H30">
            <v>6</v>
          </cell>
          <cell r="I30">
            <v>2.8</v>
          </cell>
          <cell r="J30">
            <v>3.22</v>
          </cell>
          <cell r="K30">
            <v>1.59</v>
          </cell>
          <cell r="L30">
            <v>1</v>
          </cell>
        </row>
        <row r="31">
          <cell r="A31" t="str">
            <v>SCG</v>
          </cell>
          <cell r="B31" t="str">
            <v>SCG</v>
          </cell>
          <cell r="C31" t="str">
            <v>SCANA CP</v>
          </cell>
          <cell r="D31">
            <v>19951214</v>
          </cell>
          <cell r="E31" t="str">
            <v>EPS</v>
          </cell>
          <cell r="F31" t="str">
            <v>LTG</v>
          </cell>
          <cell r="G31">
            <v>0</v>
          </cell>
          <cell r="H31">
            <v>8</v>
          </cell>
          <cell r="I31">
            <v>3.5</v>
          </cell>
          <cell r="J31">
            <v>3.45</v>
          </cell>
          <cell r="K31">
            <v>1.48</v>
          </cell>
          <cell r="L31">
            <v>1</v>
          </cell>
        </row>
        <row r="32">
          <cell r="A32" t="str">
            <v>SO</v>
          </cell>
          <cell r="B32" t="str">
            <v>SO</v>
          </cell>
          <cell r="C32" t="str">
            <v>SOUTHN CO</v>
          </cell>
          <cell r="D32">
            <v>19951214</v>
          </cell>
          <cell r="E32" t="str">
            <v>EPS</v>
          </cell>
          <cell r="F32" t="str">
            <v>LTG</v>
          </cell>
          <cell r="G32">
            <v>0</v>
          </cell>
          <cell r="H32">
            <v>14</v>
          </cell>
          <cell r="I32">
            <v>3.8</v>
          </cell>
          <cell r="J32">
            <v>3.76</v>
          </cell>
          <cell r="K32">
            <v>1.03</v>
          </cell>
          <cell r="L32">
            <v>1</v>
          </cell>
        </row>
        <row r="33">
          <cell r="A33" t="str">
            <v>TE</v>
          </cell>
          <cell r="B33" t="str">
            <v>TE</v>
          </cell>
          <cell r="C33" t="str">
            <v>TECO ENERGY INC</v>
          </cell>
          <cell r="D33">
            <v>19951214</v>
          </cell>
          <cell r="E33" t="str">
            <v>EPS</v>
          </cell>
          <cell r="F33" t="str">
            <v>LTG</v>
          </cell>
          <cell r="G33">
            <v>0</v>
          </cell>
          <cell r="H33">
            <v>14</v>
          </cell>
          <cell r="I33">
            <v>5</v>
          </cell>
          <cell r="J33">
            <v>4.6900000000000004</v>
          </cell>
          <cell r="K33">
            <v>0.88</v>
          </cell>
          <cell r="L33">
            <v>1</v>
          </cell>
        </row>
        <row r="34">
          <cell r="A34" t="str">
            <v>UIL</v>
          </cell>
          <cell r="B34" t="str">
            <v>UIL</v>
          </cell>
          <cell r="C34" t="str">
            <v>UTD ILLUM CO</v>
          </cell>
          <cell r="D34">
            <v>19951214</v>
          </cell>
          <cell r="E34" t="str">
            <v>EPS</v>
          </cell>
          <cell r="F34" t="str">
            <v>LTG</v>
          </cell>
          <cell r="G34">
            <v>0</v>
          </cell>
          <cell r="H34">
            <v>3</v>
          </cell>
          <cell r="I34">
            <v>3</v>
          </cell>
          <cell r="J34">
            <v>3.01</v>
          </cell>
          <cell r="K34">
            <v>0.32</v>
          </cell>
          <cell r="L34">
            <v>1</v>
          </cell>
        </row>
        <row r="35">
          <cell r="A35" t="str">
            <v>WEC</v>
          </cell>
          <cell r="B35" t="str">
            <v>WPC</v>
          </cell>
          <cell r="C35" t="str">
            <v>WISCONSIN ENERGY</v>
          </cell>
          <cell r="D35">
            <v>19951214</v>
          </cell>
          <cell r="E35" t="str">
            <v>EPS</v>
          </cell>
          <cell r="F35" t="str">
            <v>LTG</v>
          </cell>
          <cell r="G35">
            <v>0</v>
          </cell>
          <cell r="H35">
            <v>14</v>
          </cell>
          <cell r="I35">
            <v>4</v>
          </cell>
          <cell r="J35">
            <v>3.92</v>
          </cell>
          <cell r="K35">
            <v>1.86</v>
          </cell>
          <cell r="L35">
            <v>1</v>
          </cell>
        </row>
        <row r="36">
          <cell r="A36" t="str">
            <v>WPS</v>
          </cell>
          <cell r="B36" t="str">
            <v>WPS</v>
          </cell>
          <cell r="C36" t="str">
            <v>WPS RESOURCES CP</v>
          </cell>
          <cell r="D36">
            <v>19951214</v>
          </cell>
          <cell r="E36" t="str">
            <v>EPS</v>
          </cell>
          <cell r="F36" t="str">
            <v>LTG</v>
          </cell>
          <cell r="G36">
            <v>0</v>
          </cell>
          <cell r="H36">
            <v>6</v>
          </cell>
          <cell r="I36">
            <v>2.8</v>
          </cell>
          <cell r="J36">
            <v>2.87</v>
          </cell>
          <cell r="K36">
            <v>0.88</v>
          </cell>
          <cell r="L36">
            <v>1</v>
          </cell>
        </row>
        <row r="37">
          <cell r="A37" t="str">
            <v>AVA</v>
          </cell>
          <cell r="B37" t="str">
            <v>@AHV</v>
          </cell>
          <cell r="C37" t="str">
            <v>AVA</v>
          </cell>
          <cell r="D37">
            <v>19951214</v>
          </cell>
          <cell r="E37" t="str">
            <v>EPS</v>
          </cell>
          <cell r="F37" t="str">
            <v>LTG</v>
          </cell>
          <cell r="G37">
            <v>0</v>
          </cell>
          <cell r="H37">
            <v>1</v>
          </cell>
          <cell r="I37">
            <v>20</v>
          </cell>
          <cell r="J37">
            <v>20</v>
          </cell>
          <cell r="L37">
            <v>0</v>
          </cell>
        </row>
        <row r="38">
          <cell r="A38" t="str">
            <v>POM</v>
          </cell>
          <cell r="B38" t="str">
            <v>@PO8</v>
          </cell>
          <cell r="C38" t="str">
            <v>PLASTIC OMNIUM</v>
          </cell>
          <cell r="D38">
            <v>19951214</v>
          </cell>
          <cell r="E38" t="str">
            <v>EPS</v>
          </cell>
          <cell r="F38" t="str">
            <v>LTG</v>
          </cell>
          <cell r="G38">
            <v>0</v>
          </cell>
          <cell r="H38">
            <v>2</v>
          </cell>
          <cell r="I38">
            <v>13</v>
          </cell>
          <cell r="J38">
            <v>13</v>
          </cell>
          <cell r="K38">
            <v>7.07</v>
          </cell>
          <cell r="L38">
            <v>0</v>
          </cell>
        </row>
        <row r="39">
          <cell r="A39" t="str">
            <v>SO</v>
          </cell>
          <cell r="B39" t="str">
            <v>@SOM</v>
          </cell>
          <cell r="C39" t="str">
            <v>SOMMER-ALLIBERT</v>
          </cell>
          <cell r="D39">
            <v>19951214</v>
          </cell>
          <cell r="E39" t="str">
            <v>EPS</v>
          </cell>
          <cell r="F39" t="str">
            <v>LTG</v>
          </cell>
          <cell r="G39">
            <v>0</v>
          </cell>
          <cell r="H39">
            <v>2</v>
          </cell>
          <cell r="I39">
            <v>9.5</v>
          </cell>
          <cell r="J39">
            <v>9.5</v>
          </cell>
          <cell r="K39">
            <v>3.54</v>
          </cell>
          <cell r="L39">
            <v>0</v>
          </cell>
        </row>
      </sheetData>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yw0krvfeyqarai9"/>
    </sheetNames>
    <sheetDataSet>
      <sheetData sheetId="0">
        <row r="1">
          <cell r="B1" t="str">
            <v>Official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Forecast Period End Date (SAS Format)</v>
          </cell>
          <cell r="M1" t="str">
            <v>Actual Value, from the Detail Actuals File</v>
          </cell>
          <cell r="N1" t="str">
            <v>Announce date of the Actual, from the Detail Actuals File</v>
          </cell>
        </row>
        <row r="2">
          <cell r="B2" t="str">
            <v>ATG</v>
          </cell>
          <cell r="C2" t="str">
            <v>ATLANTA GAS LT</v>
          </cell>
          <cell r="D2">
            <v>35047</v>
          </cell>
          <cell r="E2" t="str">
            <v>EPS</v>
          </cell>
          <cell r="F2" t="str">
            <v>ANN</v>
          </cell>
          <cell r="G2" t="str">
            <v>1</v>
          </cell>
          <cell r="H2">
            <v>14</v>
          </cell>
          <cell r="I2">
            <v>1.39</v>
          </cell>
          <cell r="J2">
            <v>1.37</v>
          </cell>
          <cell r="K2">
            <v>0.08</v>
          </cell>
          <cell r="L2">
            <v>35338</v>
          </cell>
          <cell r="M2">
            <v>1.36</v>
          </cell>
          <cell r="N2">
            <v>35370</v>
          </cell>
        </row>
        <row r="3">
          <cell r="B3" t="str">
            <v>CGC</v>
          </cell>
          <cell r="C3" t="str">
            <v>CASCADE NAT GAS</v>
          </cell>
          <cell r="D3">
            <v>35047</v>
          </cell>
          <cell r="E3" t="str">
            <v>EPS</v>
          </cell>
          <cell r="F3" t="str">
            <v>ANN</v>
          </cell>
          <cell r="G3" t="str">
            <v>1</v>
          </cell>
          <cell r="H3">
            <v>4</v>
          </cell>
          <cell r="I3">
            <v>0.9</v>
          </cell>
          <cell r="J3">
            <v>0.91</v>
          </cell>
          <cell r="K3">
            <v>0.06</v>
          </cell>
          <cell r="L3">
            <v>35064</v>
          </cell>
          <cell r="M3">
            <v>0.81</v>
          </cell>
          <cell r="N3">
            <v>35102</v>
          </cell>
        </row>
        <row r="4">
          <cell r="B4" t="str">
            <v>CPK</v>
          </cell>
          <cell r="C4" t="str">
            <v>CHESAPEAKE UTIL</v>
          </cell>
          <cell r="D4">
            <v>35047</v>
          </cell>
          <cell r="E4" t="str">
            <v>EPS</v>
          </cell>
          <cell r="F4" t="str">
            <v>ANN</v>
          </cell>
          <cell r="G4" t="str">
            <v>1</v>
          </cell>
          <cell r="H4">
            <v>1</v>
          </cell>
          <cell r="I4">
            <v>0.8</v>
          </cell>
          <cell r="J4">
            <v>0.8</v>
          </cell>
          <cell r="L4">
            <v>35064</v>
          </cell>
          <cell r="M4">
            <v>1.1867000000000001</v>
          </cell>
          <cell r="N4">
            <v>35118</v>
          </cell>
        </row>
        <row r="5">
          <cell r="B5" t="str">
            <v>ATO</v>
          </cell>
          <cell r="C5" t="str">
            <v>ATMOS ENERGY CP</v>
          </cell>
          <cell r="D5">
            <v>35047</v>
          </cell>
          <cell r="E5" t="str">
            <v>EPS</v>
          </cell>
          <cell r="F5" t="str">
            <v>ANN</v>
          </cell>
          <cell r="G5" t="str">
            <v>1</v>
          </cell>
          <cell r="H5">
            <v>8</v>
          </cell>
          <cell r="I5">
            <v>0.94</v>
          </cell>
          <cell r="J5">
            <v>0.94</v>
          </cell>
          <cell r="K5">
            <v>0.05</v>
          </cell>
          <cell r="L5">
            <v>35338</v>
          </cell>
          <cell r="M5">
            <v>1.51</v>
          </cell>
          <cell r="N5">
            <v>35373</v>
          </cell>
        </row>
        <row r="6">
          <cell r="B6" t="str">
            <v>GAS</v>
          </cell>
          <cell r="C6" t="str">
            <v>NICOR INC</v>
          </cell>
          <cell r="D6">
            <v>35047</v>
          </cell>
          <cell r="E6" t="str">
            <v>EPS</v>
          </cell>
          <cell r="F6" t="str">
            <v>ANN</v>
          </cell>
          <cell r="G6" t="str">
            <v>1</v>
          </cell>
          <cell r="H6">
            <v>13</v>
          </cell>
          <cell r="I6">
            <v>1.9</v>
          </cell>
          <cell r="J6">
            <v>1.92</v>
          </cell>
          <cell r="K6">
            <v>0.06</v>
          </cell>
          <cell r="L6">
            <v>35064</v>
          </cell>
          <cell r="M6">
            <v>1.97</v>
          </cell>
          <cell r="N6">
            <v>35089</v>
          </cell>
        </row>
        <row r="7">
          <cell r="B7" t="str">
            <v>LG</v>
          </cell>
          <cell r="C7" t="str">
            <v>LACLEDE GAS</v>
          </cell>
          <cell r="D7">
            <v>35047</v>
          </cell>
          <cell r="E7" t="str">
            <v>EPS</v>
          </cell>
          <cell r="F7" t="str">
            <v>ANN</v>
          </cell>
          <cell r="G7" t="str">
            <v>1</v>
          </cell>
          <cell r="H7">
            <v>3</v>
          </cell>
          <cell r="I7">
            <v>1.46</v>
          </cell>
          <cell r="J7">
            <v>1.47</v>
          </cell>
          <cell r="K7">
            <v>0.03</v>
          </cell>
          <cell r="L7">
            <v>35338</v>
          </cell>
          <cell r="M7">
            <v>1.88</v>
          </cell>
          <cell r="N7">
            <v>35390</v>
          </cell>
        </row>
        <row r="8">
          <cell r="B8" t="str">
            <v>NI</v>
          </cell>
          <cell r="C8" t="str">
            <v>NIPSCO IND INC</v>
          </cell>
          <cell r="D8">
            <v>35047</v>
          </cell>
          <cell r="E8" t="str">
            <v>EPS</v>
          </cell>
          <cell r="F8" t="str">
            <v>ANN</v>
          </cell>
          <cell r="G8" t="str">
            <v>1</v>
          </cell>
          <cell r="H8">
            <v>26</v>
          </cell>
          <cell r="I8">
            <v>1.33</v>
          </cell>
          <cell r="J8">
            <v>1.33</v>
          </cell>
          <cell r="K8">
            <v>0.02</v>
          </cell>
          <cell r="L8">
            <v>35064</v>
          </cell>
          <cell r="M8">
            <v>1.35</v>
          </cell>
          <cell r="N8">
            <v>35094</v>
          </cell>
        </row>
        <row r="9">
          <cell r="B9" t="str">
            <v>NJR</v>
          </cell>
          <cell r="C9" t="str">
            <v>NEW JERSEY RES</v>
          </cell>
          <cell r="D9">
            <v>35047</v>
          </cell>
          <cell r="E9" t="str">
            <v>EPS</v>
          </cell>
          <cell r="F9" t="str">
            <v>ANN</v>
          </cell>
          <cell r="G9" t="str">
            <v>1</v>
          </cell>
          <cell r="H9">
            <v>8</v>
          </cell>
          <cell r="I9">
            <v>0.46</v>
          </cell>
          <cell r="J9">
            <v>0.45</v>
          </cell>
          <cell r="K9">
            <v>0.01</v>
          </cell>
          <cell r="L9">
            <v>35338</v>
          </cell>
          <cell r="M9">
            <v>0.45779999999999998</v>
          </cell>
          <cell r="N9">
            <v>35366</v>
          </cell>
        </row>
        <row r="10">
          <cell r="B10" t="str">
            <v>PNY</v>
          </cell>
          <cell r="C10" t="str">
            <v>PIEDMONT NAT GAS</v>
          </cell>
          <cell r="D10">
            <v>35047</v>
          </cell>
          <cell r="E10" t="str">
            <v>EPS</v>
          </cell>
          <cell r="F10" t="str">
            <v>ANN</v>
          </cell>
          <cell r="G10" t="str">
            <v>1</v>
          </cell>
          <cell r="H10">
            <v>8</v>
          </cell>
          <cell r="I10">
            <v>0.78</v>
          </cell>
          <cell r="J10">
            <v>0.79</v>
          </cell>
          <cell r="K10">
            <v>0.02</v>
          </cell>
          <cell r="L10">
            <v>35369</v>
          </cell>
          <cell r="M10">
            <v>0.83499999999999996</v>
          </cell>
          <cell r="N10">
            <v>35405</v>
          </cell>
        </row>
        <row r="11">
          <cell r="B11" t="str">
            <v>SJI</v>
          </cell>
          <cell r="C11" t="str">
            <v>SO JERSEY INDS</v>
          </cell>
          <cell r="D11">
            <v>35047</v>
          </cell>
          <cell r="E11" t="str">
            <v>EPS</v>
          </cell>
          <cell r="F11" t="str">
            <v>ANN</v>
          </cell>
          <cell r="G11" t="str">
            <v>1</v>
          </cell>
          <cell r="H11">
            <v>2</v>
          </cell>
          <cell r="I11">
            <v>0.39</v>
          </cell>
          <cell r="J11">
            <v>0.39</v>
          </cell>
          <cell r="K11">
            <v>0</v>
          </cell>
          <cell r="L11">
            <v>35064</v>
          </cell>
          <cell r="M11">
            <v>0.41</v>
          </cell>
          <cell r="N11">
            <v>35086</v>
          </cell>
        </row>
        <row r="12">
          <cell r="B12" t="str">
            <v>SWX</v>
          </cell>
          <cell r="C12" t="str">
            <v>SOUTHWEST GAS</v>
          </cell>
          <cell r="D12">
            <v>35047</v>
          </cell>
          <cell r="E12" t="str">
            <v>EPS</v>
          </cell>
          <cell r="F12" t="str">
            <v>ANN</v>
          </cell>
          <cell r="G12" t="str">
            <v>1</v>
          </cell>
          <cell r="H12">
            <v>6</v>
          </cell>
          <cell r="I12">
            <v>0.75</v>
          </cell>
          <cell r="J12">
            <v>0.78</v>
          </cell>
          <cell r="K12">
            <v>0.14000000000000001</v>
          </cell>
          <cell r="L12">
            <v>35064</v>
          </cell>
          <cell r="M12">
            <v>0.73</v>
          </cell>
          <cell r="N12">
            <v>35109</v>
          </cell>
        </row>
        <row r="13">
          <cell r="B13" t="str">
            <v>WGL</v>
          </cell>
          <cell r="C13" t="str">
            <v>WASH GAS LT</v>
          </cell>
          <cell r="D13">
            <v>35047</v>
          </cell>
          <cell r="E13" t="str">
            <v>EPS</v>
          </cell>
          <cell r="F13" t="str">
            <v>ANN</v>
          </cell>
          <cell r="G13" t="str">
            <v>1</v>
          </cell>
          <cell r="H13">
            <v>12</v>
          </cell>
          <cell r="I13">
            <v>1.45</v>
          </cell>
          <cell r="J13">
            <v>1.47</v>
          </cell>
          <cell r="K13">
            <v>0.06</v>
          </cell>
          <cell r="L13">
            <v>35338</v>
          </cell>
          <cell r="M13">
            <v>1.86</v>
          </cell>
          <cell r="N13">
            <v>35368</v>
          </cell>
        </row>
      </sheetData>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huttuxb7swicayh"/>
    </sheetNames>
    <sheetDataSet>
      <sheetData sheetId="0">
        <row r="1">
          <cell r="B1" t="str">
            <v>Official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Standard Deviation</v>
          </cell>
          <cell r="L1" t="str">
            <v>Forecast Period End Date (SAS Format)</v>
          </cell>
          <cell r="M1" t="str">
            <v>Actual Value, from the Detail Actuals File</v>
          </cell>
          <cell r="N1" t="str">
            <v>Announce date of the Actual, from the Detail Actuals File</v>
          </cell>
        </row>
        <row r="2">
          <cell r="B2" t="str">
            <v>ATG</v>
          </cell>
          <cell r="C2" t="str">
            <v>ATLANTA GAS LT</v>
          </cell>
          <cell r="D2">
            <v>35047</v>
          </cell>
          <cell r="E2" t="str">
            <v>EPS</v>
          </cell>
          <cell r="F2" t="str">
            <v>LTG</v>
          </cell>
          <cell r="G2" t="str">
            <v>0</v>
          </cell>
          <cell r="H2">
            <v>9</v>
          </cell>
          <cell r="I2">
            <v>5</v>
          </cell>
          <cell r="J2">
            <v>4.8899999999999997</v>
          </cell>
          <cell r="K2">
            <v>1.54</v>
          </cell>
        </row>
        <row r="3">
          <cell r="B3" t="str">
            <v>CGC</v>
          </cell>
          <cell r="C3" t="str">
            <v>CASCADE NAT GAS</v>
          </cell>
          <cell r="D3">
            <v>35047</v>
          </cell>
          <cell r="E3" t="str">
            <v>EPS</v>
          </cell>
          <cell r="F3" t="str">
            <v>LTG</v>
          </cell>
          <cell r="G3" t="str">
            <v>0</v>
          </cell>
          <cell r="H3">
            <v>3</v>
          </cell>
          <cell r="I3">
            <v>4</v>
          </cell>
          <cell r="J3">
            <v>4.33</v>
          </cell>
          <cell r="K3">
            <v>0.57999999999999996</v>
          </cell>
        </row>
        <row r="4">
          <cell r="B4" t="str">
            <v>CPK</v>
          </cell>
          <cell r="C4" t="str">
            <v>CHESAPEAKE UTIL</v>
          </cell>
          <cell r="D4">
            <v>35047</v>
          </cell>
          <cell r="E4" t="str">
            <v>EPS</v>
          </cell>
          <cell r="F4" t="str">
            <v>LTG</v>
          </cell>
          <cell r="G4" t="str">
            <v>0</v>
          </cell>
          <cell r="H4">
            <v>1</v>
          </cell>
          <cell r="I4">
            <v>3</v>
          </cell>
          <cell r="J4">
            <v>3</v>
          </cell>
        </row>
        <row r="5">
          <cell r="B5" t="str">
            <v>ATO</v>
          </cell>
          <cell r="C5" t="str">
            <v>ATMOS ENERGY CP</v>
          </cell>
          <cell r="D5">
            <v>35047</v>
          </cell>
          <cell r="E5" t="str">
            <v>EPS</v>
          </cell>
          <cell r="F5" t="str">
            <v>LTG</v>
          </cell>
          <cell r="G5" t="str">
            <v>0</v>
          </cell>
          <cell r="H5">
            <v>5</v>
          </cell>
          <cell r="I5">
            <v>9</v>
          </cell>
          <cell r="J5">
            <v>7.4</v>
          </cell>
          <cell r="K5">
            <v>2.2999999999999998</v>
          </cell>
        </row>
        <row r="6">
          <cell r="B6" t="str">
            <v>GAS</v>
          </cell>
          <cell r="C6" t="str">
            <v>NICOR INC</v>
          </cell>
          <cell r="D6">
            <v>35047</v>
          </cell>
          <cell r="E6" t="str">
            <v>EPS</v>
          </cell>
          <cell r="F6" t="str">
            <v>LTG</v>
          </cell>
          <cell r="G6" t="str">
            <v>0</v>
          </cell>
          <cell r="H6">
            <v>8</v>
          </cell>
          <cell r="I6">
            <v>5</v>
          </cell>
          <cell r="J6">
            <v>4.63</v>
          </cell>
          <cell r="K6">
            <v>1.3</v>
          </cell>
        </row>
        <row r="7">
          <cell r="B7" t="str">
            <v>LG</v>
          </cell>
          <cell r="C7" t="str">
            <v>LACLEDE GAS</v>
          </cell>
          <cell r="D7">
            <v>35047</v>
          </cell>
          <cell r="E7" t="str">
            <v>EPS</v>
          </cell>
          <cell r="F7" t="str">
            <v>LTG</v>
          </cell>
          <cell r="G7" t="str">
            <v>0</v>
          </cell>
          <cell r="H7">
            <v>2</v>
          </cell>
          <cell r="I7">
            <v>3.75</v>
          </cell>
          <cell r="J7">
            <v>3.75</v>
          </cell>
          <cell r="K7">
            <v>1.06</v>
          </cell>
        </row>
        <row r="8">
          <cell r="B8" t="str">
            <v>NI</v>
          </cell>
          <cell r="C8" t="str">
            <v>NIPSCO IND INC</v>
          </cell>
          <cell r="D8">
            <v>35047</v>
          </cell>
          <cell r="E8" t="str">
            <v>EPS</v>
          </cell>
          <cell r="F8" t="str">
            <v>LTG</v>
          </cell>
          <cell r="G8" t="str">
            <v>0</v>
          </cell>
          <cell r="H8">
            <v>13</v>
          </cell>
          <cell r="I8">
            <v>5</v>
          </cell>
          <cell r="J8">
            <v>5.12</v>
          </cell>
          <cell r="K8">
            <v>1.24</v>
          </cell>
        </row>
        <row r="9">
          <cell r="B9" t="str">
            <v>NJR</v>
          </cell>
          <cell r="C9" t="str">
            <v>NEW JERSEY RES</v>
          </cell>
          <cell r="D9">
            <v>35047</v>
          </cell>
          <cell r="E9" t="str">
            <v>EPS</v>
          </cell>
          <cell r="F9" t="str">
            <v>LTG</v>
          </cell>
          <cell r="G9" t="str">
            <v>0</v>
          </cell>
          <cell r="H9">
            <v>5</v>
          </cell>
          <cell r="I9">
            <v>5</v>
          </cell>
          <cell r="J9">
            <v>5.2</v>
          </cell>
          <cell r="K9">
            <v>1.1000000000000001</v>
          </cell>
        </row>
        <row r="10">
          <cell r="B10" t="str">
            <v>PNY</v>
          </cell>
          <cell r="C10" t="str">
            <v>PIEDMONT NAT GAS</v>
          </cell>
          <cell r="D10">
            <v>35047</v>
          </cell>
          <cell r="E10" t="str">
            <v>EPS</v>
          </cell>
          <cell r="F10" t="str">
            <v>LTG</v>
          </cell>
          <cell r="G10" t="str">
            <v>0</v>
          </cell>
          <cell r="H10">
            <v>5</v>
          </cell>
          <cell r="I10">
            <v>7</v>
          </cell>
          <cell r="J10">
            <v>7.2</v>
          </cell>
          <cell r="K10">
            <v>2.4900000000000002</v>
          </cell>
        </row>
        <row r="11">
          <cell r="B11" t="str">
            <v>SJI</v>
          </cell>
          <cell r="C11" t="str">
            <v>SO JERSEY INDS</v>
          </cell>
          <cell r="D11">
            <v>35047</v>
          </cell>
          <cell r="E11" t="str">
            <v>EPS</v>
          </cell>
          <cell r="F11" t="str">
            <v>LTG</v>
          </cell>
          <cell r="G11" t="str">
            <v>0</v>
          </cell>
          <cell r="H11">
            <v>2</v>
          </cell>
          <cell r="I11">
            <v>3.5</v>
          </cell>
          <cell r="J11">
            <v>3.5</v>
          </cell>
          <cell r="K11">
            <v>0.71</v>
          </cell>
        </row>
        <row r="12">
          <cell r="B12" t="str">
            <v>SWX</v>
          </cell>
          <cell r="C12" t="str">
            <v>SOUTHWEST GAS</v>
          </cell>
          <cell r="D12">
            <v>35047</v>
          </cell>
          <cell r="E12" t="str">
            <v>EPS</v>
          </cell>
          <cell r="F12" t="str">
            <v>LTG</v>
          </cell>
          <cell r="G12" t="str">
            <v>0</v>
          </cell>
          <cell r="H12">
            <v>2</v>
          </cell>
          <cell r="I12">
            <v>4</v>
          </cell>
          <cell r="J12">
            <v>4</v>
          </cell>
          <cell r="K12">
            <v>1.41</v>
          </cell>
        </row>
        <row r="13">
          <cell r="B13" t="str">
            <v>WGL</v>
          </cell>
          <cell r="C13" t="str">
            <v>WASH GAS LT</v>
          </cell>
          <cell r="D13">
            <v>35047</v>
          </cell>
          <cell r="E13" t="str">
            <v>EPS</v>
          </cell>
          <cell r="F13" t="str">
            <v>LTG</v>
          </cell>
          <cell r="G13" t="str">
            <v>0</v>
          </cell>
          <cell r="H13">
            <v>5</v>
          </cell>
          <cell r="I13">
            <v>3</v>
          </cell>
          <cell r="J13">
            <v>4</v>
          </cell>
          <cell r="K13">
            <v>1.41</v>
          </cell>
        </row>
      </sheetData>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RDS"/>
    </sheetNames>
    <sheetDataSet>
      <sheetData sheetId="0">
        <row r="1">
          <cell r="A1" t="str">
            <v>OFTIC</v>
          </cell>
          <cell r="B1" t="str">
            <v>IBES Ticker Symbol</v>
          </cell>
          <cell r="C1" t="str">
            <v>Company Name</v>
          </cell>
          <cell r="D1" t="str">
            <v>I/B/E/S Statistical Period (SAS Format)</v>
          </cell>
          <cell r="E1" t="str">
            <v>Measure</v>
          </cell>
          <cell r="F1" t="str">
            <v>Periodicity</v>
          </cell>
          <cell r="G1" t="str">
            <v>Forecast Period Indicator</v>
          </cell>
          <cell r="H1" t="str">
            <v>Number of Estimates</v>
          </cell>
          <cell r="I1" t="str">
            <v>Median Estimate</v>
          </cell>
          <cell r="J1" t="str">
            <v>Mean Estimate</v>
          </cell>
          <cell r="K1" t="str">
            <v>USFIRM=0 if from .INT file and USFIRM=1 if from .US file</v>
          </cell>
          <cell r="L1" t="str">
            <v>Forecast Period End Date (SAS Format)</v>
          </cell>
          <cell r="M1" t="str">
            <v>Actual Value, from the Detail Actuals File</v>
          </cell>
          <cell r="N1" t="str">
            <v>Announce date of the Actual, from the Detail Actuals File</v>
          </cell>
        </row>
        <row r="2">
          <cell r="A2" t="str">
            <v>AGR</v>
          </cell>
          <cell r="B2" t="str">
            <v>AGR2</v>
          </cell>
          <cell r="C2" t="str">
            <v>ARGENTARIA</v>
          </cell>
          <cell r="D2">
            <v>19941215</v>
          </cell>
          <cell r="E2" t="str">
            <v>EPS</v>
          </cell>
          <cell r="F2" t="str">
            <v>ANN</v>
          </cell>
          <cell r="G2">
            <v>1</v>
          </cell>
          <cell r="H2">
            <v>5</v>
          </cell>
          <cell r="I2">
            <v>2.2400000000000002</v>
          </cell>
          <cell r="J2">
            <v>2.29</v>
          </cell>
          <cell r="K2">
            <v>1</v>
          </cell>
          <cell r="L2">
            <v>19941231</v>
          </cell>
          <cell r="M2">
            <v>2.0099999999999998</v>
          </cell>
          <cell r="N2">
            <v>19950315</v>
          </cell>
        </row>
        <row r="3">
          <cell r="A3" t="str">
            <v>PNW</v>
          </cell>
          <cell r="B3" t="str">
            <v>AZP</v>
          </cell>
          <cell r="C3" t="str">
            <v>PINNACLE WST CAP</v>
          </cell>
          <cell r="D3">
            <v>19941215</v>
          </cell>
          <cell r="E3" t="str">
            <v>EPS</v>
          </cell>
          <cell r="F3" t="str">
            <v>ANN</v>
          </cell>
          <cell r="G3">
            <v>1</v>
          </cell>
          <cell r="H3">
            <v>19</v>
          </cell>
          <cell r="I3">
            <v>1.95</v>
          </cell>
          <cell r="J3">
            <v>1.95</v>
          </cell>
          <cell r="K3">
            <v>1</v>
          </cell>
          <cell r="L3">
            <v>19941231</v>
          </cell>
          <cell r="M3">
            <v>2</v>
          </cell>
          <cell r="N3">
            <v>19950118</v>
          </cell>
        </row>
        <row r="4">
          <cell r="A4" t="str">
            <v>BKH</v>
          </cell>
          <cell r="B4" t="str">
            <v>BHP</v>
          </cell>
          <cell r="C4" t="str">
            <v>BLACK HILLS CORP</v>
          </cell>
          <cell r="D4">
            <v>19941215</v>
          </cell>
          <cell r="E4" t="str">
            <v>EPS</v>
          </cell>
          <cell r="F4" t="str">
            <v>ANN</v>
          </cell>
          <cell r="G4">
            <v>1</v>
          </cell>
          <cell r="H4">
            <v>8</v>
          </cell>
          <cell r="I4">
            <v>1.07</v>
          </cell>
          <cell r="J4">
            <v>1.07</v>
          </cell>
          <cell r="K4">
            <v>1</v>
          </cell>
          <cell r="L4">
            <v>19941231</v>
          </cell>
          <cell r="M4">
            <v>1.1133</v>
          </cell>
          <cell r="N4">
            <v>19950130</v>
          </cell>
        </row>
        <row r="5">
          <cell r="A5" t="str">
            <v>CIN</v>
          </cell>
          <cell r="B5" t="str">
            <v>CIN</v>
          </cell>
          <cell r="C5" t="str">
            <v>CINERGY CORP</v>
          </cell>
          <cell r="D5">
            <v>19941215</v>
          </cell>
          <cell r="E5" t="str">
            <v>EPS</v>
          </cell>
          <cell r="F5" t="str">
            <v>ANN</v>
          </cell>
          <cell r="G5">
            <v>1</v>
          </cell>
          <cell r="H5">
            <v>21</v>
          </cell>
          <cell r="I5">
            <v>2.0699999999999998</v>
          </cell>
          <cell r="J5">
            <v>2.0699999999999998</v>
          </cell>
          <cell r="K5">
            <v>1</v>
          </cell>
          <cell r="L5">
            <v>19941231</v>
          </cell>
          <cell r="M5">
            <v>2.0299999999999998</v>
          </cell>
          <cell r="N5">
            <v>19950126</v>
          </cell>
        </row>
        <row r="6">
          <cell r="A6" t="str">
            <v>CMS</v>
          </cell>
          <cell r="B6" t="str">
            <v>CMS</v>
          </cell>
          <cell r="C6" t="str">
            <v>CMS ENERGY CORP</v>
          </cell>
          <cell r="D6">
            <v>19941215</v>
          </cell>
          <cell r="E6" t="str">
            <v>EPS</v>
          </cell>
          <cell r="F6" t="str">
            <v>ANN</v>
          </cell>
          <cell r="G6">
            <v>1</v>
          </cell>
          <cell r="H6">
            <v>21</v>
          </cell>
          <cell r="I6">
            <v>2.1</v>
          </cell>
          <cell r="J6">
            <v>2.11</v>
          </cell>
          <cell r="K6">
            <v>1</v>
          </cell>
          <cell r="L6">
            <v>19941231</v>
          </cell>
          <cell r="M6">
            <v>2.09</v>
          </cell>
          <cell r="N6">
            <v>19950126</v>
          </cell>
        </row>
        <row r="7">
          <cell r="A7" t="str">
            <v>CNL</v>
          </cell>
          <cell r="B7" t="str">
            <v>CNL</v>
          </cell>
          <cell r="C7" t="str">
            <v>CENT LA ELEC INC</v>
          </cell>
          <cell r="D7">
            <v>19941215</v>
          </cell>
          <cell r="E7" t="str">
            <v>EPS</v>
          </cell>
          <cell r="F7" t="str">
            <v>ANN</v>
          </cell>
          <cell r="G7">
            <v>1</v>
          </cell>
          <cell r="H7">
            <v>8</v>
          </cell>
          <cell r="I7">
            <v>1.03</v>
          </cell>
          <cell r="J7">
            <v>1.03</v>
          </cell>
          <cell r="K7">
            <v>1</v>
          </cell>
          <cell r="L7">
            <v>19941231</v>
          </cell>
          <cell r="M7">
            <v>0.96</v>
          </cell>
          <cell r="N7">
            <v>19950201</v>
          </cell>
        </row>
        <row r="8">
          <cell r="A8" t="str">
            <v>CNP</v>
          </cell>
          <cell r="B8" t="str">
            <v>CNP</v>
          </cell>
          <cell r="C8" t="str">
            <v>CROWN CENT PETE</v>
          </cell>
          <cell r="D8">
            <v>19941215</v>
          </cell>
          <cell r="E8" t="str">
            <v>EPS</v>
          </cell>
          <cell r="F8" t="str">
            <v>ANN</v>
          </cell>
          <cell r="G8">
            <v>1</v>
          </cell>
          <cell r="H8">
            <v>2</v>
          </cell>
          <cell r="I8">
            <v>1</v>
          </cell>
          <cell r="J8">
            <v>1</v>
          </cell>
          <cell r="K8">
            <v>1</v>
          </cell>
          <cell r="L8">
            <v>19941231</v>
          </cell>
          <cell r="M8">
            <v>-2.58</v>
          </cell>
          <cell r="N8">
            <v>19950223</v>
          </cell>
        </row>
        <row r="9">
          <cell r="A9" t="str">
            <v>CV</v>
          </cell>
          <cell r="B9" t="str">
            <v>CV</v>
          </cell>
          <cell r="C9" t="str">
            <v>CNTRL VT PUB SVC</v>
          </cell>
          <cell r="D9">
            <v>19941215</v>
          </cell>
          <cell r="E9" t="str">
            <v>EPS</v>
          </cell>
          <cell r="F9" t="str">
            <v>ANN</v>
          </cell>
          <cell r="G9">
            <v>1</v>
          </cell>
          <cell r="H9">
            <v>3</v>
          </cell>
          <cell r="I9">
            <v>1.43</v>
          </cell>
          <cell r="J9">
            <v>1.44</v>
          </cell>
          <cell r="K9">
            <v>1</v>
          </cell>
          <cell r="L9">
            <v>19941231</v>
          </cell>
          <cell r="M9">
            <v>1.0900000000000001</v>
          </cell>
          <cell r="N9">
            <v>19950206</v>
          </cell>
        </row>
        <row r="10">
          <cell r="A10" t="str">
            <v>D</v>
          </cell>
          <cell r="B10" t="str">
            <v>D</v>
          </cell>
          <cell r="C10" t="str">
            <v>DOMINION RES INC</v>
          </cell>
          <cell r="D10">
            <v>19941215</v>
          </cell>
          <cell r="E10" t="str">
            <v>EPS</v>
          </cell>
          <cell r="F10" t="str">
            <v>ANN</v>
          </cell>
          <cell r="G10">
            <v>1</v>
          </cell>
          <cell r="H10">
            <v>31</v>
          </cell>
          <cell r="I10">
            <v>1.53</v>
          </cell>
          <cell r="J10">
            <v>1.54</v>
          </cell>
          <cell r="K10">
            <v>1</v>
          </cell>
          <cell r="L10">
            <v>19941231</v>
          </cell>
          <cell r="M10">
            <v>1.4</v>
          </cell>
          <cell r="N10">
            <v>19950127</v>
          </cell>
        </row>
        <row r="11">
          <cell r="A11" t="str">
            <v>DPL</v>
          </cell>
          <cell r="B11" t="str">
            <v>DPL</v>
          </cell>
          <cell r="C11" t="str">
            <v>DPL INC</v>
          </cell>
          <cell r="D11">
            <v>19941215</v>
          </cell>
          <cell r="E11" t="str">
            <v>EPS</v>
          </cell>
          <cell r="F11" t="str">
            <v>ANN</v>
          </cell>
          <cell r="G11">
            <v>1</v>
          </cell>
          <cell r="H11">
            <v>20</v>
          </cell>
          <cell r="I11">
            <v>1</v>
          </cell>
          <cell r="J11">
            <v>1.01</v>
          </cell>
          <cell r="K11">
            <v>1</v>
          </cell>
          <cell r="L11">
            <v>19941231</v>
          </cell>
          <cell r="M11">
            <v>1.0266999999999999</v>
          </cell>
          <cell r="N11">
            <v>19950113</v>
          </cell>
        </row>
        <row r="12">
          <cell r="A12" t="str">
            <v>DTE</v>
          </cell>
          <cell r="B12" t="str">
            <v>DTE</v>
          </cell>
          <cell r="C12" t="str">
            <v>DETROIT EDISON</v>
          </cell>
          <cell r="D12">
            <v>19941215</v>
          </cell>
          <cell r="E12" t="str">
            <v>EPS</v>
          </cell>
          <cell r="F12" t="str">
            <v>ANN</v>
          </cell>
          <cell r="G12">
            <v>1</v>
          </cell>
          <cell r="H12">
            <v>24</v>
          </cell>
          <cell r="I12">
            <v>2.6</v>
          </cell>
          <cell r="J12">
            <v>2.61</v>
          </cell>
          <cell r="K12">
            <v>1</v>
          </cell>
          <cell r="L12">
            <v>19941231</v>
          </cell>
          <cell r="M12">
            <v>2.67</v>
          </cell>
          <cell r="N12">
            <v>19950123</v>
          </cell>
        </row>
        <row r="13">
          <cell r="A13" t="str">
            <v>DUK</v>
          </cell>
          <cell r="B13" t="str">
            <v>DUK</v>
          </cell>
          <cell r="C13" t="str">
            <v>DUKE POWER CO</v>
          </cell>
          <cell r="D13">
            <v>19941215</v>
          </cell>
          <cell r="E13" t="str">
            <v>EPS</v>
          </cell>
          <cell r="F13" t="str">
            <v>ANN</v>
          </cell>
          <cell r="G13">
            <v>1</v>
          </cell>
          <cell r="H13">
            <v>29</v>
          </cell>
          <cell r="I13">
            <v>4.5</v>
          </cell>
          <cell r="J13">
            <v>4.5</v>
          </cell>
          <cell r="K13">
            <v>1</v>
          </cell>
          <cell r="L13">
            <v>19941231</v>
          </cell>
          <cell r="M13">
            <v>4.32</v>
          </cell>
          <cell r="N13">
            <v>19950124</v>
          </cell>
        </row>
        <row r="14">
          <cell r="A14" t="str">
            <v>ED</v>
          </cell>
          <cell r="B14" t="str">
            <v>ED</v>
          </cell>
          <cell r="C14" t="str">
            <v>CONSOL EDISON</v>
          </cell>
          <cell r="D14">
            <v>19941215</v>
          </cell>
          <cell r="E14" t="str">
            <v>EPS</v>
          </cell>
          <cell r="F14" t="str">
            <v>ANN</v>
          </cell>
          <cell r="G14">
            <v>1</v>
          </cell>
          <cell r="H14">
            <v>25</v>
          </cell>
          <cell r="I14">
            <v>2.9</v>
          </cell>
          <cell r="J14">
            <v>2.89</v>
          </cell>
          <cell r="K14">
            <v>1</v>
          </cell>
          <cell r="L14">
            <v>19941231</v>
          </cell>
          <cell r="M14">
            <v>2.98</v>
          </cell>
          <cell r="N14">
            <v>19950124</v>
          </cell>
        </row>
        <row r="15">
          <cell r="A15" t="str">
            <v>EDE</v>
          </cell>
          <cell r="B15" t="str">
            <v>EDE</v>
          </cell>
          <cell r="C15" t="str">
            <v>EMPIRE DIST ELEC</v>
          </cell>
          <cell r="D15">
            <v>19941215</v>
          </cell>
          <cell r="E15" t="str">
            <v>EPS</v>
          </cell>
          <cell r="F15" t="str">
            <v>ANN</v>
          </cell>
          <cell r="G15">
            <v>1</v>
          </cell>
          <cell r="H15">
            <v>4</v>
          </cell>
          <cell r="I15">
            <v>1.28</v>
          </cell>
          <cell r="J15">
            <v>1.26</v>
          </cell>
          <cell r="K15">
            <v>1</v>
          </cell>
          <cell r="L15">
            <v>19941231</v>
          </cell>
          <cell r="M15">
            <v>1.32</v>
          </cell>
          <cell r="N15">
            <v>19950126</v>
          </cell>
        </row>
        <row r="16">
          <cell r="A16" t="str">
            <v>EXC</v>
          </cell>
          <cell r="B16" t="str">
            <v>EXC</v>
          </cell>
          <cell r="C16" t="str">
            <v>EXCEL INDS INC</v>
          </cell>
          <cell r="D16">
            <v>19941215</v>
          </cell>
          <cell r="E16" t="str">
            <v>EPS</v>
          </cell>
          <cell r="F16" t="str">
            <v>ANN</v>
          </cell>
          <cell r="G16">
            <v>1</v>
          </cell>
          <cell r="H16">
            <v>5</v>
          </cell>
          <cell r="I16">
            <v>1.45</v>
          </cell>
          <cell r="J16">
            <v>1.45</v>
          </cell>
          <cell r="K16">
            <v>1</v>
          </cell>
          <cell r="L16">
            <v>19941231</v>
          </cell>
          <cell r="M16">
            <v>1.46</v>
          </cell>
          <cell r="N16">
            <v>19950216</v>
          </cell>
        </row>
        <row r="17">
          <cell r="A17" t="str">
            <v>FPL</v>
          </cell>
          <cell r="B17" t="str">
            <v>FPL</v>
          </cell>
          <cell r="C17" t="str">
            <v>FPL GROUP</v>
          </cell>
          <cell r="D17">
            <v>19941215</v>
          </cell>
          <cell r="E17" t="str">
            <v>EPS</v>
          </cell>
          <cell r="F17" t="str">
            <v>ANN</v>
          </cell>
          <cell r="G17">
            <v>1</v>
          </cell>
          <cell r="H17">
            <v>29</v>
          </cell>
          <cell r="I17">
            <v>0.36</v>
          </cell>
          <cell r="J17">
            <v>0.36</v>
          </cell>
          <cell r="K17">
            <v>1</v>
          </cell>
          <cell r="L17">
            <v>19941231</v>
          </cell>
          <cell r="M17">
            <v>0.35</v>
          </cell>
          <cell r="N17">
            <v>19950120</v>
          </cell>
        </row>
        <row r="18">
          <cell r="A18" t="str">
            <v>HE</v>
          </cell>
          <cell r="B18" t="str">
            <v>HE</v>
          </cell>
          <cell r="C18" t="str">
            <v>HAWAIIAN ELEC</v>
          </cell>
          <cell r="D18">
            <v>19941215</v>
          </cell>
          <cell r="E18" t="str">
            <v>EPS</v>
          </cell>
          <cell r="F18" t="str">
            <v>ANN</v>
          </cell>
          <cell r="G18">
            <v>1</v>
          </cell>
          <cell r="H18">
            <v>14</v>
          </cell>
          <cell r="I18">
            <v>1.26</v>
          </cell>
          <cell r="J18">
            <v>1.28</v>
          </cell>
          <cell r="K18">
            <v>1</v>
          </cell>
          <cell r="L18">
            <v>19941231</v>
          </cell>
          <cell r="M18">
            <v>1.29</v>
          </cell>
          <cell r="N18">
            <v>19950126</v>
          </cell>
        </row>
        <row r="19">
          <cell r="A19" t="str">
            <v>IDA</v>
          </cell>
          <cell r="B19" t="str">
            <v>IDA</v>
          </cell>
          <cell r="C19" t="str">
            <v>IDAHO POWER CO</v>
          </cell>
          <cell r="D19">
            <v>19941215</v>
          </cell>
          <cell r="E19" t="str">
            <v>EPS</v>
          </cell>
          <cell r="F19" t="str">
            <v>ANN</v>
          </cell>
          <cell r="G19">
            <v>1</v>
          </cell>
          <cell r="H19">
            <v>15</v>
          </cell>
          <cell r="I19">
            <v>1.85</v>
          </cell>
          <cell r="J19">
            <v>1.84</v>
          </cell>
          <cell r="K19">
            <v>1</v>
          </cell>
          <cell r="L19">
            <v>19941231</v>
          </cell>
          <cell r="M19">
            <v>1.8</v>
          </cell>
          <cell r="N19">
            <v>19950201</v>
          </cell>
        </row>
        <row r="20">
          <cell r="A20" t="str">
            <v>WR</v>
          </cell>
          <cell r="B20" t="str">
            <v>KAN</v>
          </cell>
          <cell r="C20" t="str">
            <v>WESTN RESOURCES</v>
          </cell>
          <cell r="D20">
            <v>19941215</v>
          </cell>
          <cell r="E20" t="str">
            <v>EPS</v>
          </cell>
          <cell r="F20" t="str">
            <v>ANN</v>
          </cell>
          <cell r="G20">
            <v>1</v>
          </cell>
          <cell r="H20">
            <v>20</v>
          </cell>
          <cell r="I20">
            <v>2.5299999999999998</v>
          </cell>
          <cell r="J20">
            <v>2.5499999999999998</v>
          </cell>
          <cell r="K20">
            <v>1</v>
          </cell>
          <cell r="L20">
            <v>19941231</v>
          </cell>
          <cell r="M20">
            <v>2.5099999999999998</v>
          </cell>
          <cell r="N20">
            <v>19950125</v>
          </cell>
        </row>
        <row r="21">
          <cell r="A21" t="str">
            <v>ETR</v>
          </cell>
          <cell r="B21" t="str">
            <v>MSU</v>
          </cell>
          <cell r="C21" t="str">
            <v>ENTERGY CP</v>
          </cell>
          <cell r="D21">
            <v>19941215</v>
          </cell>
          <cell r="E21" t="str">
            <v>EPS</v>
          </cell>
          <cell r="F21" t="str">
            <v>ANN</v>
          </cell>
          <cell r="G21">
            <v>1</v>
          </cell>
          <cell r="H21">
            <v>25</v>
          </cell>
          <cell r="I21">
            <v>2.4</v>
          </cell>
          <cell r="J21">
            <v>2.39</v>
          </cell>
          <cell r="K21">
            <v>1</v>
          </cell>
          <cell r="L21">
            <v>19941231</v>
          </cell>
          <cell r="M21">
            <v>2.41</v>
          </cell>
          <cell r="N21">
            <v>19950222</v>
          </cell>
        </row>
        <row r="22">
          <cell r="A22" t="str">
            <v>NU</v>
          </cell>
          <cell r="B22" t="str">
            <v>NU</v>
          </cell>
          <cell r="C22" t="str">
            <v>NORTHEAST UTILS</v>
          </cell>
          <cell r="D22">
            <v>19941215</v>
          </cell>
          <cell r="E22" t="str">
            <v>EPS</v>
          </cell>
          <cell r="F22" t="str">
            <v>ANN</v>
          </cell>
          <cell r="G22">
            <v>1</v>
          </cell>
          <cell r="H22">
            <v>22</v>
          </cell>
          <cell r="I22">
            <v>2.25</v>
          </cell>
          <cell r="J22">
            <v>2.2400000000000002</v>
          </cell>
          <cell r="K22">
            <v>1</v>
          </cell>
          <cell r="L22">
            <v>19941231</v>
          </cell>
          <cell r="M22">
            <v>2.2999999999999998</v>
          </cell>
          <cell r="N22">
            <v>19950124</v>
          </cell>
        </row>
        <row r="23">
          <cell r="A23" t="str">
            <v>OGE</v>
          </cell>
          <cell r="B23" t="str">
            <v>OGE</v>
          </cell>
          <cell r="C23" t="str">
            <v>OKLAHOMA G&amp;E</v>
          </cell>
          <cell r="D23">
            <v>19941215</v>
          </cell>
          <cell r="E23" t="str">
            <v>EPS</v>
          </cell>
          <cell r="F23" t="str">
            <v>ANN</v>
          </cell>
          <cell r="G23">
            <v>1</v>
          </cell>
          <cell r="H23">
            <v>21</v>
          </cell>
          <cell r="I23">
            <v>0.72</v>
          </cell>
          <cell r="J23">
            <v>0.73</v>
          </cell>
          <cell r="K23">
            <v>1</v>
          </cell>
          <cell r="L23">
            <v>19941231</v>
          </cell>
          <cell r="M23">
            <v>0.75249999999999995</v>
          </cell>
          <cell r="N23">
            <v>19950130</v>
          </cell>
        </row>
        <row r="24">
          <cell r="A24" t="str">
            <v>OTTR</v>
          </cell>
          <cell r="B24" t="str">
            <v>OTTR</v>
          </cell>
          <cell r="C24" t="str">
            <v>OTTER TAIL PWR</v>
          </cell>
          <cell r="D24">
            <v>19941215</v>
          </cell>
          <cell r="E24" t="str">
            <v>EPS</v>
          </cell>
          <cell r="F24" t="str">
            <v>ANN</v>
          </cell>
          <cell r="G24">
            <v>1</v>
          </cell>
          <cell r="H24">
            <v>6</v>
          </cell>
          <cell r="I24">
            <v>1.1499999999999999</v>
          </cell>
          <cell r="J24">
            <v>1.1299999999999999</v>
          </cell>
          <cell r="K24">
            <v>1</v>
          </cell>
          <cell r="L24">
            <v>19941231</v>
          </cell>
          <cell r="M24">
            <v>1.17</v>
          </cell>
          <cell r="N24">
            <v>19950123</v>
          </cell>
        </row>
        <row r="25">
          <cell r="A25" t="str">
            <v>PCG</v>
          </cell>
          <cell r="B25" t="str">
            <v>PCG</v>
          </cell>
          <cell r="C25" t="str">
            <v>PACIFIC G&amp;E</v>
          </cell>
          <cell r="D25">
            <v>19941215</v>
          </cell>
          <cell r="E25" t="str">
            <v>EPS</v>
          </cell>
          <cell r="F25" t="str">
            <v>ANN</v>
          </cell>
          <cell r="G25">
            <v>1</v>
          </cell>
          <cell r="H25">
            <v>23</v>
          </cell>
          <cell r="I25">
            <v>2.75</v>
          </cell>
          <cell r="J25">
            <v>2.74</v>
          </cell>
          <cell r="K25">
            <v>1</v>
          </cell>
          <cell r="L25">
            <v>19941231</v>
          </cell>
          <cell r="M25">
            <v>2.67</v>
          </cell>
          <cell r="N25">
            <v>19950118</v>
          </cell>
        </row>
        <row r="26">
          <cell r="A26" t="str">
            <v>PEG</v>
          </cell>
          <cell r="B26" t="str">
            <v>PEG</v>
          </cell>
          <cell r="C26" t="str">
            <v>PUB SVC ENTERS</v>
          </cell>
          <cell r="D26">
            <v>19941215</v>
          </cell>
          <cell r="E26" t="str">
            <v>EPS</v>
          </cell>
          <cell r="F26" t="str">
            <v>ANN</v>
          </cell>
          <cell r="G26">
            <v>1</v>
          </cell>
          <cell r="H26">
            <v>26</v>
          </cell>
          <cell r="I26">
            <v>1.38</v>
          </cell>
          <cell r="J26">
            <v>1.37</v>
          </cell>
          <cell r="K26">
            <v>1</v>
          </cell>
          <cell r="L26">
            <v>19941231</v>
          </cell>
          <cell r="M26">
            <v>1.385</v>
          </cell>
          <cell r="N26">
            <v>19950117</v>
          </cell>
        </row>
        <row r="27">
          <cell r="A27" t="str">
            <v>PGN</v>
          </cell>
          <cell r="B27" t="str">
            <v>PGN</v>
          </cell>
          <cell r="C27" t="str">
            <v>PORTLAND GEN CP</v>
          </cell>
          <cell r="D27">
            <v>19941215</v>
          </cell>
          <cell r="E27" t="str">
            <v>EPS</v>
          </cell>
          <cell r="F27" t="str">
            <v>ANN</v>
          </cell>
          <cell r="G27">
            <v>1</v>
          </cell>
          <cell r="H27">
            <v>18</v>
          </cell>
          <cell r="I27">
            <v>1.9</v>
          </cell>
          <cell r="J27">
            <v>1.9</v>
          </cell>
          <cell r="K27">
            <v>1</v>
          </cell>
          <cell r="L27">
            <v>19941231</v>
          </cell>
          <cell r="M27">
            <v>1.88</v>
          </cell>
          <cell r="N27">
            <v>19950208</v>
          </cell>
        </row>
        <row r="28">
          <cell r="A28" t="str">
            <v>PNM</v>
          </cell>
          <cell r="B28" t="str">
            <v>PNM</v>
          </cell>
          <cell r="C28" t="str">
            <v>PUB SVC N MEX</v>
          </cell>
          <cell r="D28">
            <v>19941215</v>
          </cell>
          <cell r="E28" t="str">
            <v>EPS</v>
          </cell>
          <cell r="F28" t="str">
            <v>ANN</v>
          </cell>
          <cell r="G28">
            <v>1</v>
          </cell>
          <cell r="H28">
            <v>17</v>
          </cell>
          <cell r="I28">
            <v>1.03</v>
          </cell>
          <cell r="J28">
            <v>1.02</v>
          </cell>
          <cell r="K28">
            <v>1</v>
          </cell>
          <cell r="L28">
            <v>19941231</v>
          </cell>
          <cell r="M28">
            <v>1.08</v>
          </cell>
          <cell r="N28">
            <v>19950126</v>
          </cell>
        </row>
        <row r="29">
          <cell r="A29" t="str">
            <v>POM</v>
          </cell>
          <cell r="B29" t="str">
            <v>POM</v>
          </cell>
          <cell r="C29" t="str">
            <v>POTOMAC ELEC</v>
          </cell>
          <cell r="D29">
            <v>19941215</v>
          </cell>
          <cell r="E29" t="str">
            <v>EPS</v>
          </cell>
          <cell r="F29" t="str">
            <v>ANN</v>
          </cell>
          <cell r="G29">
            <v>1</v>
          </cell>
          <cell r="H29">
            <v>27</v>
          </cell>
          <cell r="I29">
            <v>1.85</v>
          </cell>
          <cell r="J29">
            <v>1.86</v>
          </cell>
          <cell r="K29">
            <v>1</v>
          </cell>
          <cell r="L29">
            <v>19941231</v>
          </cell>
          <cell r="M29">
            <v>1.79</v>
          </cell>
          <cell r="N29">
            <v>19950126</v>
          </cell>
        </row>
        <row r="30">
          <cell r="A30" t="str">
            <v>PPL</v>
          </cell>
          <cell r="B30" t="str">
            <v>PPL</v>
          </cell>
          <cell r="C30" t="str">
            <v>PENNA P&amp;L</v>
          </cell>
          <cell r="D30">
            <v>19941215</v>
          </cell>
          <cell r="E30" t="str">
            <v>EPS</v>
          </cell>
          <cell r="F30" t="str">
            <v>ANN</v>
          </cell>
          <cell r="G30">
            <v>1</v>
          </cell>
          <cell r="H30">
            <v>22</v>
          </cell>
          <cell r="I30">
            <v>1.04</v>
          </cell>
          <cell r="J30">
            <v>1.03</v>
          </cell>
          <cell r="K30">
            <v>1</v>
          </cell>
          <cell r="L30">
            <v>19941231</v>
          </cell>
          <cell r="M30">
            <v>0.98</v>
          </cell>
          <cell r="N30">
            <v>19950125</v>
          </cell>
        </row>
        <row r="31">
          <cell r="A31" t="str">
            <v>PSD</v>
          </cell>
          <cell r="B31" t="str">
            <v>PSD</v>
          </cell>
          <cell r="C31" t="str">
            <v>PUGET SOUND P&amp;L</v>
          </cell>
          <cell r="D31">
            <v>19941215</v>
          </cell>
          <cell r="E31" t="str">
            <v>EPS</v>
          </cell>
          <cell r="F31" t="str">
            <v>ANN</v>
          </cell>
          <cell r="G31">
            <v>1</v>
          </cell>
          <cell r="H31">
            <v>15</v>
          </cell>
          <cell r="I31">
            <v>1.85</v>
          </cell>
          <cell r="J31">
            <v>1.83</v>
          </cell>
          <cell r="K31">
            <v>1</v>
          </cell>
          <cell r="L31">
            <v>19941231</v>
          </cell>
          <cell r="M31">
            <v>1.86</v>
          </cell>
          <cell r="N31">
            <v>19950210</v>
          </cell>
        </row>
        <row r="32">
          <cell r="A32" t="str">
            <v>SCG</v>
          </cell>
          <cell r="B32" t="str">
            <v>SCG</v>
          </cell>
          <cell r="C32" t="str">
            <v>SCANA CP</v>
          </cell>
          <cell r="D32">
            <v>19941215</v>
          </cell>
          <cell r="E32" t="str">
            <v>EPS</v>
          </cell>
          <cell r="F32" t="str">
            <v>ANN</v>
          </cell>
          <cell r="G32">
            <v>1</v>
          </cell>
          <cell r="H32">
            <v>19</v>
          </cell>
          <cell r="I32">
            <v>1.8</v>
          </cell>
          <cell r="J32">
            <v>1.79</v>
          </cell>
          <cell r="K32">
            <v>1</v>
          </cell>
          <cell r="L32">
            <v>19941231</v>
          </cell>
          <cell r="M32">
            <v>1.7250000000000001</v>
          </cell>
          <cell r="N32">
            <v>19950207</v>
          </cell>
        </row>
        <row r="33">
          <cell r="A33" t="str">
            <v>SO</v>
          </cell>
          <cell r="B33" t="str">
            <v>SO</v>
          </cell>
          <cell r="C33" t="str">
            <v>SOUTHN CO</v>
          </cell>
          <cell r="D33">
            <v>19941215</v>
          </cell>
          <cell r="E33" t="str">
            <v>EPS</v>
          </cell>
          <cell r="F33" t="str">
            <v>ANN</v>
          </cell>
          <cell r="G33">
            <v>1</v>
          </cell>
          <cell r="H33">
            <v>29</v>
          </cell>
          <cell r="I33">
            <v>1.6</v>
          </cell>
          <cell r="J33">
            <v>1.6</v>
          </cell>
          <cell r="K33">
            <v>1</v>
          </cell>
          <cell r="L33">
            <v>19941231</v>
          </cell>
          <cell r="M33">
            <v>1.61</v>
          </cell>
          <cell r="N33">
            <v>19950116</v>
          </cell>
        </row>
        <row r="34">
          <cell r="A34" t="str">
            <v>TE</v>
          </cell>
          <cell r="B34" t="str">
            <v>TE</v>
          </cell>
          <cell r="C34" t="str">
            <v>TECO ENERGY INC</v>
          </cell>
          <cell r="D34">
            <v>19941215</v>
          </cell>
          <cell r="E34" t="str">
            <v>EPS</v>
          </cell>
          <cell r="F34" t="str">
            <v>ANN</v>
          </cell>
          <cell r="G34">
            <v>1</v>
          </cell>
          <cell r="H34">
            <v>25</v>
          </cell>
          <cell r="I34">
            <v>1.45</v>
          </cell>
          <cell r="J34">
            <v>1.45</v>
          </cell>
          <cell r="K34">
            <v>1</v>
          </cell>
          <cell r="L34">
            <v>19941231</v>
          </cell>
          <cell r="M34">
            <v>1.45</v>
          </cell>
          <cell r="N34">
            <v>19950116</v>
          </cell>
        </row>
        <row r="35">
          <cell r="A35" t="str">
            <v>UIL</v>
          </cell>
          <cell r="B35" t="str">
            <v>UIL</v>
          </cell>
          <cell r="C35" t="str">
            <v>UTD ILLUM CO</v>
          </cell>
          <cell r="D35">
            <v>19941215</v>
          </cell>
          <cell r="E35" t="str">
            <v>EPS</v>
          </cell>
          <cell r="F35" t="str">
            <v>ANN</v>
          </cell>
          <cell r="G35">
            <v>1</v>
          </cell>
          <cell r="H35">
            <v>12</v>
          </cell>
          <cell r="I35">
            <v>1.95</v>
          </cell>
          <cell r="J35">
            <v>1.95</v>
          </cell>
          <cell r="K35">
            <v>1</v>
          </cell>
          <cell r="L35">
            <v>19941231</v>
          </cell>
          <cell r="M35">
            <v>2.0939999999999999</v>
          </cell>
          <cell r="N35">
            <v>19950123</v>
          </cell>
        </row>
        <row r="36">
          <cell r="A36" t="str">
            <v>WEC</v>
          </cell>
          <cell r="B36" t="str">
            <v>WPC</v>
          </cell>
          <cell r="C36" t="str">
            <v>WISCONSIN ENERGY</v>
          </cell>
          <cell r="D36">
            <v>19941215</v>
          </cell>
          <cell r="E36" t="str">
            <v>EPS</v>
          </cell>
          <cell r="F36" t="str">
            <v>ANN</v>
          </cell>
          <cell r="G36">
            <v>1</v>
          </cell>
          <cell r="H36">
            <v>27</v>
          </cell>
          <cell r="I36">
            <v>1</v>
          </cell>
          <cell r="J36">
            <v>0.99</v>
          </cell>
          <cell r="K36">
            <v>1</v>
          </cell>
          <cell r="L36">
            <v>19941231</v>
          </cell>
          <cell r="M36">
            <v>1.0449999999999999</v>
          </cell>
          <cell r="N36">
            <v>19950125</v>
          </cell>
        </row>
        <row r="37">
          <cell r="A37" t="str">
            <v>WPS</v>
          </cell>
          <cell r="B37" t="str">
            <v>WPS</v>
          </cell>
          <cell r="C37" t="str">
            <v>WPS RESOURCES CP</v>
          </cell>
          <cell r="D37">
            <v>19941215</v>
          </cell>
          <cell r="E37" t="str">
            <v>EPS</v>
          </cell>
          <cell r="F37" t="str">
            <v>ANN</v>
          </cell>
          <cell r="G37">
            <v>1</v>
          </cell>
          <cell r="H37">
            <v>13</v>
          </cell>
          <cell r="I37">
            <v>2.35</v>
          </cell>
          <cell r="J37">
            <v>2.35</v>
          </cell>
          <cell r="K37">
            <v>1</v>
          </cell>
          <cell r="L37">
            <v>19941231</v>
          </cell>
          <cell r="M37">
            <v>2.21</v>
          </cell>
          <cell r="N37">
            <v>19950126</v>
          </cell>
        </row>
        <row r="38">
          <cell r="A38" t="str">
            <v>AGR</v>
          </cell>
          <cell r="B38" t="str">
            <v>@AGM</v>
          </cell>
          <cell r="C38" t="str">
            <v>AGROMAN</v>
          </cell>
          <cell r="D38">
            <v>19941215</v>
          </cell>
          <cell r="E38" t="str">
            <v>EPS</v>
          </cell>
          <cell r="F38" t="str">
            <v>ANN</v>
          </cell>
          <cell r="G38">
            <v>1</v>
          </cell>
          <cell r="H38">
            <v>19</v>
          </cell>
          <cell r="I38">
            <v>-409</v>
          </cell>
          <cell r="J38">
            <v>-365</v>
          </cell>
          <cell r="K38">
            <v>0</v>
          </cell>
          <cell r="L38">
            <v>19941231</v>
          </cell>
          <cell r="M38">
            <v>-445</v>
          </cell>
          <cell r="N38">
            <v>19950314</v>
          </cell>
        </row>
        <row r="39">
          <cell r="A39" t="str">
            <v>AVA</v>
          </cell>
          <cell r="B39" t="str">
            <v>@AHV</v>
          </cell>
          <cell r="C39" t="str">
            <v>AVA</v>
          </cell>
          <cell r="D39">
            <v>19941215</v>
          </cell>
          <cell r="E39" t="str">
            <v>EPS</v>
          </cell>
          <cell r="F39" t="str">
            <v>ANN</v>
          </cell>
          <cell r="G39">
            <v>1</v>
          </cell>
          <cell r="H39">
            <v>29</v>
          </cell>
          <cell r="I39">
            <v>2.4</v>
          </cell>
          <cell r="J39">
            <v>2.4</v>
          </cell>
          <cell r="K39">
            <v>0</v>
          </cell>
          <cell r="L39">
            <v>19941231</v>
          </cell>
          <cell r="M39">
            <v>1.51</v>
          </cell>
          <cell r="N39">
            <v>19950725</v>
          </cell>
        </row>
        <row r="40">
          <cell r="A40" t="str">
            <v>AEE</v>
          </cell>
          <cell r="B40" t="str">
            <v>@AK</v>
          </cell>
          <cell r="C40" t="str">
            <v>ATLAS STEELS LTD</v>
          </cell>
          <cell r="D40">
            <v>19941215</v>
          </cell>
          <cell r="E40" t="str">
            <v>EPS</v>
          </cell>
          <cell r="F40" t="str">
            <v>ANN</v>
          </cell>
          <cell r="G40">
            <v>1</v>
          </cell>
          <cell r="H40">
            <v>1</v>
          </cell>
          <cell r="I40">
            <v>0.107</v>
          </cell>
          <cell r="J40">
            <v>0.107</v>
          </cell>
          <cell r="K40">
            <v>0</v>
          </cell>
          <cell r="L40">
            <v>19940630</v>
          </cell>
          <cell r="M40">
            <v>0.107</v>
          </cell>
          <cell r="N40">
            <v>19950117</v>
          </cell>
        </row>
        <row r="41">
          <cell r="A41" t="str">
            <v>ALE</v>
          </cell>
          <cell r="B41" t="str">
            <v>@AVG</v>
          </cell>
          <cell r="C41" t="str">
            <v>ABI LEISURE</v>
          </cell>
          <cell r="D41">
            <v>19941215</v>
          </cell>
          <cell r="E41" t="str">
            <v>EPS</v>
          </cell>
          <cell r="F41" t="str">
            <v>ANN</v>
          </cell>
          <cell r="G41">
            <v>1</v>
          </cell>
          <cell r="H41">
            <v>2</v>
          </cell>
          <cell r="I41">
            <v>9.56</v>
          </cell>
          <cell r="J41">
            <v>9.56</v>
          </cell>
          <cell r="K41">
            <v>0</v>
          </cell>
          <cell r="L41">
            <v>19950831</v>
          </cell>
          <cell r="M41">
            <v>9.6999999999999993</v>
          </cell>
          <cell r="N41">
            <v>19951130</v>
          </cell>
        </row>
        <row r="42">
          <cell r="A42" t="str">
            <v>CNP</v>
          </cell>
          <cell r="B42" t="str">
            <v>@CE4</v>
          </cell>
          <cell r="C42" t="str">
            <v>CEMENTOS N PACAS</v>
          </cell>
          <cell r="D42">
            <v>19941215</v>
          </cell>
          <cell r="E42" t="str">
            <v>EPS</v>
          </cell>
          <cell r="F42" t="str">
            <v>ANN</v>
          </cell>
          <cell r="G42">
            <v>1</v>
          </cell>
          <cell r="H42">
            <v>5</v>
          </cell>
          <cell r="I42">
            <v>0.09</v>
          </cell>
          <cell r="J42">
            <v>0.1</v>
          </cell>
          <cell r="K42">
            <v>0</v>
          </cell>
          <cell r="L42">
            <v>19941231</v>
          </cell>
          <cell r="M42">
            <v>9.69E-2</v>
          </cell>
          <cell r="N42">
            <v>19950307</v>
          </cell>
        </row>
        <row r="43">
          <cell r="A43" t="str">
            <v>CEG</v>
          </cell>
          <cell r="B43" t="str">
            <v>@CQ5</v>
          </cell>
          <cell r="C43" t="str">
            <v>CROWN EYEGLASSES</v>
          </cell>
          <cell r="D43">
            <v>19941215</v>
          </cell>
          <cell r="E43" t="str">
            <v>EPS</v>
          </cell>
          <cell r="F43" t="str">
            <v>ANN</v>
          </cell>
          <cell r="G43">
            <v>1</v>
          </cell>
          <cell r="H43">
            <v>1</v>
          </cell>
          <cell r="I43">
            <v>25.5</v>
          </cell>
          <cell r="J43">
            <v>25.5</v>
          </cell>
          <cell r="K43">
            <v>0</v>
          </cell>
          <cell r="L43">
            <v>19950331</v>
          </cell>
          <cell r="M43">
            <v>24.4</v>
          </cell>
          <cell r="N43">
            <v>19950712</v>
          </cell>
        </row>
        <row r="44">
          <cell r="A44" t="str">
            <v>CIN</v>
          </cell>
          <cell r="B44" t="str">
            <v>@CUW</v>
          </cell>
          <cell r="C44" t="str">
            <v>CITY OF LOND PR</v>
          </cell>
          <cell r="D44">
            <v>19941215</v>
          </cell>
          <cell r="E44" t="str">
            <v>EPS</v>
          </cell>
          <cell r="F44" t="str">
            <v>ANN</v>
          </cell>
          <cell r="G44">
            <v>1</v>
          </cell>
          <cell r="H44">
            <v>1</v>
          </cell>
          <cell r="I44">
            <v>150.11000000000001</v>
          </cell>
          <cell r="J44">
            <v>150.11000000000001</v>
          </cell>
          <cell r="K44">
            <v>0</v>
          </cell>
          <cell r="L44">
            <v>19950331</v>
          </cell>
          <cell r="M44">
            <v>150.1095</v>
          </cell>
          <cell r="N44">
            <v>19950608</v>
          </cell>
        </row>
        <row r="45">
          <cell r="A45" t="str">
            <v>CMS</v>
          </cell>
          <cell r="B45" t="str">
            <v>@CWJ</v>
          </cell>
          <cell r="C45" t="str">
            <v>CAMAS</v>
          </cell>
          <cell r="D45">
            <v>19941215</v>
          </cell>
          <cell r="E45" t="str">
            <v>EPS</v>
          </cell>
          <cell r="F45" t="str">
            <v>ANN</v>
          </cell>
          <cell r="G45">
            <v>1</v>
          </cell>
          <cell r="H45">
            <v>2</v>
          </cell>
          <cell r="I45">
            <v>4.05</v>
          </cell>
          <cell r="J45">
            <v>4.05</v>
          </cell>
          <cell r="K45">
            <v>0</v>
          </cell>
          <cell r="L45">
            <v>19941231</v>
          </cell>
          <cell r="M45">
            <v>4.4000000000000004</v>
          </cell>
          <cell r="N45">
            <v>19950427</v>
          </cell>
        </row>
        <row r="46">
          <cell r="A46" t="str">
            <v>CNP</v>
          </cell>
          <cell r="B46" t="str">
            <v>@CWV</v>
          </cell>
          <cell r="C46" t="str">
            <v>CANADIAN PIZZA</v>
          </cell>
          <cell r="D46">
            <v>19941215</v>
          </cell>
          <cell r="E46" t="str">
            <v>EPS</v>
          </cell>
          <cell r="F46" t="str">
            <v>ANN</v>
          </cell>
          <cell r="G46">
            <v>1</v>
          </cell>
          <cell r="H46">
            <v>3</v>
          </cell>
          <cell r="I46">
            <v>12</v>
          </cell>
          <cell r="J46">
            <v>11.73</v>
          </cell>
          <cell r="K46">
            <v>0</v>
          </cell>
          <cell r="L46">
            <v>19941231</v>
          </cell>
          <cell r="M46">
            <v>9.4</v>
          </cell>
          <cell r="N46">
            <v>19950316</v>
          </cell>
        </row>
        <row r="47">
          <cell r="A47" t="str">
            <v>D</v>
          </cell>
          <cell r="B47" t="str">
            <v>@DLM</v>
          </cell>
          <cell r="C47" t="str">
            <v>DALMINE</v>
          </cell>
          <cell r="D47">
            <v>19941215</v>
          </cell>
          <cell r="E47" t="str">
            <v>EPS</v>
          </cell>
          <cell r="F47" t="str">
            <v>ANN</v>
          </cell>
          <cell r="G47">
            <v>1</v>
          </cell>
          <cell r="H47">
            <v>2</v>
          </cell>
          <cell r="I47">
            <v>13</v>
          </cell>
          <cell r="J47">
            <v>13</v>
          </cell>
          <cell r="K47">
            <v>0</v>
          </cell>
          <cell r="L47">
            <v>19941231</v>
          </cell>
          <cell r="M47">
            <v>10</v>
          </cell>
          <cell r="N47">
            <v>19950525</v>
          </cell>
        </row>
        <row r="48">
          <cell r="A48" t="str">
            <v>EXC</v>
          </cell>
          <cell r="B48" t="str">
            <v>@ECH</v>
          </cell>
          <cell r="C48" t="str">
            <v>EX-CELL-O-HLDG</v>
          </cell>
          <cell r="D48">
            <v>19941215</v>
          </cell>
          <cell r="E48" t="str">
            <v>EPS</v>
          </cell>
          <cell r="F48" t="str">
            <v>ANN</v>
          </cell>
          <cell r="G48">
            <v>1</v>
          </cell>
          <cell r="H48">
            <v>14</v>
          </cell>
          <cell r="I48">
            <v>3.9</v>
          </cell>
          <cell r="J48">
            <v>4.5999999999999996</v>
          </cell>
          <cell r="K48">
            <v>0</v>
          </cell>
          <cell r="L48">
            <v>19941231</v>
          </cell>
          <cell r="M48">
            <v>-27.652899999999999</v>
          </cell>
          <cell r="N48">
            <v>19950804</v>
          </cell>
        </row>
        <row r="49">
          <cell r="A49" t="str">
            <v>EXC</v>
          </cell>
          <cell r="B49" t="str">
            <v>@EXG</v>
          </cell>
          <cell r="C49" t="str">
            <v>EXCO</v>
          </cell>
          <cell r="D49">
            <v>19941215</v>
          </cell>
          <cell r="E49" t="str">
            <v>EPS</v>
          </cell>
          <cell r="F49" t="str">
            <v>ANN</v>
          </cell>
          <cell r="G49">
            <v>1</v>
          </cell>
          <cell r="H49">
            <v>1</v>
          </cell>
          <cell r="I49">
            <v>19.3</v>
          </cell>
          <cell r="J49">
            <v>19.3</v>
          </cell>
          <cell r="K49">
            <v>0</v>
          </cell>
          <cell r="L49">
            <v>19941231</v>
          </cell>
          <cell r="M49">
            <v>19.3</v>
          </cell>
          <cell r="N49">
            <v>19950322</v>
          </cell>
        </row>
        <row r="50">
          <cell r="A50" t="str">
            <v>LNT</v>
          </cell>
          <cell r="B50" t="str">
            <v>@LLH</v>
          </cell>
          <cell r="C50" t="str">
            <v>LIONHEART</v>
          </cell>
          <cell r="D50">
            <v>19941215</v>
          </cell>
          <cell r="E50" t="str">
            <v>EPS</v>
          </cell>
          <cell r="F50" t="str">
            <v>ANN</v>
          </cell>
          <cell r="G50">
            <v>1</v>
          </cell>
          <cell r="H50">
            <v>1</v>
          </cell>
          <cell r="I50">
            <v>87.33</v>
          </cell>
          <cell r="J50">
            <v>87.33</v>
          </cell>
          <cell r="K50">
            <v>0</v>
          </cell>
          <cell r="L50">
            <v>19941231</v>
          </cell>
          <cell r="M50">
            <v>-1484.6666</v>
          </cell>
          <cell r="N50">
            <v>19950509</v>
          </cell>
        </row>
        <row r="51">
          <cell r="A51" t="str">
            <v>FE</v>
          </cell>
          <cell r="B51" t="str">
            <v>@NNF</v>
          </cell>
          <cell r="C51" t="str">
            <v>FINEXTEL</v>
          </cell>
          <cell r="D51">
            <v>19941215</v>
          </cell>
          <cell r="E51" t="str">
            <v>EPS</v>
          </cell>
          <cell r="F51" t="str">
            <v>ANN</v>
          </cell>
          <cell r="G51">
            <v>1</v>
          </cell>
          <cell r="H51">
            <v>3</v>
          </cell>
          <cell r="I51">
            <v>9.8000000000000007</v>
          </cell>
          <cell r="J51">
            <v>9.23</v>
          </cell>
          <cell r="K51">
            <v>0</v>
          </cell>
          <cell r="L51">
            <v>19941231</v>
          </cell>
          <cell r="M51">
            <v>-0.41</v>
          </cell>
          <cell r="N51">
            <v>19950914</v>
          </cell>
        </row>
        <row r="52">
          <cell r="A52" t="str">
            <v>NST</v>
          </cell>
          <cell r="B52" t="str">
            <v>@NST</v>
          </cell>
          <cell r="C52" t="str">
            <v>N. S. TIMES</v>
          </cell>
          <cell r="D52">
            <v>19941215</v>
          </cell>
          <cell r="E52" t="str">
            <v>EPS</v>
          </cell>
          <cell r="F52" t="str">
            <v>ANN</v>
          </cell>
          <cell r="G52">
            <v>1</v>
          </cell>
          <cell r="H52">
            <v>23</v>
          </cell>
          <cell r="I52">
            <v>0.39500000000000002</v>
          </cell>
          <cell r="J52">
            <v>0.4</v>
          </cell>
          <cell r="K52">
            <v>0</v>
          </cell>
          <cell r="L52">
            <v>19940831</v>
          </cell>
          <cell r="M52">
            <v>0.37730000000000002</v>
          </cell>
          <cell r="N52">
            <v>19950118</v>
          </cell>
        </row>
        <row r="53">
          <cell r="A53" t="str">
            <v>PEG</v>
          </cell>
          <cell r="B53" t="str">
            <v>@P7P</v>
          </cell>
          <cell r="C53" t="str">
            <v>PEG PROFILO</v>
          </cell>
          <cell r="D53">
            <v>19941215</v>
          </cell>
          <cell r="E53" t="str">
            <v>EPS</v>
          </cell>
          <cell r="F53" t="str">
            <v>ANN</v>
          </cell>
          <cell r="G53">
            <v>1</v>
          </cell>
          <cell r="H53">
            <v>6</v>
          </cell>
          <cell r="I53">
            <v>0</v>
          </cell>
          <cell r="J53">
            <v>0</v>
          </cell>
          <cell r="K53">
            <v>0</v>
          </cell>
          <cell r="L53">
            <v>19941231</v>
          </cell>
          <cell r="M53">
            <v>2.0999999999999999E-3</v>
          </cell>
          <cell r="N53">
            <v>19950424</v>
          </cell>
        </row>
        <row r="54">
          <cell r="A54" t="str">
            <v>POM</v>
          </cell>
          <cell r="B54" t="str">
            <v>@PO8</v>
          </cell>
          <cell r="C54" t="str">
            <v>PLASTIC OMNIUM</v>
          </cell>
          <cell r="D54">
            <v>19941215</v>
          </cell>
          <cell r="E54" t="str">
            <v>EPS</v>
          </cell>
          <cell r="F54" t="str">
            <v>ANN</v>
          </cell>
          <cell r="G54">
            <v>1</v>
          </cell>
          <cell r="H54">
            <v>19</v>
          </cell>
          <cell r="I54">
            <v>0.63</v>
          </cell>
          <cell r="J54">
            <v>0.64</v>
          </cell>
          <cell r="K54">
            <v>0</v>
          </cell>
          <cell r="L54">
            <v>19941231</v>
          </cell>
          <cell r="M54">
            <v>0.68330000000000002</v>
          </cell>
          <cell r="N54">
            <v>19950421</v>
          </cell>
        </row>
        <row r="55">
          <cell r="A55" t="str">
            <v>SO</v>
          </cell>
          <cell r="B55" t="str">
            <v>@SOM</v>
          </cell>
          <cell r="C55" t="str">
            <v>SOMMER-ALLIBERT</v>
          </cell>
          <cell r="D55">
            <v>19941215</v>
          </cell>
          <cell r="E55" t="str">
            <v>EPS</v>
          </cell>
          <cell r="F55" t="str">
            <v>ANN</v>
          </cell>
          <cell r="G55">
            <v>1</v>
          </cell>
          <cell r="H55">
            <v>22</v>
          </cell>
          <cell r="I55">
            <v>13</v>
          </cell>
          <cell r="J55">
            <v>12.59</v>
          </cell>
          <cell r="K55">
            <v>0</v>
          </cell>
          <cell r="L55">
            <v>19941231</v>
          </cell>
          <cell r="M55">
            <v>14.75</v>
          </cell>
          <cell r="N55">
            <v>19950331</v>
          </cell>
        </row>
        <row r="56">
          <cell r="A56" t="str">
            <v>POR</v>
          </cell>
          <cell r="B56" t="str">
            <v>@YCP</v>
          </cell>
          <cell r="C56" t="str">
            <v>CEMENT PORTLAND</v>
          </cell>
          <cell r="D56">
            <v>19941215</v>
          </cell>
          <cell r="E56" t="str">
            <v>EPS</v>
          </cell>
          <cell r="F56" t="str">
            <v>ANN</v>
          </cell>
          <cell r="G56">
            <v>1</v>
          </cell>
          <cell r="H56">
            <v>5</v>
          </cell>
          <cell r="I56">
            <v>65</v>
          </cell>
          <cell r="J56">
            <v>59</v>
          </cell>
          <cell r="K56">
            <v>0</v>
          </cell>
          <cell r="L56">
            <v>19931231</v>
          </cell>
          <cell r="M56">
            <v>44.927799999999998</v>
          </cell>
          <cell r="N56">
            <v>19950202</v>
          </cell>
        </row>
        <row r="57">
          <cell r="A57" t="str">
            <v>CIN</v>
          </cell>
          <cell r="B57" t="str">
            <v>@YYN</v>
          </cell>
          <cell r="C57" t="str">
            <v>CIN</v>
          </cell>
          <cell r="D57">
            <v>19941215</v>
          </cell>
          <cell r="E57" t="str">
            <v>EPS</v>
          </cell>
          <cell r="F57" t="str">
            <v>ANN</v>
          </cell>
          <cell r="G57">
            <v>1</v>
          </cell>
          <cell r="H57">
            <v>10</v>
          </cell>
          <cell r="I57">
            <v>26</v>
          </cell>
          <cell r="J57">
            <v>27</v>
          </cell>
          <cell r="K57">
            <v>0</v>
          </cell>
          <cell r="L57">
            <v>19941231</v>
          </cell>
          <cell r="M57">
            <v>29.714099999999998</v>
          </cell>
          <cell r="N57">
            <v>19950329</v>
          </cell>
        </row>
        <row r="58">
          <cell r="A58" t="str">
            <v>AGR</v>
          </cell>
          <cell r="B58" t="str">
            <v>AGR1</v>
          </cell>
          <cell r="C58" t="str">
            <v>AGRA INDS INC</v>
          </cell>
          <cell r="D58">
            <v>19941215</v>
          </cell>
          <cell r="E58" t="str">
            <v>EPS</v>
          </cell>
          <cell r="F58" t="str">
            <v>ANN</v>
          </cell>
          <cell r="G58">
            <v>1</v>
          </cell>
          <cell r="H58">
            <v>2</v>
          </cell>
          <cell r="I58">
            <v>0.71</v>
          </cell>
          <cell r="J58">
            <v>0.71</v>
          </cell>
          <cell r="K58">
            <v>0</v>
          </cell>
          <cell r="L58">
            <v>19950731</v>
          </cell>
          <cell r="M58">
            <v>0.61</v>
          </cell>
          <cell r="N58">
            <v>19951026</v>
          </cell>
        </row>
        <row r="59">
          <cell r="A59" t="str">
            <v>FPL</v>
          </cell>
          <cell r="B59" t="str">
            <v>FPI1</v>
          </cell>
          <cell r="C59" t="str">
            <v>FPI LTD</v>
          </cell>
          <cell r="D59">
            <v>19941215</v>
          </cell>
          <cell r="E59" t="str">
            <v>EPS</v>
          </cell>
          <cell r="F59" t="str">
            <v>ANN</v>
          </cell>
          <cell r="G59">
            <v>1</v>
          </cell>
          <cell r="H59">
            <v>2</v>
          </cell>
          <cell r="I59">
            <v>0.35</v>
          </cell>
          <cell r="J59">
            <v>0.35</v>
          </cell>
          <cell r="K59">
            <v>0</v>
          </cell>
          <cell r="L59">
            <v>19941231</v>
          </cell>
          <cell r="M59">
            <v>0.84</v>
          </cell>
          <cell r="N59">
            <v>19950227</v>
          </cell>
        </row>
        <row r="60">
          <cell r="A60" t="str">
            <v>SO</v>
          </cell>
          <cell r="B60" t="str">
            <v>SO1</v>
          </cell>
          <cell r="C60" t="str">
            <v>STONE CONS CP</v>
          </cell>
          <cell r="D60">
            <v>19941215</v>
          </cell>
          <cell r="E60" t="str">
            <v>EPS</v>
          </cell>
          <cell r="F60" t="str">
            <v>ANN</v>
          </cell>
          <cell r="G60">
            <v>1</v>
          </cell>
          <cell r="H60">
            <v>7</v>
          </cell>
          <cell r="I60">
            <v>-0.15</v>
          </cell>
          <cell r="J60">
            <v>-0.14000000000000001</v>
          </cell>
          <cell r="K60">
            <v>0</v>
          </cell>
          <cell r="L60">
            <v>19941231</v>
          </cell>
          <cell r="M60">
            <v>-0.12</v>
          </cell>
          <cell r="N60">
            <v>19950202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B771E-D257-4388-AF88-D9A65ECC55D5}">
  <dimension ref="C2:Q31"/>
  <sheetViews>
    <sheetView topLeftCell="A13" zoomScale="85" zoomScaleNormal="85" workbookViewId="0">
      <selection activeCell="F27" sqref="F27"/>
    </sheetView>
  </sheetViews>
  <sheetFormatPr defaultRowHeight="14.4" x14ac:dyDescent="0.3"/>
  <cols>
    <col min="3" max="3" width="27" customWidth="1"/>
    <col min="4" max="4" width="18.33203125" customWidth="1"/>
  </cols>
  <sheetData>
    <row r="2" spans="3:17" ht="14.4" customHeight="1" x14ac:dyDescent="0.3">
      <c r="C2" s="59" t="s">
        <v>289</v>
      </c>
      <c r="D2" s="60"/>
      <c r="E2" s="60"/>
      <c r="F2" s="61"/>
      <c r="H2" s="56" t="s">
        <v>287</v>
      </c>
      <c r="I2" s="57"/>
      <c r="J2" s="57"/>
      <c r="K2" s="57"/>
      <c r="L2" s="57"/>
      <c r="M2" s="57"/>
      <c r="N2" s="57"/>
      <c r="O2" s="57"/>
      <c r="P2" s="57"/>
      <c r="Q2" s="58"/>
    </row>
    <row r="3" spans="3:17" ht="14.4" customHeight="1" x14ac:dyDescent="0.3">
      <c r="C3" s="62"/>
      <c r="D3" s="63"/>
      <c r="E3" s="63"/>
      <c r="F3" s="64"/>
      <c r="H3" s="68" t="s">
        <v>290</v>
      </c>
      <c r="I3" s="69"/>
      <c r="J3" s="69"/>
      <c r="K3" s="69"/>
      <c r="L3" s="69"/>
      <c r="M3" s="69"/>
      <c r="N3" s="69"/>
      <c r="O3" s="69"/>
      <c r="P3" s="69"/>
      <c r="Q3" s="70"/>
    </row>
    <row r="4" spans="3:17" ht="14.4" customHeight="1" x14ac:dyDescent="0.3">
      <c r="C4" s="62"/>
      <c r="D4" s="63"/>
      <c r="E4" s="63"/>
      <c r="F4" s="64"/>
      <c r="H4" s="71"/>
      <c r="I4" s="72"/>
      <c r="J4" s="72"/>
      <c r="K4" s="72"/>
      <c r="L4" s="72"/>
      <c r="M4" s="72"/>
      <c r="N4" s="72"/>
      <c r="O4" s="72"/>
      <c r="P4" s="72"/>
      <c r="Q4" s="73"/>
    </row>
    <row r="5" spans="3:17" ht="14.4" customHeight="1" x14ac:dyDescent="0.3">
      <c r="C5" s="62"/>
      <c r="D5" s="63"/>
      <c r="E5" s="63"/>
      <c r="F5" s="64"/>
      <c r="H5" s="71"/>
      <c r="I5" s="72"/>
      <c r="J5" s="72"/>
      <c r="K5" s="72"/>
      <c r="L5" s="72"/>
      <c r="M5" s="72"/>
      <c r="N5" s="72"/>
      <c r="O5" s="72"/>
      <c r="P5" s="72"/>
      <c r="Q5" s="73"/>
    </row>
    <row r="6" spans="3:17" ht="14.4" customHeight="1" x14ac:dyDescent="0.3">
      <c r="C6" s="62"/>
      <c r="D6" s="63"/>
      <c r="E6" s="63"/>
      <c r="F6" s="64"/>
      <c r="H6" s="71"/>
      <c r="I6" s="72"/>
      <c r="J6" s="72"/>
      <c r="K6" s="72"/>
      <c r="L6" s="72"/>
      <c r="M6" s="72"/>
      <c r="N6" s="72"/>
      <c r="O6" s="72"/>
      <c r="P6" s="72"/>
      <c r="Q6" s="73"/>
    </row>
    <row r="7" spans="3:17" ht="14.4" customHeight="1" x14ac:dyDescent="0.3">
      <c r="C7" s="62"/>
      <c r="D7" s="63"/>
      <c r="E7" s="63"/>
      <c r="F7" s="64"/>
      <c r="H7" s="71"/>
      <c r="I7" s="72"/>
      <c r="J7" s="72"/>
      <c r="K7" s="72"/>
      <c r="L7" s="72"/>
      <c r="M7" s="72"/>
      <c r="N7" s="72"/>
      <c r="O7" s="72"/>
      <c r="P7" s="72"/>
      <c r="Q7" s="73"/>
    </row>
    <row r="8" spans="3:17" x14ac:dyDescent="0.3">
      <c r="C8" s="65"/>
      <c r="D8" s="66"/>
      <c r="E8" s="66"/>
      <c r="F8" s="67"/>
      <c r="H8" s="74"/>
      <c r="I8" s="75"/>
      <c r="J8" s="75"/>
      <c r="K8" s="75"/>
      <c r="L8" s="75"/>
      <c r="M8" s="75"/>
      <c r="N8" s="75"/>
      <c r="O8" s="75"/>
      <c r="P8" s="75"/>
      <c r="Q8" s="76"/>
    </row>
    <row r="9" spans="3:17" x14ac:dyDescent="0.3">
      <c r="H9" s="47"/>
      <c r="I9" s="47"/>
      <c r="J9" s="47"/>
      <c r="K9" s="47"/>
      <c r="L9" s="47"/>
    </row>
    <row r="11" spans="3:17" x14ac:dyDescent="0.3">
      <c r="C11" s="55" t="s">
        <v>306</v>
      </c>
      <c r="D11" s="55"/>
      <c r="E11" s="55"/>
    </row>
    <row r="13" spans="3:17" x14ac:dyDescent="0.3">
      <c r="C13" s="34" t="s">
        <v>278</v>
      </c>
      <c r="D13" s="35" t="s">
        <v>279</v>
      </c>
      <c r="E13" s="36" t="s">
        <v>280</v>
      </c>
      <c r="H13" s="53" t="s">
        <v>283</v>
      </c>
      <c r="I13" s="54"/>
      <c r="J13" s="54"/>
      <c r="K13" s="54"/>
      <c r="L13" s="54"/>
    </row>
    <row r="14" spans="3:17" ht="30" customHeight="1" x14ac:dyDescent="0.3">
      <c r="C14" s="37" t="str">
        <f>'Master Summary'!C3</f>
        <v>Mean Actual Long-Term Growth Rate</v>
      </c>
      <c r="D14" s="12">
        <f>'Master Summary'!C42</f>
        <v>2.8566298919997568E-2</v>
      </c>
      <c r="E14" s="14">
        <f>'Master Summary'!C43</f>
        <v>2.8011801182326854E-2</v>
      </c>
      <c r="H14" s="48" t="s">
        <v>300</v>
      </c>
      <c r="I14" s="49"/>
      <c r="J14" s="49"/>
      <c r="K14" s="49"/>
      <c r="L14" s="49"/>
    </row>
    <row r="15" spans="3:17" ht="30.75" customHeight="1" x14ac:dyDescent="0.3">
      <c r="C15" s="37" t="str">
        <f>'Master Summary'!D3</f>
        <v>Avg. Mean Est. Long-Term Growth Rate</v>
      </c>
      <c r="D15" s="12">
        <f>'Master Summary'!D42</f>
        <v>5.1431193966214761E-2</v>
      </c>
      <c r="E15" s="14">
        <f>'Master Summary'!D43</f>
        <v>5.0834210526315787E-2</v>
      </c>
      <c r="H15" s="22" t="s">
        <v>296</v>
      </c>
      <c r="I15" s="49"/>
      <c r="J15" s="49"/>
      <c r="K15" s="49"/>
      <c r="L15" s="49"/>
    </row>
    <row r="16" spans="3:17" ht="30.75" customHeight="1" x14ac:dyDescent="0.3">
      <c r="C16" s="37" t="str">
        <f>'Master Summary'!E3</f>
        <v>Avg. Median Est. Long-Term Growth Rate</v>
      </c>
      <c r="D16" s="12">
        <f>'Master Summary'!E42</f>
        <v>5.0320983637673428E-2</v>
      </c>
      <c r="E16" s="14">
        <f>'Master Summary'!E43</f>
        <v>5.0231578947368426E-2</v>
      </c>
      <c r="H16" s="22" t="s">
        <v>291</v>
      </c>
      <c r="I16" s="49"/>
      <c r="J16" s="49"/>
      <c r="K16" s="49"/>
      <c r="L16" s="49"/>
    </row>
    <row r="17" spans="3:12" ht="30" customHeight="1" x14ac:dyDescent="0.3">
      <c r="C17" s="37" t="str">
        <f>'Master Summary'!F3</f>
        <v>Forecast Error for the Avg. Mean Est. (%)</v>
      </c>
      <c r="D17" s="12">
        <f>'Master Summary'!F42</f>
        <v>3.391656039641072</v>
      </c>
      <c r="E17" s="14">
        <f>'Master Summary'!F43</f>
        <v>0.82541675655946212</v>
      </c>
      <c r="F17" s="2"/>
      <c r="H17" s="48" t="s">
        <v>292</v>
      </c>
      <c r="I17" s="49"/>
      <c r="J17" s="49"/>
      <c r="K17" s="49"/>
      <c r="L17" s="49"/>
    </row>
    <row r="18" spans="3:12" ht="30" customHeight="1" x14ac:dyDescent="0.3">
      <c r="C18" s="37" t="str">
        <f>'Master Summary'!G3</f>
        <v>Forecast Error for the Avg. Median Est (%)</v>
      </c>
      <c r="D18" s="12">
        <f>'Master Summary'!G42</f>
        <v>3.2904216815530738</v>
      </c>
      <c r="E18" s="14">
        <f>'Master Summary'!G43</f>
        <v>0.81816682652664785</v>
      </c>
      <c r="H18" s="48" t="s">
        <v>293</v>
      </c>
      <c r="I18" s="49"/>
      <c r="J18" s="49"/>
      <c r="K18" s="49"/>
      <c r="L18" s="49"/>
    </row>
    <row r="19" spans="3:12" ht="30" customHeight="1" x14ac:dyDescent="0.3">
      <c r="C19" s="37" t="str">
        <f>'Master Summary'!M3</f>
        <v>Average Number of Analyst Estimates</v>
      </c>
      <c r="D19" s="38">
        <f>'Master Summary'!M42</f>
        <v>6.0723684386173975</v>
      </c>
      <c r="E19" s="39">
        <f>'Master Summary'!M43</f>
        <v>7.1694915254237293</v>
      </c>
      <c r="H19" s="22" t="s">
        <v>294</v>
      </c>
      <c r="I19" s="49"/>
      <c r="J19" s="49"/>
      <c r="K19" s="49"/>
      <c r="L19" s="49"/>
    </row>
    <row r="20" spans="3:12" ht="30" customHeight="1" x14ac:dyDescent="0.3">
      <c r="C20" s="40" t="str">
        <f>'Master Summary'!N3</f>
        <v>Number of Firms</v>
      </c>
      <c r="D20" s="41">
        <f>'Master Summary'!N42</f>
        <v>42.918918918918919</v>
      </c>
      <c r="E20" s="42">
        <f>'Master Summary'!N43</f>
        <v>41</v>
      </c>
      <c r="H20" s="22" t="s">
        <v>295</v>
      </c>
      <c r="I20" s="49"/>
      <c r="J20" s="49"/>
      <c r="K20" s="49"/>
      <c r="L20" s="49"/>
    </row>
    <row r="21" spans="3:12" x14ac:dyDescent="0.3">
      <c r="H21" s="49"/>
      <c r="I21" s="49"/>
      <c r="J21" s="49"/>
      <c r="K21" s="49"/>
      <c r="L21" s="49"/>
    </row>
    <row r="22" spans="3:12" x14ac:dyDescent="0.3">
      <c r="C22" s="55" t="s">
        <v>307</v>
      </c>
      <c r="D22" s="55"/>
      <c r="E22" s="55"/>
      <c r="H22" s="49"/>
      <c r="I22" s="49"/>
      <c r="J22" s="49"/>
      <c r="K22" s="49"/>
      <c r="L22" s="49"/>
    </row>
    <row r="23" spans="3:12" x14ac:dyDescent="0.3">
      <c r="C23" s="43"/>
      <c r="D23" s="43"/>
      <c r="E23" s="43"/>
      <c r="H23" s="49"/>
      <c r="I23" s="49"/>
      <c r="J23" s="49"/>
      <c r="K23" s="49"/>
      <c r="L23" s="49"/>
    </row>
    <row r="24" spans="3:12" x14ac:dyDescent="0.3">
      <c r="C24" s="34" t="s">
        <v>278</v>
      </c>
      <c r="D24" s="35" t="s">
        <v>279</v>
      </c>
      <c r="E24" s="36" t="s">
        <v>280</v>
      </c>
      <c r="H24" s="53" t="s">
        <v>283</v>
      </c>
      <c r="I24" s="54"/>
      <c r="J24" s="54"/>
      <c r="K24" s="54"/>
      <c r="L24" s="54"/>
    </row>
    <row r="25" spans="3:12" ht="28.8" x14ac:dyDescent="0.3">
      <c r="C25" s="37" t="str">
        <f>'Master Summary'!H3</f>
        <v>Median Actual Long-Term Growth Rate</v>
      </c>
      <c r="D25" s="12">
        <f>'Master Summary'!H42</f>
        <v>3.4598293206019218E-2</v>
      </c>
      <c r="E25" s="14">
        <f>'Master Summary'!H43</f>
        <v>3.5959844827033516E-2</v>
      </c>
      <c r="H25" s="48" t="s">
        <v>301</v>
      </c>
      <c r="I25" s="49"/>
      <c r="J25" s="49"/>
      <c r="K25" s="49"/>
      <c r="L25" s="49"/>
    </row>
    <row r="26" spans="3:12" ht="28.8" x14ac:dyDescent="0.3">
      <c r="C26" s="37" t="str">
        <f>'Master Summary'!I3</f>
        <v>Median of the Mean Est. Long-Term Growth Rate</v>
      </c>
      <c r="D26" s="12">
        <f>'Master Summary'!I42</f>
        <v>4.8001351351351355E-2</v>
      </c>
      <c r="E26" s="14">
        <f>'Master Summary'!I43</f>
        <v>4.809999999999999E-2</v>
      </c>
      <c r="H26" s="22" t="s">
        <v>297</v>
      </c>
      <c r="I26" s="49"/>
      <c r="J26" s="49"/>
      <c r="K26" s="49"/>
      <c r="L26" s="49"/>
    </row>
    <row r="27" spans="3:12" ht="28.8" x14ac:dyDescent="0.3">
      <c r="C27" s="37" t="str">
        <f>'Master Summary'!J3</f>
        <v>Median of the Median Est. of the Long-Term Growth Rate</v>
      </c>
      <c r="D27" s="12">
        <f>'Master Summary'!J42</f>
        <v>4.6508108108108126E-2</v>
      </c>
      <c r="E27" s="14">
        <f>'Master Summary'!J43</f>
        <v>4.7500000000000001E-2</v>
      </c>
      <c r="H27" s="22" t="s">
        <v>302</v>
      </c>
      <c r="I27" s="49"/>
      <c r="J27" s="49"/>
      <c r="K27" s="49"/>
      <c r="L27" s="49"/>
    </row>
    <row r="28" spans="3:12" ht="28.8" x14ac:dyDescent="0.3">
      <c r="C28" s="37" t="str">
        <f>'Master Summary'!K3</f>
        <v>Forecast Error for Median Mean Est.</v>
      </c>
      <c r="D28" s="12">
        <f>'Master Summary'!K42</f>
        <v>1.7604565787589015</v>
      </c>
      <c r="E28" s="14">
        <f>'Master Summary'!K43</f>
        <v>0.33039595984474701</v>
      </c>
      <c r="H28" s="48" t="s">
        <v>298</v>
      </c>
      <c r="I28" s="49"/>
      <c r="J28" s="49"/>
      <c r="K28" s="49"/>
      <c r="L28" s="49"/>
    </row>
    <row r="29" spans="3:12" ht="28.8" x14ac:dyDescent="0.3">
      <c r="C29" s="44" t="str">
        <f>'Master Summary'!L3</f>
        <v>Forecast Error for Median Median Est.</v>
      </c>
      <c r="D29" s="12">
        <f>'Master Summary'!L42</f>
        <v>1.6839790374269932</v>
      </c>
      <c r="E29" s="14">
        <f>'Master Summary'!L43</f>
        <v>0.29508821144122394</v>
      </c>
      <c r="H29" s="48" t="s">
        <v>299</v>
      </c>
      <c r="I29" s="49"/>
      <c r="J29" s="49"/>
      <c r="K29" s="49"/>
      <c r="L29" s="49"/>
    </row>
    <row r="30" spans="3:12" ht="28.8" x14ac:dyDescent="0.3">
      <c r="C30" s="37" t="str">
        <f>'Master Summary'!M3</f>
        <v>Average Number of Analyst Estimates</v>
      </c>
      <c r="D30" s="38">
        <f>'Master Summary'!M42</f>
        <v>6.0723684386173975</v>
      </c>
      <c r="E30" s="39">
        <f>'Master Summary'!M43</f>
        <v>7.1694915254237293</v>
      </c>
      <c r="H30" s="22" t="s">
        <v>294</v>
      </c>
      <c r="I30" s="49"/>
      <c r="J30" s="49"/>
      <c r="K30" s="49"/>
      <c r="L30" s="49"/>
    </row>
    <row r="31" spans="3:12" ht="28.95" customHeight="1" x14ac:dyDescent="0.3">
      <c r="C31" s="40" t="str">
        <f>'Master Summary'!N3</f>
        <v>Number of Firms</v>
      </c>
      <c r="D31" s="41">
        <f>'Master Summary'!N42</f>
        <v>42.918918918918919</v>
      </c>
      <c r="E31" s="42">
        <f>'Master Summary'!N43</f>
        <v>41</v>
      </c>
      <c r="H31" s="22" t="s">
        <v>295</v>
      </c>
      <c r="I31" s="49"/>
      <c r="J31" s="49"/>
      <c r="K31" s="49"/>
      <c r="L31" s="49"/>
    </row>
  </sheetData>
  <mergeCells count="7">
    <mergeCell ref="H24:L24"/>
    <mergeCell ref="C11:E11"/>
    <mergeCell ref="C22:E22"/>
    <mergeCell ref="H13:L13"/>
    <mergeCell ref="H2:Q2"/>
    <mergeCell ref="C2:F8"/>
    <mergeCell ref="H3:Q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CBA7F-B2A5-48D8-896B-C57EC513794F}">
  <dimension ref="A1:Q36"/>
  <sheetViews>
    <sheetView topLeftCell="D1" workbookViewId="0">
      <selection activeCell="N16" sqref="N16"/>
    </sheetView>
  </sheetViews>
  <sheetFormatPr defaultRowHeight="14.4" x14ac:dyDescent="0.3"/>
  <cols>
    <col min="1" max="1" width="13.33203125" bestFit="1" customWidth="1"/>
    <col min="2" max="2" width="10.44140625" bestFit="1" customWidth="1"/>
    <col min="3" max="3" width="15.109375" bestFit="1" customWidth="1"/>
    <col min="4" max="5" width="15.44140625" bestFit="1" customWidth="1"/>
    <col min="6" max="6" width="14.33203125" bestFit="1" customWidth="1"/>
    <col min="7" max="7" width="16" bestFit="1" customWidth="1"/>
    <col min="8" max="8" width="18.33203125" bestFit="1" customWidth="1"/>
    <col min="9" max="9" width="21.44140625" bestFit="1" customWidth="1"/>
    <col min="10" max="10" width="23.109375" bestFit="1" customWidth="1"/>
    <col min="11" max="11" width="22" bestFit="1" customWidth="1"/>
    <col min="12" max="12" width="24.109375" bestFit="1" customWidth="1"/>
    <col min="13" max="13" width="19.88671875" bestFit="1" customWidth="1"/>
    <col min="14" max="14" width="8.33203125" bestFit="1" customWidth="1"/>
    <col min="16" max="16" width="51.88671875" bestFit="1" customWidth="1"/>
    <col min="17" max="17" width="12" bestFit="1" customWidth="1"/>
  </cols>
  <sheetData>
    <row r="1" spans="1:17" x14ac:dyDescent="0.3">
      <c r="A1" s="4" t="s">
        <v>0</v>
      </c>
      <c r="B1" s="4" t="s">
        <v>1</v>
      </c>
      <c r="C1" s="4" t="s">
        <v>2</v>
      </c>
      <c r="D1" s="4" t="s">
        <v>57</v>
      </c>
      <c r="E1" s="4" t="s">
        <v>58</v>
      </c>
      <c r="F1" s="4" t="s">
        <v>5</v>
      </c>
      <c r="G1" s="4" t="s">
        <v>6</v>
      </c>
      <c r="H1" s="4" t="s">
        <v>7</v>
      </c>
      <c r="I1" s="4" t="s">
        <v>8</v>
      </c>
      <c r="J1" s="4" t="s">
        <v>9</v>
      </c>
      <c r="K1" s="4" t="s">
        <v>10</v>
      </c>
      <c r="L1" s="4" t="s">
        <v>11</v>
      </c>
      <c r="M1" s="4" t="s">
        <v>12</v>
      </c>
      <c r="N1" s="4" t="s">
        <v>13</v>
      </c>
      <c r="P1" s="111" t="s">
        <v>14</v>
      </c>
      <c r="Q1" s="111"/>
    </row>
    <row r="2" spans="1:17" x14ac:dyDescent="0.3">
      <c r="A2" t="s">
        <v>15</v>
      </c>
      <c r="B2" t="str">
        <f>VLOOKUP(A2,[15]WRDS!$A$1:$N$100,2,FALSE)</f>
        <v>UEP</v>
      </c>
      <c r="C2" t="str">
        <f>VLOOKUP(A2,[15]WRDS!$A$1:$N$100,3,FALSE)</f>
        <v>AMEREN CP</v>
      </c>
      <c r="D2">
        <f>VLOOKUP(A2,[15]WRDS!$A$1:$N$100,13,FALSE)</f>
        <v>2.4</v>
      </c>
      <c r="E2">
        <f>VLOOKUP(A2,[16]WRDS!$A$1:$N$100,13,FALSE)</f>
        <v>3.37</v>
      </c>
      <c r="F2" s="1">
        <f>D2*(1+I2)^4</f>
        <v>3.3753806837783999</v>
      </c>
      <c r="G2" s="1">
        <f>D2*(1+J2)^4</f>
        <v>3.3753806837783999</v>
      </c>
      <c r="H2" s="2">
        <f t="shared" ref="H2:H36" si="0">((E2/D2)^(1/4)-1)</f>
        <v>8.8565747451003762E-2</v>
      </c>
      <c r="I2" s="2">
        <f>VLOOKUP(A2,[17]WRDS!$A$1:$O$100,10,FALSE)/100</f>
        <v>8.900000000000001E-2</v>
      </c>
      <c r="J2" s="2">
        <f>VLOOKUP(A2,[17]WRDS!$A$1:$O$100,9,FALSE)/100</f>
        <v>8.900000000000001E-2</v>
      </c>
      <c r="K2" s="2">
        <f t="shared" ref="K2:K36" si="1">(I2-H2)/(ABS(H2))</f>
        <v>4.9031658569412967E-3</v>
      </c>
      <c r="L2" s="2">
        <f t="shared" ref="L2:L36" si="2">(J2-H2)/(ABS(H2))</f>
        <v>4.9031658569412967E-3</v>
      </c>
      <c r="M2">
        <f>VLOOKUP(A2,[17]WRDS!$A$1:$O$100,8,FALSE)</f>
        <v>2</v>
      </c>
      <c r="N2">
        <f>VLOOKUP(A2,[17]WRDS!$A$1:$O$100,11,FALSE)</f>
        <v>1.27</v>
      </c>
      <c r="P2" t="s">
        <v>16</v>
      </c>
      <c r="Q2" s="3">
        <f>AVERAGE(H2:H998)</f>
        <v>5.1409510802084842E-2</v>
      </c>
    </row>
    <row r="3" spans="1:17" x14ac:dyDescent="0.3">
      <c r="A3" t="s">
        <v>21</v>
      </c>
      <c r="B3" t="str">
        <f>VLOOKUP(A3,[15]WRDS!$A$1:$N$100,2,FALSE)</f>
        <v>CMS</v>
      </c>
      <c r="C3" t="str">
        <f>VLOOKUP(A3,[15]WRDS!$A$1:$N$100,3,FALSE)</f>
        <v>CMS ENERGY CORP</v>
      </c>
      <c r="D3">
        <f>VLOOKUP(A3,[15]WRDS!$A$1:$N$100,13,FALSE)</f>
        <v>1.77</v>
      </c>
      <c r="E3">
        <f>VLOOKUP(A3,[16]WRDS!$A$1:$N$100,13,FALSE)</f>
        <v>2.33</v>
      </c>
      <c r="F3" s="1">
        <f t="shared" ref="F3:F36" si="3">D3*(1+I3)^4</f>
        <v>2.2856097769627208</v>
      </c>
      <c r="G3" s="1">
        <f t="shared" ref="G3:G36" si="4">D3*(1+J3)^4</f>
        <v>2.2693581369304008</v>
      </c>
      <c r="H3" s="2">
        <f t="shared" si="0"/>
        <v>7.113858435134035E-2</v>
      </c>
      <c r="I3" s="2">
        <f>VLOOKUP(A3,[17]WRDS!$A$1:$O$100,10,FALSE)/100</f>
        <v>6.6000000000000003E-2</v>
      </c>
      <c r="J3" s="2">
        <f>VLOOKUP(A3,[17]WRDS!$A$1:$O$100,9,FALSE)/100</f>
        <v>6.4100000000000004E-2</v>
      </c>
      <c r="K3" s="2">
        <f t="shared" si="1"/>
        <v>-7.2233435598912488E-2</v>
      </c>
      <c r="L3" s="2">
        <f t="shared" si="2"/>
        <v>-9.8941866998337721E-2</v>
      </c>
      <c r="M3">
        <f>VLOOKUP(A3,[17]WRDS!$A$1:$O$100,8,FALSE)</f>
        <v>3</v>
      </c>
      <c r="N3">
        <f>VLOOKUP(A3,[17]WRDS!$A$1:$O$100,11,FALSE)</f>
        <v>0.34</v>
      </c>
      <c r="P3" t="s">
        <v>18</v>
      </c>
      <c r="Q3" s="3">
        <f>AVERAGE(I2:I998)</f>
        <v>5.4500000000000021E-2</v>
      </c>
    </row>
    <row r="4" spans="1:17" x14ac:dyDescent="0.3">
      <c r="A4" t="s">
        <v>23</v>
      </c>
      <c r="B4" t="str">
        <f>VLOOKUP(A4,[15]WRDS!$A$1:$N$100,2,FALSE)</f>
        <v>HOU</v>
      </c>
      <c r="C4" t="str">
        <f>VLOOKUP(A4,[15]WRDS!$A$1:$N$100,3,FALSE)</f>
        <v>CENTERPOINT ENER</v>
      </c>
      <c r="D4">
        <f>VLOOKUP(A4,[15]WRDS!$A$1:$N$100,13,FALSE)</f>
        <v>1.27</v>
      </c>
      <c r="E4">
        <f>VLOOKUP(A4,[16]WRDS!$A$1:$N$100,13,FALSE)</f>
        <v>1.6</v>
      </c>
      <c r="F4" s="1">
        <f t="shared" si="3"/>
        <v>1.4188783352728993</v>
      </c>
      <c r="G4" s="1">
        <f t="shared" si="4"/>
        <v>1.4188783352728993</v>
      </c>
      <c r="H4" s="2">
        <f t="shared" si="0"/>
        <v>5.9446585030423993E-2</v>
      </c>
      <c r="I4" s="2">
        <f>VLOOKUP(A4,[17]WRDS!$A$1:$O$100,10,FALSE)/100</f>
        <v>2.81E-2</v>
      </c>
      <c r="J4" s="2">
        <f>VLOOKUP(A4,[17]WRDS!$A$1:$O$100,9,FALSE)/100</f>
        <v>2.81E-2</v>
      </c>
      <c r="K4" s="2">
        <f t="shared" si="1"/>
        <v>-0.5273067412431045</v>
      </c>
      <c r="L4" s="2">
        <f t="shared" si="2"/>
        <v>-0.5273067412431045</v>
      </c>
      <c r="M4">
        <f>VLOOKUP(A4,[17]WRDS!$A$1:$O$100,8,FALSE)</f>
        <v>2</v>
      </c>
      <c r="N4">
        <f>VLOOKUP(A4,[17]WRDS!$A$1:$O$100,11,FALSE)</f>
        <v>0.27</v>
      </c>
      <c r="P4" t="s">
        <v>20</v>
      </c>
      <c r="Q4" s="3">
        <f>(Q3-Q2)/ABS(Q2)</f>
        <v>6.0115125580806901E-2</v>
      </c>
    </row>
    <row r="5" spans="1:17" x14ac:dyDescent="0.3">
      <c r="A5" t="s">
        <v>25</v>
      </c>
      <c r="B5" t="str">
        <f>VLOOKUP(A5,[15]WRDS!$A$1:$N$100,2,FALSE)</f>
        <v>D</v>
      </c>
      <c r="C5" t="str">
        <f>VLOOKUP(A5,[15]WRDS!$A$1:$N$100,3,FALSE)</f>
        <v>DOMINION RES INC</v>
      </c>
      <c r="D5">
        <f>VLOOKUP(A5,[15]WRDS!$A$1:$N$100,13,FALSE)</f>
        <v>3.43</v>
      </c>
      <c r="E5">
        <f>VLOOKUP(A5,[16]WRDS!$A$1:$N$100,13,FALSE)</f>
        <v>4.05</v>
      </c>
      <c r="F5" s="1">
        <f t="shared" si="3"/>
        <v>4.4408213309066156</v>
      </c>
      <c r="G5" s="1">
        <f t="shared" si="4"/>
        <v>4.4458192067050284</v>
      </c>
      <c r="H5" s="2">
        <f t="shared" si="0"/>
        <v>4.2413976756194627E-2</v>
      </c>
      <c r="I5" s="2">
        <f>VLOOKUP(A5,[17]WRDS!$A$1:$O$100,10,FALSE)/100</f>
        <v>6.6699999999999995E-2</v>
      </c>
      <c r="J5" s="2">
        <f>VLOOKUP(A5,[17]WRDS!$A$1:$O$100,9,FALSE)/100</f>
        <v>6.7000000000000004E-2</v>
      </c>
      <c r="K5" s="2">
        <f t="shared" si="1"/>
        <v>0.57259481664280298</v>
      </c>
      <c r="L5" s="2">
        <f t="shared" si="2"/>
        <v>0.57966795674764338</v>
      </c>
      <c r="M5">
        <f>VLOOKUP(A5,[17]WRDS!$A$1:$O$100,8,FALSE)</f>
        <v>4</v>
      </c>
      <c r="N5">
        <f>VLOOKUP(A5,[17]WRDS!$A$1:$O$100,11,FALSE)</f>
        <v>0.31</v>
      </c>
      <c r="P5" t="s">
        <v>22</v>
      </c>
      <c r="Q5" s="3">
        <f>AVERAGE(J2:J998)</f>
        <v>5.4091428571428582E-2</v>
      </c>
    </row>
    <row r="6" spans="1:17" x14ac:dyDescent="0.3">
      <c r="A6" t="s">
        <v>27</v>
      </c>
      <c r="B6" t="str">
        <f>VLOOKUP(A6,[15]WRDS!$A$1:$N$100,2,FALSE)</f>
        <v>DTE</v>
      </c>
      <c r="C6" t="str">
        <f>VLOOKUP(A6,[15]WRDS!$A$1:$N$100,3,FALSE)</f>
        <v>DTE ENERGY</v>
      </c>
      <c r="D6">
        <f>VLOOKUP(A6,[15]WRDS!$A$1:$N$100,13,FALSE)</f>
        <v>4.5999999999999996</v>
      </c>
      <c r="E6">
        <f>VLOOKUP(A6,[16]WRDS!$A$1:$N$100,13,FALSE)</f>
        <v>6.3</v>
      </c>
      <c r="F6" s="1">
        <f t="shared" si="3"/>
        <v>5.8447387151719736</v>
      </c>
      <c r="G6" s="1">
        <f t="shared" si="4"/>
        <v>5.7964444192022881</v>
      </c>
      <c r="H6" s="2">
        <f t="shared" si="0"/>
        <v>8.1796767608519394E-2</v>
      </c>
      <c r="I6" s="2">
        <f>VLOOKUP(A6,[17]WRDS!$A$1:$O$100,10,FALSE)/100</f>
        <v>6.1699999999999998E-2</v>
      </c>
      <c r="J6" s="2">
        <f>VLOOKUP(A6,[17]WRDS!$A$1:$O$100,9,FALSE)/100</f>
        <v>5.9500000000000004E-2</v>
      </c>
      <c r="K6" s="2">
        <f t="shared" si="1"/>
        <v>-0.24569146429725486</v>
      </c>
      <c r="L6" s="2">
        <f t="shared" si="2"/>
        <v>-0.27258739263673681</v>
      </c>
      <c r="M6">
        <f>VLOOKUP(A6,[17]WRDS!$A$1:$O$100,8,FALSE)</f>
        <v>4</v>
      </c>
      <c r="N6">
        <f>VLOOKUP(A6,[17]WRDS!$A$1:$O$100,11,FALSE)</f>
        <v>0.56000000000000005</v>
      </c>
      <c r="P6" t="s">
        <v>24</v>
      </c>
      <c r="Q6" s="3">
        <f>(Q5-Q2)/ABS(Q2)</f>
        <v>5.216773564853644E-2</v>
      </c>
    </row>
    <row r="7" spans="1:17" x14ac:dyDescent="0.3">
      <c r="A7" t="s">
        <v>29</v>
      </c>
      <c r="B7" t="str">
        <f>VLOOKUP(A7,[15]WRDS!$A$1:$N$100,2,FALSE)</f>
        <v>DUK</v>
      </c>
      <c r="C7" t="str">
        <f>VLOOKUP(A7,[15]WRDS!$A$1:$N$100,3,FALSE)</f>
        <v>DUKE ENERGY CORP</v>
      </c>
      <c r="D7">
        <f>VLOOKUP(A7,[15]WRDS!$A$1:$N$100,13,FALSE)</f>
        <v>4.55</v>
      </c>
      <c r="E7">
        <f>VLOOKUP(A7,[16]WRDS!$A$1:$N$100,13,FALSE)</f>
        <v>4.72</v>
      </c>
      <c r="F7" s="1">
        <f t="shared" si="3"/>
        <v>5.48644156639328</v>
      </c>
      <c r="G7" s="1">
        <f t="shared" si="4"/>
        <v>5.4780693156464864</v>
      </c>
      <c r="H7" s="2">
        <f t="shared" si="0"/>
        <v>9.2125685277886227E-3</v>
      </c>
      <c r="I7" s="2">
        <f>VLOOKUP(A7,[17]WRDS!$A$1:$O$100,10,FALSE)/100</f>
        <v>4.7899999999999998E-2</v>
      </c>
      <c r="J7" s="2">
        <f>VLOOKUP(A7,[17]WRDS!$A$1:$O$100,9,FALSE)/100</f>
        <v>4.7500000000000001E-2</v>
      </c>
      <c r="K7" s="2">
        <f t="shared" si="1"/>
        <v>4.1994185829408286</v>
      </c>
      <c r="L7" s="2">
        <f t="shared" si="2"/>
        <v>4.1559996386156444</v>
      </c>
      <c r="M7">
        <f>VLOOKUP(A7,[17]WRDS!$A$1:$O$100,8,FALSE)</f>
        <v>5</v>
      </c>
      <c r="N7">
        <f>VLOOKUP(A7,[17]WRDS!$A$1:$O$100,11,FALSE)</f>
        <v>0.42</v>
      </c>
      <c r="P7" s="111" t="s">
        <v>26</v>
      </c>
      <c r="Q7" s="111"/>
    </row>
    <row r="8" spans="1:17" x14ac:dyDescent="0.3">
      <c r="A8" t="s">
        <v>31</v>
      </c>
      <c r="B8" t="str">
        <f>VLOOKUP(A8,[15]WRDS!$A$1:$N$100,2,FALSE)</f>
        <v>ED</v>
      </c>
      <c r="C8" t="str">
        <f>VLOOKUP(A8,[15]WRDS!$A$1:$N$100,3,FALSE)</f>
        <v>CONSOLIDATED EDI</v>
      </c>
      <c r="D8">
        <f>VLOOKUP(A8,[15]WRDS!$A$1:$N$100,13,FALSE)</f>
        <v>3.89</v>
      </c>
      <c r="E8">
        <f>VLOOKUP(A8,[16]WRDS!$A$1:$N$100,13,FALSE)</f>
        <v>4.33</v>
      </c>
      <c r="F8" s="1">
        <f t="shared" si="3"/>
        <v>4.2737597263154461</v>
      </c>
      <c r="G8" s="1">
        <f t="shared" si="4"/>
        <v>4.2938321445312493</v>
      </c>
      <c r="H8" s="2">
        <f t="shared" si="0"/>
        <v>2.7151663306045348E-2</v>
      </c>
      <c r="I8" s="2">
        <f>VLOOKUP(A8,[17]WRDS!$A$1:$O$100,10,FALSE)/100</f>
        <v>2.3799999999999998E-2</v>
      </c>
      <c r="J8" s="2">
        <f>VLOOKUP(A8,[17]WRDS!$A$1:$O$100,9,FALSE)/100</f>
        <v>2.5000000000000001E-2</v>
      </c>
      <c r="K8" s="2">
        <f t="shared" si="1"/>
        <v>-0.12344228301104111</v>
      </c>
      <c r="L8" s="2">
        <f t="shared" si="2"/>
        <v>-7.9246095599832977E-2</v>
      </c>
      <c r="M8">
        <f>VLOOKUP(A8,[17]WRDS!$A$1:$O$100,8,FALSE)</f>
        <v>3</v>
      </c>
      <c r="N8">
        <f>VLOOKUP(A8,[17]WRDS!$A$1:$O$100,11,FALSE)</f>
        <v>0.39</v>
      </c>
      <c r="P8" t="s">
        <v>28</v>
      </c>
      <c r="Q8" s="2">
        <f>MEDIAN(H2:H98)</f>
        <v>4.7427145361279566E-2</v>
      </c>
    </row>
    <row r="9" spans="1:17" x14ac:dyDescent="0.3">
      <c r="A9" t="s">
        <v>33</v>
      </c>
      <c r="B9" t="str">
        <f>VLOOKUP(A9,[15]WRDS!$A$1:$N$100,2,FALSE)</f>
        <v>SCE</v>
      </c>
      <c r="C9" t="str">
        <f>VLOOKUP(A9,[15]WRDS!$A$1:$N$100,3,FALSE)</f>
        <v>EDISON INTL</v>
      </c>
      <c r="D9">
        <f>VLOOKUP(A9,[15]WRDS!$A$1:$N$100,13,FALSE)</f>
        <v>4.59</v>
      </c>
      <c r="E9">
        <f>VLOOKUP(A9,[16]WRDS!$A$1:$N$100,13,FALSE)</f>
        <v>4.1500000000000004</v>
      </c>
      <c r="F9" s="1">
        <f t="shared" si="3"/>
        <v>5.242745750032336</v>
      </c>
      <c r="G9" s="1">
        <f t="shared" si="4"/>
        <v>4.8238390964355462</v>
      </c>
      <c r="H9" s="2">
        <f t="shared" si="0"/>
        <v>-2.487822900778347E-2</v>
      </c>
      <c r="I9" s="2">
        <f>VLOOKUP(A9,[17]WRDS!$A$1:$O$100,10,FALSE)/100</f>
        <v>3.3799999999999997E-2</v>
      </c>
      <c r="J9" s="2">
        <f>VLOOKUP(A9,[17]WRDS!$A$1:$O$100,9,FALSE)/100</f>
        <v>1.2500000000000001E-2</v>
      </c>
      <c r="K9" s="2">
        <f t="shared" si="1"/>
        <v>2.3586176085695345</v>
      </c>
      <c r="L9" s="2">
        <f t="shared" si="2"/>
        <v>1.5024473404473129</v>
      </c>
      <c r="M9">
        <f>VLOOKUP(A9,[17]WRDS!$A$1:$O$100,8,FALSE)</f>
        <v>3</v>
      </c>
      <c r="N9">
        <f>VLOOKUP(A9,[17]WRDS!$A$1:$O$100,11,FALSE)</f>
        <v>4</v>
      </c>
      <c r="P9" t="s">
        <v>30</v>
      </c>
      <c r="Q9" s="2">
        <f>MEDIAN(I2:I99)</f>
        <v>0.05</v>
      </c>
    </row>
    <row r="10" spans="1:17" x14ac:dyDescent="0.3">
      <c r="A10" t="s">
        <v>59</v>
      </c>
      <c r="B10" t="str">
        <f>VLOOKUP(A10,[15]WRDS!$A$1:$N$100,2,FALSE)</f>
        <v>MSU</v>
      </c>
      <c r="C10" t="str">
        <f>VLOOKUP(A10,[15]WRDS!$A$1:$N$100,3,FALSE)</f>
        <v>ENTERGY CP</v>
      </c>
      <c r="D10">
        <f>VLOOKUP(A10,[15]WRDS!$A$1:$N$100,13,FALSE)</f>
        <v>5.83</v>
      </c>
      <c r="E10">
        <f>VLOOKUP(A10,[16]WRDS!$A$1:$N$100,13,FALSE)</f>
        <v>7.31</v>
      </c>
      <c r="F10" s="1">
        <f t="shared" si="3"/>
        <v>5.9214814304678161</v>
      </c>
      <c r="G10" s="1">
        <f t="shared" si="4"/>
        <v>6.0619174815715056</v>
      </c>
      <c r="H10" s="2">
        <f t="shared" si="0"/>
        <v>5.8186472969750547E-2</v>
      </c>
      <c r="I10" s="2">
        <f>VLOOKUP(A10,[17]WRDS!$A$1:$O$100,10,FALSE)/100</f>
        <v>3.9000000000000003E-3</v>
      </c>
      <c r="J10" s="2">
        <f>VLOOKUP(A10,[17]WRDS!$A$1:$O$100,9,FALSE)/100</f>
        <v>9.7999999999999997E-3</v>
      </c>
      <c r="K10" s="2">
        <f t="shared" si="1"/>
        <v>-0.93297411235034822</v>
      </c>
      <c r="L10" s="2">
        <f t="shared" si="2"/>
        <v>-0.83157597462395194</v>
      </c>
      <c r="M10">
        <f>VLOOKUP(A10,[17]WRDS!$A$1:$O$100,8,FALSE)</f>
        <v>4</v>
      </c>
      <c r="N10">
        <f>VLOOKUP(A10,[17]WRDS!$A$1:$O$100,11,FALSE)</f>
        <v>2.72</v>
      </c>
      <c r="P10" t="s">
        <v>32</v>
      </c>
      <c r="Q10" s="2">
        <f>(Q9-Q8)/ABS(Q8)</f>
        <v>5.4248566282485242E-2</v>
      </c>
    </row>
    <row r="11" spans="1:17" x14ac:dyDescent="0.3">
      <c r="A11" t="s">
        <v>35</v>
      </c>
      <c r="B11" t="str">
        <f>VLOOKUP(A11,[15]WRDS!$A$1:$N$100,2,FALSE)</f>
        <v>PE</v>
      </c>
      <c r="C11" t="str">
        <f>VLOOKUP(A11,[15]WRDS!$A$1:$N$100,3,FALSE)</f>
        <v>EXELON CORP</v>
      </c>
      <c r="D11">
        <f>VLOOKUP(A11,[15]WRDS!$A$1:$N$100,13,FALSE)</f>
        <v>2.39</v>
      </c>
      <c r="E11">
        <f>VLOOKUP(A11,[16]WRDS!$A$1:$N$100,13,FALSE)</f>
        <v>3.12</v>
      </c>
      <c r="F11" s="1">
        <f t="shared" si="3"/>
        <v>2.7182826241663181</v>
      </c>
      <c r="G11" s="1">
        <f t="shared" si="4"/>
        <v>2.7182826241663181</v>
      </c>
      <c r="H11" s="2">
        <f t="shared" si="0"/>
        <v>6.8905159241863023E-2</v>
      </c>
      <c r="I11" s="2">
        <f>VLOOKUP(A11,[17]WRDS!$A$1:$O$100,10,FALSE)/100</f>
        <v>3.27E-2</v>
      </c>
      <c r="J11" s="2">
        <f>VLOOKUP(A11,[17]WRDS!$A$1:$O$100,9,FALSE)/100</f>
        <v>3.27E-2</v>
      </c>
      <c r="K11" s="2">
        <f t="shared" si="1"/>
        <v>-0.52543466469295586</v>
      </c>
      <c r="L11" s="2">
        <f t="shared" si="2"/>
        <v>-0.52543466469295586</v>
      </c>
      <c r="M11">
        <f>VLOOKUP(A11,[17]WRDS!$A$1:$O$100,8,FALSE)</f>
        <v>1</v>
      </c>
      <c r="N11">
        <f>VLOOKUP(A11,[17]WRDS!$A$1:$O$100,11,FALSE)</f>
        <v>0</v>
      </c>
      <c r="P11" t="s">
        <v>34</v>
      </c>
      <c r="Q11" s="2">
        <f>MEDIAN(J2:J98)</f>
        <v>0.05</v>
      </c>
    </row>
    <row r="12" spans="1:17" x14ac:dyDescent="0.3">
      <c r="A12" t="s">
        <v>36</v>
      </c>
      <c r="B12" t="str">
        <f>VLOOKUP(A12,[15]WRDS!$A$1:$N$100,2,FALSE)</f>
        <v>HE</v>
      </c>
      <c r="C12" t="str">
        <f>VLOOKUP(A12,[15]WRDS!$A$1:$N$100,3,FALSE)</f>
        <v>HAWAIIAN ELEC</v>
      </c>
      <c r="D12">
        <f>VLOOKUP(A12,[15]WRDS!$A$1:$N$100,13,FALSE)</f>
        <v>1.68</v>
      </c>
      <c r="E12">
        <f>VLOOKUP(A12,[16]WRDS!$A$1:$N$100,13,FALSE)</f>
        <v>1.85</v>
      </c>
      <c r="F12" s="1">
        <f t="shared" si="3"/>
        <v>1.916687036787706</v>
      </c>
      <c r="G12" s="1">
        <f t="shared" si="4"/>
        <v>1.9578141902608788</v>
      </c>
      <c r="H12" s="2">
        <f t="shared" si="0"/>
        <v>2.4390663738321328E-2</v>
      </c>
      <c r="I12" s="2">
        <f>VLOOKUP(A12,[17]WRDS!$A$1:$O$100,10,FALSE)/100</f>
        <v>3.3500000000000002E-2</v>
      </c>
      <c r="J12" s="2">
        <f>VLOOKUP(A12,[17]WRDS!$A$1:$O$100,9,FALSE)/100</f>
        <v>3.9E-2</v>
      </c>
      <c r="K12" s="2">
        <f t="shared" si="1"/>
        <v>0.37347635797899853</v>
      </c>
      <c r="L12" s="2">
        <f t="shared" si="2"/>
        <v>0.59897247645316232</v>
      </c>
      <c r="M12">
        <f>VLOOKUP(A12,[17]WRDS!$A$1:$O$100,8,FALSE)</f>
        <v>3</v>
      </c>
      <c r="N12">
        <f>VLOOKUP(A12,[17]WRDS!$A$1:$O$100,11,FALSE)</f>
        <v>1.04</v>
      </c>
      <c r="P12" t="s">
        <v>32</v>
      </c>
      <c r="Q12" s="2">
        <f>(Q11-Q8)/ABS(Q8)</f>
        <v>5.4248566282485242E-2</v>
      </c>
    </row>
    <row r="13" spans="1:17" x14ac:dyDescent="0.3">
      <c r="A13" t="s">
        <v>38</v>
      </c>
      <c r="B13" t="str">
        <f>VLOOKUP(A13,[15]WRDS!$A$1:$N$100,2,FALSE)</f>
        <v>IDA</v>
      </c>
      <c r="C13" t="str">
        <f>VLOOKUP(A13,[15]WRDS!$A$1:$N$100,3,FALSE)</f>
        <v>IDACORP INC.</v>
      </c>
      <c r="D13">
        <f>VLOOKUP(A13,[15]WRDS!$A$1:$N$100,13,FALSE)</f>
        <v>3.85</v>
      </c>
      <c r="E13">
        <f>VLOOKUP(A13,[16]WRDS!$A$1:$N$100,13,FALSE)</f>
        <v>4.49</v>
      </c>
      <c r="F13" s="1">
        <f t="shared" si="3"/>
        <v>4.5039554560000008</v>
      </c>
      <c r="G13" s="1">
        <f t="shared" si="4"/>
        <v>4.5039554560000008</v>
      </c>
      <c r="H13" s="2">
        <f t="shared" si="0"/>
        <v>3.9193455127957799E-2</v>
      </c>
      <c r="I13" s="2">
        <f>VLOOKUP(A13,[17]WRDS!$A$1:$O$100,10,FALSE)/100</f>
        <v>0.04</v>
      </c>
      <c r="J13" s="2">
        <f>VLOOKUP(A13,[17]WRDS!$A$1:$O$100,9,FALSE)/100</f>
        <v>0.04</v>
      </c>
      <c r="K13" s="2">
        <f t="shared" si="1"/>
        <v>2.0578560104206542E-2</v>
      </c>
      <c r="L13" s="2">
        <f t="shared" si="2"/>
        <v>2.0578560104206542E-2</v>
      </c>
      <c r="M13">
        <f>VLOOKUP(A13,[17]WRDS!$A$1:$O$100,8,FALSE)</f>
        <v>1</v>
      </c>
      <c r="N13">
        <f>VLOOKUP(A13,[17]WRDS!$A$1:$O$100,11,FALSE)</f>
        <v>0</v>
      </c>
      <c r="P13" s="111" t="s">
        <v>37</v>
      </c>
      <c r="Q13" s="111"/>
    </row>
    <row r="14" spans="1:17" x14ac:dyDescent="0.3">
      <c r="A14" t="s">
        <v>40</v>
      </c>
      <c r="B14" t="str">
        <f>VLOOKUP(A14,[15]WRDS!$A$1:$N$100,2,FALSE)</f>
        <v>WPL</v>
      </c>
      <c r="C14" t="str">
        <f>VLOOKUP(A14,[15]WRDS!$A$1:$N$100,3,FALSE)</f>
        <v>ALLIANT ENER</v>
      </c>
      <c r="D14">
        <f>VLOOKUP(A14,[15]WRDS!$A$1:$N$100,13,FALSE)</f>
        <v>1.74</v>
      </c>
      <c r="E14">
        <f>VLOOKUP(A14,[16]WRDS!$A$1:$N$100,13,FALSE)</f>
        <v>2.17</v>
      </c>
      <c r="F14" s="1">
        <f t="shared" si="3"/>
        <v>2.1069353077937398</v>
      </c>
      <c r="G14" s="1">
        <f t="shared" si="4"/>
        <v>2.1069353077937398</v>
      </c>
      <c r="H14" s="2">
        <f t="shared" si="0"/>
        <v>5.6763054236724342E-2</v>
      </c>
      <c r="I14" s="2">
        <f>VLOOKUP(A14,[17]WRDS!$A$1:$O$100,10,FALSE)/100</f>
        <v>4.9000000000000002E-2</v>
      </c>
      <c r="J14" s="2">
        <f>VLOOKUP(A14,[17]WRDS!$A$1:$O$100,9,FALSE)/100</f>
        <v>4.9000000000000002E-2</v>
      </c>
      <c r="K14" s="2">
        <f t="shared" si="1"/>
        <v>-0.13676244770673085</v>
      </c>
      <c r="L14" s="2">
        <f t="shared" si="2"/>
        <v>-0.13676244770673085</v>
      </c>
      <c r="M14">
        <f>VLOOKUP(A14,[17]WRDS!$A$1:$O$100,8,FALSE)</f>
        <v>2</v>
      </c>
      <c r="N14">
        <f>VLOOKUP(A14,[17]WRDS!$A$1:$O$100,11,FALSE)</f>
        <v>0.14000000000000001</v>
      </c>
      <c r="P14" t="s">
        <v>39</v>
      </c>
      <c r="Q14" s="1">
        <f>AVERAGE(M2:M1001)</f>
        <v>2.4857142857142858</v>
      </c>
    </row>
    <row r="15" spans="1:17" x14ac:dyDescent="0.3">
      <c r="A15" t="s">
        <v>42</v>
      </c>
      <c r="B15" t="str">
        <f>VLOOKUP(A15,[15]WRDS!$A$1:$N$100,2,FALSE)</f>
        <v>FPL</v>
      </c>
      <c r="C15" t="str">
        <f>VLOOKUP(A15,[15]WRDS!$A$1:$N$100,3,FALSE)</f>
        <v>NEXTERA ENERGY I</v>
      </c>
      <c r="D15">
        <f>VLOOKUP(A15,[15]WRDS!$A$1:$N$100,13,FALSE)</f>
        <v>1.325</v>
      </c>
      <c r="E15">
        <f>VLOOKUP(A15,[16]WRDS!$A$1:$N$100,13,FALSE)</f>
        <v>1.925</v>
      </c>
      <c r="F15" s="1">
        <f t="shared" si="3"/>
        <v>1.7161210023008082</v>
      </c>
      <c r="G15" s="1">
        <f t="shared" si="4"/>
        <v>1.6981747930112006</v>
      </c>
      <c r="H15" s="2">
        <f t="shared" si="0"/>
        <v>9.7877068201100759E-2</v>
      </c>
      <c r="I15" s="2">
        <f>VLOOKUP(A15,[17]WRDS!$A$1:$O$100,10,FALSE)/100</f>
        <v>6.6799999999999998E-2</v>
      </c>
      <c r="J15" s="2">
        <f>VLOOKUP(A15,[17]WRDS!$A$1:$O$100,9,FALSE)/100</f>
        <v>6.4000000000000001E-2</v>
      </c>
      <c r="K15" s="2">
        <f t="shared" si="1"/>
        <v>-0.31751122885341243</v>
      </c>
      <c r="L15" s="2">
        <f t="shared" si="2"/>
        <v>-0.34611854261404784</v>
      </c>
      <c r="M15">
        <f>VLOOKUP(A15,[17]WRDS!$A$1:$O$100,8,FALSE)</f>
        <v>5</v>
      </c>
      <c r="N15">
        <f>VLOOKUP(A15,[17]WRDS!$A$1:$O$100,11,FALSE)</f>
        <v>0.64</v>
      </c>
      <c r="P15" t="s">
        <v>41</v>
      </c>
      <c r="Q15" s="1">
        <f>COUNT(N2:N1001)</f>
        <v>35</v>
      </c>
    </row>
    <row r="16" spans="1:17" x14ac:dyDescent="0.3">
      <c r="A16" t="s">
        <v>43</v>
      </c>
      <c r="B16" t="str">
        <f>VLOOKUP(A16,[15]WRDS!$A$1:$N$100,2,FALSE)</f>
        <v>NWPS</v>
      </c>
      <c r="C16" t="str">
        <f>VLOOKUP(A16,[15]WRDS!$A$1:$N$100,3,FALSE)</f>
        <v>NORTHWESTERN CP</v>
      </c>
      <c r="D16">
        <f>VLOOKUP(A16,[15]WRDS!$A$1:$N$100,13,FALSE)</f>
        <v>2.46</v>
      </c>
      <c r="E16">
        <f>VLOOKUP(A16,[16]WRDS!$A$1:$N$100,13,FALSE)</f>
        <v>3.39</v>
      </c>
      <c r="F16" s="1">
        <f t="shared" si="3"/>
        <v>3.2305896221572539</v>
      </c>
      <c r="G16" s="1">
        <f t="shared" si="4"/>
        <v>3.2305896221572539</v>
      </c>
      <c r="H16" s="2">
        <f t="shared" si="0"/>
        <v>8.3468146508436813E-2</v>
      </c>
      <c r="I16" s="2">
        <f>VLOOKUP(A16,[17]WRDS!$A$1:$O$100,10,FALSE)/100</f>
        <v>7.0499999999999993E-2</v>
      </c>
      <c r="J16" s="2">
        <f>VLOOKUP(A16,[17]WRDS!$A$1:$O$100,9,FALSE)/100</f>
        <v>7.0499999999999993E-2</v>
      </c>
      <c r="K16" s="2">
        <f t="shared" si="1"/>
        <v>-0.15536641282822811</v>
      </c>
      <c r="L16" s="2">
        <f t="shared" si="2"/>
        <v>-0.15536641282822811</v>
      </c>
      <c r="M16">
        <f>VLOOKUP(A16,[17]WRDS!$A$1:$O$100,8,FALSE)</f>
        <v>2</v>
      </c>
      <c r="N16">
        <f>VLOOKUP(A16,[17]WRDS!$A$1:$O$100,11,FALSE)</f>
        <v>4.3099999999999996</v>
      </c>
    </row>
    <row r="17" spans="1:14" x14ac:dyDescent="0.3">
      <c r="A17" t="s">
        <v>44</v>
      </c>
      <c r="B17" t="str">
        <f>VLOOKUP(A17,[15]WRDS!$A$1:$N$100,2,FALSE)</f>
        <v>OGE</v>
      </c>
      <c r="C17" t="str">
        <f>VLOOKUP(A17,[15]WRDS!$A$1:$N$100,3,FALSE)</f>
        <v>OGE ENERGY CORP</v>
      </c>
      <c r="D17">
        <f>VLOOKUP(A17,[15]WRDS!$A$1:$N$100,13,FALSE)</f>
        <v>1.98</v>
      </c>
      <c r="E17">
        <f>VLOOKUP(A17,[16]WRDS!$A$1:$N$100,13,FALSE)</f>
        <v>2.12</v>
      </c>
      <c r="F17" s="1">
        <f t="shared" si="3"/>
        <v>2.6002306714924237</v>
      </c>
      <c r="G17" s="1">
        <f t="shared" si="4"/>
        <v>2.6002306714924237</v>
      </c>
      <c r="H17" s="2">
        <f t="shared" si="0"/>
        <v>1.7226504944423349E-2</v>
      </c>
      <c r="I17" s="2">
        <f>VLOOKUP(A17,[17]WRDS!$A$1:$O$100,10,FALSE)/100</f>
        <v>7.0499999999999993E-2</v>
      </c>
      <c r="J17" s="2">
        <f>VLOOKUP(A17,[17]WRDS!$A$1:$O$100,9,FALSE)/100</f>
        <v>7.0499999999999993E-2</v>
      </c>
      <c r="K17" s="2">
        <f t="shared" si="1"/>
        <v>3.0925306803352823</v>
      </c>
      <c r="L17" s="2">
        <f t="shared" si="2"/>
        <v>3.0925306803352823</v>
      </c>
      <c r="M17">
        <f>VLOOKUP(A17,[17]WRDS!$A$1:$O$100,8,FALSE)</f>
        <v>2</v>
      </c>
      <c r="N17">
        <f>VLOOKUP(A17,[17]WRDS!$A$1:$O$100,11,FALSE)</f>
        <v>7.0000000000000007E-2</v>
      </c>
    </row>
    <row r="18" spans="1:14" x14ac:dyDescent="0.3">
      <c r="A18" t="s">
        <v>45</v>
      </c>
      <c r="B18" t="str">
        <f>VLOOKUP(A18,[15]WRDS!$A$1:$N$100,2,FALSE)</f>
        <v>PCG</v>
      </c>
      <c r="C18" t="str">
        <f>VLOOKUP(A18,[15]WRDS!$A$1:$N$100,3,FALSE)</f>
        <v>P G &amp; E CORP</v>
      </c>
      <c r="D18">
        <f>VLOOKUP(A18,[15]WRDS!$A$1:$N$100,13,FALSE)</f>
        <v>3.5</v>
      </c>
      <c r="E18">
        <f>VLOOKUP(A18,[16]WRDS!$A$1:$N$100,13,FALSE)</f>
        <v>4</v>
      </c>
      <c r="F18" s="1">
        <f t="shared" si="3"/>
        <v>4.8522939041949389</v>
      </c>
      <c r="G18" s="1">
        <f t="shared" si="4"/>
        <v>4.7793718375234997</v>
      </c>
      <c r="H18" s="2">
        <f t="shared" si="0"/>
        <v>3.3946307914341167E-2</v>
      </c>
      <c r="I18" s="2">
        <f>VLOOKUP(A18,[17]WRDS!$A$1:$O$100,10,FALSE)/100</f>
        <v>8.5099999999999995E-2</v>
      </c>
      <c r="J18" s="2">
        <f>VLOOKUP(A18,[17]WRDS!$A$1:$O$100,9,FALSE)/100</f>
        <v>8.1000000000000003E-2</v>
      </c>
      <c r="K18" s="2">
        <f t="shared" si="1"/>
        <v>1.5069000203126102</v>
      </c>
      <c r="L18" s="2">
        <f t="shared" si="2"/>
        <v>1.3861210534115329</v>
      </c>
      <c r="M18">
        <f>VLOOKUP(A18,[17]WRDS!$A$1:$O$100,8,FALSE)</f>
        <v>4</v>
      </c>
      <c r="N18">
        <f>VLOOKUP(A18,[17]WRDS!$A$1:$O$100,11,FALSE)</f>
        <v>0.89</v>
      </c>
    </row>
    <row r="19" spans="1:14" x14ac:dyDescent="0.3">
      <c r="A19" t="s">
        <v>46</v>
      </c>
      <c r="B19" t="str">
        <f>VLOOKUP(A19,[15]WRDS!$A$1:$N$100,2,FALSE)</f>
        <v>PEG</v>
      </c>
      <c r="C19" t="str">
        <f>VLOOKUP(A19,[15]WRDS!$A$1:$N$100,3,FALSE)</f>
        <v>PUB SVC ENTERS</v>
      </c>
      <c r="D19">
        <f>VLOOKUP(A19,[15]WRDS!$A$1:$N$100,13,FALSE)</f>
        <v>2.76</v>
      </c>
      <c r="E19">
        <f>VLOOKUP(A19,[16]WRDS!$A$1:$N$100,13,FALSE)</f>
        <v>3.12</v>
      </c>
      <c r="F19" s="1">
        <f t="shared" si="3"/>
        <v>3.0667849982250588</v>
      </c>
      <c r="G19" s="1">
        <f t="shared" si="4"/>
        <v>3.0667849982250588</v>
      </c>
      <c r="H19" s="2">
        <f t="shared" si="0"/>
        <v>3.1125145723054359E-2</v>
      </c>
      <c r="I19" s="2">
        <f>VLOOKUP(A19,[17]WRDS!$A$1:$O$100,10,FALSE)/100</f>
        <v>2.6699999999999998E-2</v>
      </c>
      <c r="J19" s="2">
        <f>VLOOKUP(A19,[17]WRDS!$A$1:$O$100,9,FALSE)/100</f>
        <v>2.6699999999999998E-2</v>
      </c>
      <c r="K19" s="2">
        <f t="shared" si="1"/>
        <v>-0.14217269093062143</v>
      </c>
      <c r="L19" s="2">
        <f t="shared" si="2"/>
        <v>-0.14217269093062143</v>
      </c>
      <c r="M19">
        <f>VLOOKUP(A19,[17]WRDS!$A$1:$O$100,8,FALSE)</f>
        <v>2</v>
      </c>
      <c r="N19">
        <f>VLOOKUP(A19,[17]WRDS!$A$1:$O$100,11,FALSE)</f>
        <v>0.95</v>
      </c>
    </row>
    <row r="20" spans="1:14" x14ac:dyDescent="0.3">
      <c r="A20" t="s">
        <v>47</v>
      </c>
      <c r="B20" t="str">
        <f>VLOOKUP(A20,[15]WRDS!$A$1:$N$100,2,FALSE)</f>
        <v>PNM</v>
      </c>
      <c r="C20" t="str">
        <f>VLOOKUP(A20,[15]WRDS!$A$1:$N$100,3,FALSE)</f>
        <v>PNM RESOURCES</v>
      </c>
      <c r="D20">
        <f>VLOOKUP(A20,[15]WRDS!$A$1:$N$100,13,FALSE)</f>
        <v>1.49</v>
      </c>
      <c r="E20">
        <f>VLOOKUP(A20,[16]WRDS!$A$1:$N$100,13,FALSE)</f>
        <v>2</v>
      </c>
      <c r="F20" s="1">
        <f t="shared" si="3"/>
        <v>2.1704243201200599</v>
      </c>
      <c r="G20" s="1">
        <f t="shared" si="4"/>
        <v>2.1704243201200599</v>
      </c>
      <c r="H20" s="2">
        <f t="shared" si="0"/>
        <v>7.6368381515819372E-2</v>
      </c>
      <c r="I20" s="2">
        <f>VLOOKUP(A20,[17]WRDS!$A$1:$O$100,10,FALSE)/100</f>
        <v>9.8599999999999993E-2</v>
      </c>
      <c r="J20" s="2">
        <f>VLOOKUP(A20,[17]WRDS!$A$1:$O$100,9,FALSE)/100</f>
        <v>9.8599999999999993E-2</v>
      </c>
      <c r="K20" s="2">
        <f t="shared" si="1"/>
        <v>0.29111024802293917</v>
      </c>
      <c r="L20" s="2">
        <f t="shared" si="2"/>
        <v>0.29111024802293917</v>
      </c>
      <c r="M20">
        <f>VLOOKUP(A20,[17]WRDS!$A$1:$O$100,8,FALSE)</f>
        <v>2</v>
      </c>
      <c r="N20">
        <f>VLOOKUP(A20,[17]WRDS!$A$1:$O$100,11,FALSE)</f>
        <v>1.9</v>
      </c>
    </row>
    <row r="21" spans="1:14" x14ac:dyDescent="0.3">
      <c r="A21" t="s">
        <v>48</v>
      </c>
      <c r="B21" t="str">
        <f>VLOOKUP(A21,[15]WRDS!$A$1:$N$100,2,FALSE)</f>
        <v>AZP</v>
      </c>
      <c r="C21" t="str">
        <f>VLOOKUP(A21,[15]WRDS!$A$1:$N$100,3,FALSE)</f>
        <v>PINNACLE WST CAP</v>
      </c>
      <c r="D21">
        <f>VLOOKUP(A21,[15]WRDS!$A$1:$N$100,13,FALSE)</f>
        <v>3.58</v>
      </c>
      <c r="E21">
        <f>VLOOKUP(A21,[16]WRDS!$A$1:$N$100,13,FALSE)</f>
        <v>4.54</v>
      </c>
      <c r="F21" s="1">
        <f t="shared" si="3"/>
        <v>4.1240322069452802</v>
      </c>
      <c r="G21" s="1">
        <f t="shared" si="4"/>
        <v>4.1880936448000012</v>
      </c>
      <c r="H21" s="2">
        <f t="shared" si="0"/>
        <v>6.1190141103788065E-2</v>
      </c>
      <c r="I21" s="2">
        <f>VLOOKUP(A21,[17]WRDS!$A$1:$O$100,10,FALSE)/100</f>
        <v>3.6000000000000004E-2</v>
      </c>
      <c r="J21" s="2">
        <f>VLOOKUP(A21,[17]WRDS!$A$1:$O$100,9,FALSE)/100</f>
        <v>0.04</v>
      </c>
      <c r="K21" s="2">
        <f t="shared" si="1"/>
        <v>-0.41166992998204782</v>
      </c>
      <c r="L21" s="2">
        <f t="shared" si="2"/>
        <v>-0.34629992220227546</v>
      </c>
      <c r="M21">
        <f>VLOOKUP(A21,[17]WRDS!$A$1:$O$100,8,FALSE)</f>
        <v>3</v>
      </c>
      <c r="N21">
        <f>VLOOKUP(A21,[17]WRDS!$A$1:$O$100,11,FALSE)</f>
        <v>0.87</v>
      </c>
    </row>
    <row r="22" spans="1:14" x14ac:dyDescent="0.3">
      <c r="A22" t="s">
        <v>49</v>
      </c>
      <c r="B22" t="str">
        <f>VLOOKUP(A22,[15]WRDS!$A$1:$N$100,2,FALSE)</f>
        <v>POM</v>
      </c>
      <c r="C22" t="str">
        <f>VLOOKUP(A22,[15]WRDS!$A$1:$N$100,3,FALSE)</f>
        <v>PEPCO HOLDINGS</v>
      </c>
      <c r="D22">
        <f>VLOOKUP(A22,[15]WRDS!$A$1:$N$100,13,FALSE)</f>
        <v>1.27</v>
      </c>
      <c r="E22">
        <f>VLOOKUP(A22,[16]WRDS!$A$1:$N$100,13,FALSE)</f>
        <v>3.61</v>
      </c>
      <c r="F22" s="1">
        <f t="shared" si="3"/>
        <v>1.7150578132811203</v>
      </c>
      <c r="G22" s="1">
        <f t="shared" si="4"/>
        <v>1.7150578132811203</v>
      </c>
      <c r="H22" s="2">
        <f t="shared" si="0"/>
        <v>0.29845191204396015</v>
      </c>
      <c r="I22" s="2">
        <f>VLOOKUP(A22,[17]WRDS!$A$1:$O$100,10,FALSE)/100</f>
        <v>7.8E-2</v>
      </c>
      <c r="J22" s="2">
        <f>VLOOKUP(A22,[17]WRDS!$A$1:$O$100,9,FALSE)/100</f>
        <v>7.8E-2</v>
      </c>
      <c r="K22" s="2">
        <f t="shared" si="1"/>
        <v>-0.73865136441641865</v>
      </c>
      <c r="L22" s="2">
        <f t="shared" si="2"/>
        <v>-0.73865136441641865</v>
      </c>
      <c r="M22">
        <f>VLOOKUP(A22,[17]WRDS!$A$1:$O$100,8,FALSE)</f>
        <v>1</v>
      </c>
      <c r="N22">
        <f>VLOOKUP(A22,[17]WRDS!$A$1:$O$100,11,FALSE)</f>
        <v>0</v>
      </c>
    </row>
    <row r="23" spans="1:14" x14ac:dyDescent="0.3">
      <c r="A23" t="s">
        <v>50</v>
      </c>
      <c r="B23" t="str">
        <f>VLOOKUP(A23,[15]WRDS!$A$1:$N$100,2,FALSE)</f>
        <v>PORO</v>
      </c>
      <c r="C23" t="str">
        <f>VLOOKUP(A23,[15]WRDS!$A$1:$N$100,3,FALSE)</f>
        <v>PORTLAND GENERAL</v>
      </c>
      <c r="D23">
        <f>VLOOKUP(A23,[15]WRDS!$A$1:$N$100,13,FALSE)</f>
        <v>2.1800000000000002</v>
      </c>
      <c r="E23">
        <f>VLOOKUP(A23,[16]WRDS!$A$1:$N$100,13,FALSE)</f>
        <v>2.37</v>
      </c>
      <c r="F23" s="1">
        <f t="shared" si="3"/>
        <v>2.9625718990398218</v>
      </c>
      <c r="G23" s="1">
        <f t="shared" si="4"/>
        <v>2.9548964912565796</v>
      </c>
      <c r="H23" s="2">
        <f t="shared" si="0"/>
        <v>2.111101977796892E-2</v>
      </c>
      <c r="I23" s="2">
        <f>VLOOKUP(A23,[17]WRDS!$A$1:$O$100,10,FALSE)/100</f>
        <v>7.9699999999999993E-2</v>
      </c>
      <c r="J23" s="2">
        <f>VLOOKUP(A23,[17]WRDS!$A$1:$O$100,9,FALSE)/100</f>
        <v>7.9000000000000001E-2</v>
      </c>
      <c r="K23" s="2">
        <f t="shared" si="1"/>
        <v>2.7752794909118261</v>
      </c>
      <c r="L23" s="2">
        <f t="shared" si="2"/>
        <v>2.7421214527231403</v>
      </c>
      <c r="M23">
        <f>VLOOKUP(A23,[17]WRDS!$A$1:$O$100,8,FALSE)</f>
        <v>3</v>
      </c>
      <c r="N23">
        <f>VLOOKUP(A23,[17]WRDS!$A$1:$O$100,11,FALSE)</f>
        <v>3</v>
      </c>
    </row>
    <row r="24" spans="1:14" x14ac:dyDescent="0.3">
      <c r="A24" t="s">
        <v>53</v>
      </c>
      <c r="B24" t="str">
        <f>VLOOKUP(A24,[15]WRDS!$A$1:$N$100,2,FALSE)</f>
        <v>SO</v>
      </c>
      <c r="C24" t="str">
        <f>VLOOKUP(A24,[15]WRDS!$A$1:$N$100,3,FALSE)</f>
        <v>SOUTHN CO</v>
      </c>
      <c r="D24">
        <f>VLOOKUP(A24,[15]WRDS!$A$1:$N$100,13,FALSE)</f>
        <v>2.8</v>
      </c>
      <c r="E24">
        <f>VLOOKUP(A24,[16]WRDS!$A$1:$N$100,13,FALSE)</f>
        <v>3.07</v>
      </c>
      <c r="F24" s="1">
        <f t="shared" si="3"/>
        <v>3.1932422012123181</v>
      </c>
      <c r="G24" s="1">
        <f t="shared" si="4"/>
        <v>3.1636810450587989</v>
      </c>
      <c r="H24" s="2">
        <f t="shared" si="0"/>
        <v>2.328141396466199E-2</v>
      </c>
      <c r="I24" s="2">
        <f>VLOOKUP(A24,[17]WRDS!$A$1:$O$100,10,FALSE)/100</f>
        <v>3.3399999999999999E-2</v>
      </c>
      <c r="J24" s="2">
        <f>VLOOKUP(A24,[17]WRDS!$A$1:$O$100,9,FALSE)/100</f>
        <v>3.1E-2</v>
      </c>
      <c r="K24" s="2">
        <f t="shared" si="1"/>
        <v>0.43462076876845379</v>
      </c>
      <c r="L24" s="2">
        <f t="shared" si="2"/>
        <v>0.33153424646173857</v>
      </c>
      <c r="M24">
        <f>VLOOKUP(A24,[17]WRDS!$A$1:$O$100,8,FALSE)</f>
        <v>5</v>
      </c>
      <c r="N24">
        <f>VLOOKUP(A24,[17]WRDS!$A$1:$O$100,11,FALSE)</f>
        <v>0.59</v>
      </c>
    </row>
    <row r="25" spans="1:14" x14ac:dyDescent="0.3">
      <c r="A25" t="s">
        <v>54</v>
      </c>
      <c r="B25" t="str">
        <f>VLOOKUP(A25,[15]WRDS!$A$1:$N$100,2,FALSE)</f>
        <v>SDO</v>
      </c>
      <c r="C25" t="str">
        <f>VLOOKUP(A25,[15]WRDS!$A$1:$N$100,3,FALSE)</f>
        <v>SEMPRA ENERGY</v>
      </c>
      <c r="D25">
        <f>VLOOKUP(A25,[15]WRDS!$A$1:$N$100,13,FALSE)</f>
        <v>4.71</v>
      </c>
      <c r="E25">
        <f>VLOOKUP(A25,[16]WRDS!$A$1:$N$100,13,FALSE)</f>
        <v>5.57</v>
      </c>
      <c r="F25" s="1">
        <f t="shared" si="3"/>
        <v>6.3393540951755067</v>
      </c>
      <c r="G25" s="1">
        <f t="shared" si="4"/>
        <v>6.4126509150773465</v>
      </c>
      <c r="H25" s="2">
        <f t="shared" si="0"/>
        <v>4.2818127567607611E-2</v>
      </c>
      <c r="I25" s="2">
        <f>VLOOKUP(A25,[17]WRDS!$A$1:$O$100,10,FALSE)/100</f>
        <v>7.7100000000000002E-2</v>
      </c>
      <c r="J25" s="2">
        <f>VLOOKUP(A25,[17]WRDS!$A$1:$O$100,9,FALSE)/100</f>
        <v>8.0199999999999994E-2</v>
      </c>
      <c r="K25" s="2">
        <f t="shared" si="1"/>
        <v>0.80063922408244226</v>
      </c>
      <c r="L25" s="2">
        <f t="shared" si="2"/>
        <v>0.87303846655527706</v>
      </c>
      <c r="M25">
        <f>VLOOKUP(A25,[17]WRDS!$A$1:$O$100,8,FALSE)</f>
        <v>4</v>
      </c>
      <c r="N25">
        <f>VLOOKUP(A25,[17]WRDS!$A$1:$O$100,11,FALSE)</f>
        <v>1.35</v>
      </c>
    </row>
    <row r="26" spans="1:14" x14ac:dyDescent="0.3">
      <c r="A26" t="s">
        <v>55</v>
      </c>
      <c r="B26" t="str">
        <f>VLOOKUP(A26,[15]WRDS!$A$1:$N$100,2,FALSE)</f>
        <v>WPC</v>
      </c>
      <c r="C26" t="str">
        <f>VLOOKUP(A26,[15]WRDS!$A$1:$N$100,3,FALSE)</f>
        <v>WISCONSIN ENERGY</v>
      </c>
      <c r="D26">
        <f>VLOOKUP(A26,[15]WRDS!$A$1:$N$100,13,FALSE)</f>
        <v>2.59</v>
      </c>
      <c r="E26">
        <f>VLOOKUP(A26,[16]WRDS!$A$1:$N$100,13,FALSE)</f>
        <v>3.34</v>
      </c>
      <c r="F26" s="1">
        <f t="shared" si="3"/>
        <v>3.2231789396130552</v>
      </c>
      <c r="G26" s="1">
        <f t="shared" si="4"/>
        <v>3.2698153264000007</v>
      </c>
      <c r="H26" s="2">
        <f t="shared" si="0"/>
        <v>6.564285078505927E-2</v>
      </c>
      <c r="I26" s="2">
        <f>VLOOKUP(A26,[17]WRDS!$A$1:$O$100,10,FALSE)/100</f>
        <v>5.62E-2</v>
      </c>
      <c r="J26" s="2">
        <f>VLOOKUP(A26,[17]WRDS!$A$1:$O$100,9,FALSE)/100</f>
        <v>0.06</v>
      </c>
      <c r="K26" s="2">
        <f t="shared" si="1"/>
        <v>-0.14385193013598555</v>
      </c>
      <c r="L26" s="2">
        <f t="shared" si="2"/>
        <v>-8.5962914735927667E-2</v>
      </c>
      <c r="M26">
        <f>VLOOKUP(A26,[17]WRDS!$A$1:$O$100,8,FALSE)</f>
        <v>3</v>
      </c>
      <c r="N26">
        <f>VLOOKUP(A26,[17]WRDS!$A$1:$O$100,11,FALSE)</f>
        <v>0.65</v>
      </c>
    </row>
    <row r="27" spans="1:14" x14ac:dyDescent="0.3">
      <c r="A27" t="s">
        <v>56</v>
      </c>
      <c r="B27" t="str">
        <f>VLOOKUP(A27,[15]WRDS!$A$1:$N$100,2,FALSE)</f>
        <v>NSP</v>
      </c>
      <c r="C27" t="str">
        <f>VLOOKUP(A27,[15]WRDS!$A$1:$N$100,3,FALSE)</f>
        <v>XCEL ENERGY INC</v>
      </c>
      <c r="D27">
        <f>VLOOKUP(A27,[15]WRDS!$A$1:$N$100,13,FALSE)</f>
        <v>2.0299999999999998</v>
      </c>
      <c r="E27">
        <f>VLOOKUP(A27,[16]WRDS!$A$1:$N$100,13,FALSE)</f>
        <v>2.4700000000000002</v>
      </c>
      <c r="F27" s="1">
        <f t="shared" si="3"/>
        <v>2.4050984999058387</v>
      </c>
      <c r="G27" s="1">
        <f t="shared" si="4"/>
        <v>2.3839599548148294</v>
      </c>
      <c r="H27" s="2">
        <f t="shared" si="0"/>
        <v>5.0268230743462317E-2</v>
      </c>
      <c r="I27" s="2">
        <f>VLOOKUP(A27,[17]WRDS!$A$1:$O$100,10,FALSE)/100</f>
        <v>4.3299999999999998E-2</v>
      </c>
      <c r="J27" s="2">
        <f>VLOOKUP(A27,[17]WRDS!$A$1:$O$100,9,FALSE)/100</f>
        <v>4.0999999999999995E-2</v>
      </c>
      <c r="K27" s="2">
        <f t="shared" si="1"/>
        <v>-0.13862096676972421</v>
      </c>
      <c r="L27" s="2">
        <f t="shared" si="2"/>
        <v>-0.18437551126001606</v>
      </c>
      <c r="M27">
        <f>VLOOKUP(A27,[17]WRDS!$A$1:$O$100,8,FALSE)</f>
        <v>3</v>
      </c>
      <c r="N27">
        <f>VLOOKUP(A27,[17]WRDS!$A$1:$O$100,11,FALSE)</f>
        <v>0.59</v>
      </c>
    </row>
    <row r="28" spans="1:14" x14ac:dyDescent="0.3">
      <c r="A28" s="22" t="s">
        <v>132</v>
      </c>
      <c r="B28" t="str">
        <f>VLOOKUP(A28,'[5]Ticker List'!$H$4:$I$20,2,FALSE)</f>
        <v>EGAS</v>
      </c>
      <c r="C28" t="str">
        <f>VLOOKUP(A28,[18]WRDS!$B$1:$N$10,2,FALSE)</f>
        <v>ATMOS ENERGY CP</v>
      </c>
      <c r="D28">
        <f>VLOOKUP(A28,[19]WRDS!$B$1:$N$13,12,FALSE)</f>
        <v>3.1</v>
      </c>
      <c r="E28">
        <f>VLOOKUP(A28,[18]WRDS!$B$1:$N$10,12,FALSE)</f>
        <v>4.3499999999999996</v>
      </c>
      <c r="F28" s="1">
        <f t="shared" si="3"/>
        <v>4.063467631</v>
      </c>
      <c r="G28" s="1">
        <f t="shared" si="4"/>
        <v>4.063467631</v>
      </c>
      <c r="H28" s="2">
        <f t="shared" si="0"/>
        <v>8.8383353566745759E-2</v>
      </c>
      <c r="I28" s="2">
        <f>VLOOKUP(A28,[20]nscselnbj6assu4q!$B$1:$N$100,9,FALSE)/100</f>
        <v>7.0000000000000007E-2</v>
      </c>
      <c r="J28" s="2">
        <f>VLOOKUP(A28,[20]nscselnbj6assu4q!$B$1:$N$100,8,FALSE)/100</f>
        <v>7.0000000000000007E-2</v>
      </c>
      <c r="K28" s="2">
        <f t="shared" si="1"/>
        <v>-0.20799565557175792</v>
      </c>
      <c r="L28" s="2">
        <f t="shared" si="2"/>
        <v>-0.20799565557175792</v>
      </c>
      <c r="M28">
        <f>VLOOKUP(A28,[20]nscselnbj6assu4q!$B$1:$N$100,7,FALSE)</f>
        <v>2</v>
      </c>
      <c r="N28">
        <f>VLOOKUP(A28,[20]nscselnbj6assu4q!$B$1:$N$100,10,FALSE)</f>
        <v>0</v>
      </c>
    </row>
    <row r="29" spans="1:14" x14ac:dyDescent="0.3">
      <c r="A29" s="22" t="s">
        <v>133</v>
      </c>
      <c r="B29" t="str">
        <f>VLOOKUP(A29,'[5]Ticker List'!$H$4:$I$20,2,FALSE)</f>
        <v>CHPK</v>
      </c>
      <c r="C29" t="str">
        <f>VLOOKUP(A29,[18]WRDS!$B$1:$N$10,2,FALSE)</f>
        <v>CHESAPEAKE US</v>
      </c>
      <c r="D29">
        <f>VLOOKUP(A29,[19]WRDS!$B$1:$N$13,12,FALSE)</f>
        <v>2.75</v>
      </c>
      <c r="E29">
        <f>VLOOKUP(A29,[18]WRDS!$B$1:$N$10,12,FALSE)</f>
        <v>3.31</v>
      </c>
      <c r="F29" s="1">
        <f t="shared" si="3"/>
        <v>3.3426421875000001</v>
      </c>
      <c r="G29" s="1">
        <f t="shared" si="4"/>
        <v>3.3426421875000001</v>
      </c>
      <c r="H29" s="2">
        <f t="shared" si="0"/>
        <v>4.7427145361279566E-2</v>
      </c>
      <c r="I29" s="2">
        <f>VLOOKUP(A29,[20]nscselnbj6assu4q!$B$1:$N$100,9,FALSE)/100</f>
        <v>0.05</v>
      </c>
      <c r="J29" s="2">
        <f>VLOOKUP(A29,[20]nscselnbj6assu4q!$B$1:$N$100,8,FALSE)/100</f>
        <v>0.05</v>
      </c>
      <c r="K29" s="2">
        <f t="shared" si="1"/>
        <v>5.4248566282485242E-2</v>
      </c>
      <c r="L29" s="2">
        <f t="shared" si="2"/>
        <v>5.4248566282485242E-2</v>
      </c>
      <c r="M29">
        <f>VLOOKUP(A29,[20]nscselnbj6assu4q!$B$1:$N$100,7,FALSE)</f>
        <v>1</v>
      </c>
      <c r="N29">
        <f>VLOOKUP(A29,[20]nscselnbj6assu4q!$B$1:$N$100,10,FALSE)</f>
        <v>0</v>
      </c>
    </row>
    <row r="30" spans="1:14" x14ac:dyDescent="0.3">
      <c r="A30" s="22" t="s">
        <v>134</v>
      </c>
      <c r="B30" t="str">
        <f>VLOOKUP(A30,'[5]Ticker List'!$H$4:$I$20,2,FALSE)</f>
        <v>NJR</v>
      </c>
      <c r="C30" t="str">
        <f>VLOOKUP(A30,[18]WRDS!$B$1:$N$10,2,FALSE)</f>
        <v>NEW JERSEY RES</v>
      </c>
      <c r="D30">
        <f>VLOOKUP(A30,[19]WRDS!$B$1:$N$13,12,FALSE)</f>
        <v>1.76</v>
      </c>
      <c r="E30">
        <f>VLOOKUP(A30,[18]WRDS!$B$1:$N$10,12,FALSE)</f>
        <v>1.96</v>
      </c>
      <c r="F30" s="1">
        <f t="shared" si="3"/>
        <v>1.9963259722137598</v>
      </c>
      <c r="G30" s="1">
        <f t="shared" si="4"/>
        <v>1.9963259722137598</v>
      </c>
      <c r="H30" s="2">
        <f t="shared" si="0"/>
        <v>2.7272946213503957E-2</v>
      </c>
      <c r="I30" s="2">
        <f>VLOOKUP(A30,[20]nscselnbj6assu4q!$B$1:$N$100,9,FALSE)/100</f>
        <v>3.2000000000000001E-2</v>
      </c>
      <c r="J30" s="2">
        <f>VLOOKUP(A30,[20]nscselnbj6assu4q!$B$1:$N$100,8,FALSE)/100</f>
        <v>3.2000000000000001E-2</v>
      </c>
      <c r="K30" s="2">
        <f t="shared" si="1"/>
        <v>0.17332391409020143</v>
      </c>
      <c r="L30" s="2">
        <f t="shared" si="2"/>
        <v>0.17332391409020143</v>
      </c>
      <c r="M30">
        <f>VLOOKUP(A30,[20]nscselnbj6assu4q!$B$1:$N$100,7,FALSE)</f>
        <v>1</v>
      </c>
      <c r="N30">
        <f>VLOOKUP(A30,[20]nscselnbj6assu4q!$B$1:$N$100,10,FALSE)</f>
        <v>0</v>
      </c>
    </row>
    <row r="31" spans="1:14" x14ac:dyDescent="0.3">
      <c r="A31" s="22" t="s">
        <v>135</v>
      </c>
      <c r="B31" t="str">
        <f>VLOOKUP(A31,'[5]Ticker List'!$H$4:$I$20,2,FALSE)</f>
        <v>NI</v>
      </c>
      <c r="C31" t="str">
        <f>VLOOKUP(A31,[18]WRDS!$B$1:$N$10,2,FALSE)</f>
        <v>NISOURCE</v>
      </c>
      <c r="D31">
        <f>VLOOKUP(A31,[19]WRDS!$B$1:$N$13,12,FALSE)</f>
        <v>1.72</v>
      </c>
      <c r="E31">
        <f>VLOOKUP(A31,[18]WRDS!$B$1:$N$10,12,FALSE)</f>
        <v>1.3</v>
      </c>
      <c r="F31" s="1">
        <f t="shared" si="3"/>
        <v>2.5550813999923205</v>
      </c>
      <c r="G31" s="1">
        <f t="shared" si="4"/>
        <v>2.5550813999923205</v>
      </c>
      <c r="H31" s="2">
        <f t="shared" si="0"/>
        <v>-6.7596862253273216E-2</v>
      </c>
      <c r="I31" s="2">
        <f>VLOOKUP(A31,[20]nscselnbj6assu4q!$B$1:$N$100,9,FALSE)/100</f>
        <v>0.10400000000000001</v>
      </c>
      <c r="J31" s="2">
        <f>VLOOKUP(A31,[20]nscselnbj6assu4q!$B$1:$N$100,8,FALSE)/100</f>
        <v>0.10400000000000001</v>
      </c>
      <c r="K31" s="2">
        <f t="shared" si="1"/>
        <v>2.5385329515788886</v>
      </c>
      <c r="L31" s="2">
        <f t="shared" si="2"/>
        <v>2.5385329515788886</v>
      </c>
      <c r="M31">
        <f>VLOOKUP(A31,[20]nscselnbj6assu4q!$B$1:$N$100,7,FALSE)</f>
        <v>1</v>
      </c>
      <c r="N31">
        <f>VLOOKUP(A31,[20]nscselnbj6assu4q!$B$1:$N$100,10,FALSE)</f>
        <v>0</v>
      </c>
    </row>
    <row r="32" spans="1:14" x14ac:dyDescent="0.3">
      <c r="A32" s="22" t="s">
        <v>136</v>
      </c>
      <c r="B32" t="str">
        <f>VLOOKUP(A32,'[5]Ticker List'!$H$4:$I$20,2,FALSE)</f>
        <v>NWNG</v>
      </c>
      <c r="C32" t="str">
        <f>VLOOKUP(A32,[18]WRDS!$B$1:$N$10,2,FALSE)</f>
        <v>NORTHWEST NATRL</v>
      </c>
      <c r="D32">
        <f>VLOOKUP(A32,[19]WRDS!$B$1:$N$13,12,FALSE)</f>
        <v>2.16</v>
      </c>
      <c r="E32">
        <f>VLOOKUP(A32,[18]WRDS!$B$1:$N$10,12,FALSE)</f>
        <v>2.2400000000000002</v>
      </c>
      <c r="F32" s="1">
        <f t="shared" si="3"/>
        <v>2.5268944896000005</v>
      </c>
      <c r="G32" s="1">
        <f t="shared" si="4"/>
        <v>2.5268944896000005</v>
      </c>
      <c r="H32" s="2">
        <f t="shared" si="0"/>
        <v>9.1333680116969518E-3</v>
      </c>
      <c r="I32" s="2">
        <f>VLOOKUP(A32,[20]nscselnbj6assu4q!$B$1:$N$100,9,FALSE)/100</f>
        <v>0.04</v>
      </c>
      <c r="J32" s="2">
        <f>VLOOKUP(A32,[20]nscselnbj6assu4q!$B$1:$N$100,8,FALSE)/100</f>
        <v>0.04</v>
      </c>
      <c r="K32" s="2">
        <f t="shared" si="1"/>
        <v>3.379545415094702</v>
      </c>
      <c r="L32" s="2">
        <f t="shared" si="2"/>
        <v>3.379545415094702</v>
      </c>
      <c r="M32">
        <f>VLOOKUP(A32,[20]nscselnbj6assu4q!$B$1:$N$100,7,FALSE)</f>
        <v>1</v>
      </c>
      <c r="N32">
        <f>VLOOKUP(A32,[20]nscselnbj6assu4q!$B$1:$N$100,10,FALSE)</f>
        <v>0</v>
      </c>
    </row>
    <row r="33" spans="1:14" x14ac:dyDescent="0.3">
      <c r="A33" s="22" t="s">
        <v>137</v>
      </c>
      <c r="B33" t="str">
        <f>VLOOKUP(A33,'[5]Ticker List'!$H$4:$I$20,2,FALSE)</f>
        <v>OGSW</v>
      </c>
      <c r="C33" t="str">
        <f>VLOOKUP(A33,[18]WRDS!$B$1:$N$10,2,FALSE)</f>
        <v>ONE GAS INC</v>
      </c>
      <c r="D33">
        <f>VLOOKUP(A33,[19]WRDS!$B$1:$N$13,12,FALSE)</f>
        <v>2.0699999999999998</v>
      </c>
      <c r="E33">
        <f>VLOOKUP(A33,[18]WRDS!$B$1:$N$10,12,FALSE)</f>
        <v>3.25</v>
      </c>
      <c r="F33" s="1">
        <f t="shared" si="3"/>
        <v>2.5160979374999997</v>
      </c>
      <c r="G33" s="1">
        <f t="shared" si="4"/>
        <v>2.5160979374999997</v>
      </c>
      <c r="H33" s="2">
        <f t="shared" si="0"/>
        <v>0.11938183205144703</v>
      </c>
      <c r="I33" s="2">
        <f>VLOOKUP(A33,[20]nscselnbj6assu4q!$B$1:$N$100,9,FALSE)/100</f>
        <v>0.05</v>
      </c>
      <c r="J33" s="2">
        <f>VLOOKUP(A33,[20]nscselnbj6assu4q!$B$1:$N$100,8,FALSE)/100</f>
        <v>0.05</v>
      </c>
      <c r="K33" s="2">
        <f t="shared" si="1"/>
        <v>-0.58117580254210921</v>
      </c>
      <c r="L33" s="2">
        <f t="shared" si="2"/>
        <v>-0.58117580254210921</v>
      </c>
      <c r="M33">
        <f>VLOOKUP(A33,[20]nscselnbj6assu4q!$B$1:$N$100,7,FALSE)</f>
        <v>1</v>
      </c>
      <c r="N33">
        <f>VLOOKUP(A33,[20]nscselnbj6assu4q!$B$1:$N$100,10,FALSE)</f>
        <v>0</v>
      </c>
    </row>
    <row r="34" spans="1:14" x14ac:dyDescent="0.3">
      <c r="A34" s="22" t="s">
        <v>138</v>
      </c>
      <c r="B34" t="str">
        <f>VLOOKUP(A34,'[5]Ticker List'!$H$4:$I$20,2,FALSE)</f>
        <v>SJI</v>
      </c>
      <c r="C34" t="str">
        <f>VLOOKUP(A34,[18]WRDS!$B$1:$N$10,2,FALSE)</f>
        <v>SO JERSEY INDS</v>
      </c>
      <c r="D34">
        <f>VLOOKUP(A34,[19]WRDS!$B$1:$N$13,12,FALSE)</f>
        <v>1.5649999999999999</v>
      </c>
      <c r="E34">
        <f>VLOOKUP(A34,[18]WRDS!$B$1:$N$10,12,FALSE)</f>
        <v>1.38</v>
      </c>
      <c r="F34" s="1">
        <f t="shared" si="3"/>
        <v>2.0513957556499998</v>
      </c>
      <c r="G34" s="1">
        <f t="shared" si="4"/>
        <v>2.0513957556499998</v>
      </c>
      <c r="H34" s="2">
        <f t="shared" si="0"/>
        <v>-3.0961155998291301E-2</v>
      </c>
      <c r="I34" s="2">
        <f>VLOOKUP(A34,[20]nscselnbj6assu4q!$B$1:$N$100,9,FALSE)/100</f>
        <v>7.0000000000000007E-2</v>
      </c>
      <c r="J34" s="2">
        <f>VLOOKUP(A34,[20]nscselnbj6assu4q!$B$1:$N$100,8,FALSE)/100</f>
        <v>7.0000000000000007E-2</v>
      </c>
      <c r="K34" s="2">
        <f t="shared" si="1"/>
        <v>3.260897493745492</v>
      </c>
      <c r="L34" s="2">
        <f t="shared" si="2"/>
        <v>3.260897493745492</v>
      </c>
      <c r="M34">
        <f>VLOOKUP(A34,[20]nscselnbj6assu4q!$B$1:$N$100,7,FALSE)</f>
        <v>1</v>
      </c>
      <c r="N34">
        <f>VLOOKUP(A34,[20]nscselnbj6assu4q!$B$1:$N$100,10,FALSE)</f>
        <v>0</v>
      </c>
    </row>
    <row r="35" spans="1:14" x14ac:dyDescent="0.3">
      <c r="A35" s="22" t="s">
        <v>139</v>
      </c>
      <c r="B35" t="str">
        <f>VLOOKUP(A35,'[5]Ticker List'!$H$4:$I$20,2,FALSE)</f>
        <v>SWX</v>
      </c>
      <c r="C35" t="str">
        <f>VLOOKUP(A35,[18]WRDS!$B$1:$N$10,2,FALSE)</f>
        <v>SOUTHWEST HOLDG</v>
      </c>
      <c r="D35">
        <f>VLOOKUP(A35,[19]WRDS!$B$1:$N$13,12,FALSE)</f>
        <v>2.9</v>
      </c>
      <c r="E35">
        <f>VLOOKUP(A35,[18]WRDS!$B$1:$N$10,12,FALSE)</f>
        <v>3.68</v>
      </c>
      <c r="F35" s="1">
        <f t="shared" si="3"/>
        <v>3.3925898240000003</v>
      </c>
      <c r="G35" s="1">
        <f t="shared" si="4"/>
        <v>3.3925898240000003</v>
      </c>
      <c r="H35" s="2">
        <f t="shared" si="0"/>
        <v>6.1359362303876841E-2</v>
      </c>
      <c r="I35" s="2">
        <f>VLOOKUP(A35,[20]nscselnbj6assu4q!$B$1:$N$100,9,FALSE)/100</f>
        <v>0.04</v>
      </c>
      <c r="J35" s="2">
        <f>VLOOKUP(A35,[20]nscselnbj6assu4q!$B$1:$N$100,8,FALSE)/100</f>
        <v>0.04</v>
      </c>
      <c r="K35" s="2">
        <f t="shared" si="1"/>
        <v>-0.34810274262787277</v>
      </c>
      <c r="L35" s="2">
        <f t="shared" si="2"/>
        <v>-0.34810274262787277</v>
      </c>
      <c r="M35">
        <f>VLOOKUP(A35,[20]nscselnbj6assu4q!$B$1:$N$100,7,FALSE)</f>
        <v>1</v>
      </c>
      <c r="N35">
        <f>VLOOKUP(A35,[20]nscselnbj6assu4q!$B$1:$N$100,10,FALSE)</f>
        <v>0</v>
      </c>
    </row>
    <row r="36" spans="1:14" x14ac:dyDescent="0.3">
      <c r="A36" s="22" t="s">
        <v>140</v>
      </c>
      <c r="B36" t="str">
        <f>VLOOKUP(A36,'[5]Ticker List'!$H$4:$I$20,2,FALSE)</f>
        <v>LG</v>
      </c>
      <c r="C36" t="str">
        <f>VLOOKUP(A36,[18]WRDS!$B$1:$N$10,2,FALSE)</f>
        <v>SPIRE INC</v>
      </c>
      <c r="D36">
        <v>3.19</v>
      </c>
      <c r="E36">
        <f>VLOOKUP(A36,[18]WRDS!$B$1:$N$10,12,FALSE)</f>
        <v>3.73</v>
      </c>
      <c r="F36" s="1">
        <f t="shared" si="3"/>
        <v>3.9294235425804502</v>
      </c>
      <c r="G36" s="1">
        <f t="shared" si="4"/>
        <v>3.9294235425804502</v>
      </c>
      <c r="H36" s="2">
        <f t="shared" si="0"/>
        <v>3.9871168684149971E-2</v>
      </c>
      <c r="I36" s="2">
        <v>5.3499999999999999E-2</v>
      </c>
      <c r="J36" s="2">
        <v>5.3499999999999999E-2</v>
      </c>
      <c r="K36" s="2">
        <f t="shared" si="1"/>
        <v>0.34182171643410875</v>
      </c>
      <c r="L36" s="2">
        <f t="shared" si="2"/>
        <v>0.34182171643410875</v>
      </c>
      <c r="M36">
        <v>2</v>
      </c>
      <c r="N36">
        <v>0.49</v>
      </c>
    </row>
  </sheetData>
  <mergeCells count="3">
    <mergeCell ref="P1:Q1"/>
    <mergeCell ref="P7:Q7"/>
    <mergeCell ref="P13:Q1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DA779-9F5B-47E8-80C7-EEC1EFC7AF99}">
  <dimension ref="A1:Q35"/>
  <sheetViews>
    <sheetView workbookViewId="0">
      <selection activeCell="A28" sqref="A28"/>
    </sheetView>
  </sheetViews>
  <sheetFormatPr defaultRowHeight="14.4" x14ac:dyDescent="0.3"/>
  <cols>
    <col min="1" max="1" width="13.33203125" bestFit="1" customWidth="1"/>
    <col min="2" max="2" width="10.44140625" bestFit="1" customWidth="1"/>
    <col min="3" max="3" width="15.109375" bestFit="1" customWidth="1"/>
    <col min="4" max="5" width="15.44140625" bestFit="1" customWidth="1"/>
    <col min="6" max="6" width="14.33203125" bestFit="1" customWidth="1"/>
    <col min="7" max="7" width="16" bestFit="1" customWidth="1"/>
    <col min="8" max="8" width="18.33203125" bestFit="1" customWidth="1"/>
    <col min="9" max="9" width="21.44140625" bestFit="1" customWidth="1"/>
    <col min="10" max="10" width="23.109375" bestFit="1" customWidth="1"/>
    <col min="11" max="11" width="22" bestFit="1" customWidth="1"/>
    <col min="12" max="12" width="24.109375" bestFit="1" customWidth="1"/>
    <col min="13" max="13" width="19.88671875" bestFit="1" customWidth="1"/>
    <col min="14" max="14" width="8.33203125" bestFit="1" customWidth="1"/>
    <col min="16" max="16" width="51.88671875" bestFit="1" customWidth="1"/>
    <col min="17" max="17" width="12" bestFit="1" customWidth="1"/>
  </cols>
  <sheetData>
    <row r="1" spans="1:17" x14ac:dyDescent="0.3">
      <c r="A1" s="4" t="s">
        <v>0</v>
      </c>
      <c r="B1" s="4" t="s">
        <v>1</v>
      </c>
      <c r="C1" s="4" t="s">
        <v>2</v>
      </c>
      <c r="D1" s="4" t="s">
        <v>61</v>
      </c>
      <c r="E1" s="4" t="s">
        <v>62</v>
      </c>
      <c r="F1" s="4" t="s">
        <v>5</v>
      </c>
      <c r="G1" s="4" t="s">
        <v>6</v>
      </c>
      <c r="H1" s="4" t="s">
        <v>7</v>
      </c>
      <c r="I1" s="4" t="s">
        <v>8</v>
      </c>
      <c r="J1" s="4" t="s">
        <v>9</v>
      </c>
      <c r="K1" s="4" t="s">
        <v>10</v>
      </c>
      <c r="L1" s="4" t="s">
        <v>11</v>
      </c>
      <c r="M1" s="4" t="s">
        <v>12</v>
      </c>
      <c r="N1" s="4" t="s">
        <v>13</v>
      </c>
      <c r="P1" s="111" t="s">
        <v>14</v>
      </c>
      <c r="Q1" s="111"/>
    </row>
    <row r="2" spans="1:17" x14ac:dyDescent="0.3">
      <c r="A2" t="s">
        <v>15</v>
      </c>
      <c r="B2" t="str">
        <f>VLOOKUP(A2,[21]WRDS!$A$1:$N$100,2,FALSE)</f>
        <v>UEP</v>
      </c>
      <c r="C2" t="str">
        <f>VLOOKUP(A2,[21]WRDS!$A$1:$N$100,3,FALSE)</f>
        <v>AMEREN CP</v>
      </c>
      <c r="D2">
        <f>VLOOKUP(A2,[21]WRDS!$A$1:$N$100,13,FALSE)</f>
        <v>2.1</v>
      </c>
      <c r="E2">
        <f>VLOOKUP(A2,[22]WRDS!$A$1:$N$100,13,FALSE)</f>
        <v>2.83</v>
      </c>
      <c r="F2" s="1">
        <f>D2*(1+I2)^4</f>
        <v>2.2731075359999999</v>
      </c>
      <c r="G2" s="1">
        <f>D2*(1+J2)^4</f>
        <v>2.2731075359999999</v>
      </c>
      <c r="H2" s="2">
        <f t="shared" ref="H2:H35" si="0">((E2/D2)^(1/4)-1)</f>
        <v>7.7436751244100543E-2</v>
      </c>
      <c r="I2" s="2">
        <f>VLOOKUP(A2,[23]WRDS!$A$1:$O$100,10,FALSE)/100</f>
        <v>0.02</v>
      </c>
      <c r="J2" s="2">
        <f>VLOOKUP(A2,[23]WRDS!$A$1:$O$100,9,FALSE)/100</f>
        <v>0.02</v>
      </c>
      <c r="K2" s="2">
        <f t="shared" ref="K2:K35" si="1">(I2-H2)/(ABS(H2))</f>
        <v>-0.74172470204806418</v>
      </c>
      <c r="L2" s="2">
        <f t="shared" ref="L2:L35" si="2">(J2-H2)/(ABS(H2))</f>
        <v>-0.74172470204806418</v>
      </c>
      <c r="M2">
        <f>VLOOKUP(A2,[23]WRDS!$A$1:$O$100,8,FALSE)</f>
        <v>1</v>
      </c>
      <c r="N2">
        <f>VLOOKUP(A2,[23]WRDS!$A$1:$O$100,11,FALSE)</f>
        <v>0</v>
      </c>
      <c r="P2" t="s">
        <v>16</v>
      </c>
      <c r="Q2" s="3">
        <f>AVERAGE(H2:H999)</f>
        <v>4.515305896613931E-2</v>
      </c>
    </row>
    <row r="3" spans="1:17" x14ac:dyDescent="0.3">
      <c r="A3" t="s">
        <v>17</v>
      </c>
      <c r="B3" t="str">
        <f>VLOOKUP(A3,[21]WRDS!$A$1:$N$100,2,FALSE)</f>
        <v>MPL</v>
      </c>
      <c r="C3" t="str">
        <f>VLOOKUP(A3,[21]WRDS!$A$1:$N$100,3,FALSE)</f>
        <v>ALLETE INC</v>
      </c>
      <c r="D3">
        <f>VLOOKUP(A3,[21]WRDS!$A$1:$N$100,13,FALSE)</f>
        <v>2.63</v>
      </c>
      <c r="E3">
        <f>VLOOKUP(A3,[22]WRDS!$A$1:$N$100,13,FALSE)</f>
        <v>3.19</v>
      </c>
      <c r="F3" s="1">
        <f t="shared" ref="F3:F35" si="3">D3*(1+I3)^4</f>
        <v>3.3203144048000008</v>
      </c>
      <c r="G3" s="1">
        <f t="shared" ref="G3:G35" si="4">D3*(1+J3)^4</f>
        <v>3.3203144048000008</v>
      </c>
      <c r="H3" s="2">
        <f t="shared" si="0"/>
        <v>4.944270660210659E-2</v>
      </c>
      <c r="I3" s="2">
        <f>VLOOKUP(A3,[23]WRDS!$A$1:$O$100,10,FALSE)/100</f>
        <v>0.06</v>
      </c>
      <c r="J3" s="2">
        <f>VLOOKUP(A3,[23]WRDS!$A$1:$O$100,9,FALSE)/100</f>
        <v>0.06</v>
      </c>
      <c r="K3" s="2">
        <f t="shared" si="1"/>
        <v>0.21352579831144594</v>
      </c>
      <c r="L3" s="2">
        <f t="shared" si="2"/>
        <v>0.21352579831144594</v>
      </c>
      <c r="M3">
        <f>VLOOKUP(A3,[23]WRDS!$A$1:$O$100,8,FALSE)</f>
        <v>1</v>
      </c>
      <c r="N3">
        <f>VLOOKUP(A3,[23]WRDS!$A$1:$O$100,11,FALSE)</f>
        <v>0</v>
      </c>
      <c r="P3" t="s">
        <v>18</v>
      </c>
      <c r="Q3" s="3">
        <f>AVERAGE(I2:I999)</f>
        <v>4.9376470588235299E-2</v>
      </c>
    </row>
    <row r="4" spans="1:17" x14ac:dyDescent="0.3">
      <c r="A4" t="s">
        <v>63</v>
      </c>
      <c r="B4" t="str">
        <f>VLOOKUP(A4,[21]WRDS!$A$1:$N$100,2,FALSE)</f>
        <v>WWP</v>
      </c>
      <c r="C4" t="str">
        <f>VLOOKUP(A4,[21]WRDS!$A$1:$N$100,3,FALSE)</f>
        <v>AVISTA CORP</v>
      </c>
      <c r="D4">
        <f>VLOOKUP(A4,[21]WRDS!$A$1:$N$100,13,FALSE)</f>
        <v>1.85</v>
      </c>
      <c r="E4">
        <f>VLOOKUP(A4,[22]WRDS!$A$1:$N$100,13,FALSE)</f>
        <v>1.95</v>
      </c>
      <c r="F4" s="1">
        <f t="shared" si="3"/>
        <v>2.2486865625000001</v>
      </c>
      <c r="G4" s="1">
        <f t="shared" si="4"/>
        <v>2.2486865625000001</v>
      </c>
      <c r="H4" s="2">
        <f t="shared" si="0"/>
        <v>1.3247919642907391E-2</v>
      </c>
      <c r="I4" s="2">
        <f>VLOOKUP(A4,[23]WRDS!$A$1:$O$100,10,FALSE)/100</f>
        <v>0.05</v>
      </c>
      <c r="J4" s="2">
        <f>VLOOKUP(A4,[23]WRDS!$A$1:$O$100,9,FALSE)/100</f>
        <v>0.05</v>
      </c>
      <c r="K4" s="2">
        <f t="shared" si="1"/>
        <v>2.7741774820296987</v>
      </c>
      <c r="L4" s="2">
        <f t="shared" si="2"/>
        <v>2.7741774820296987</v>
      </c>
      <c r="M4">
        <f>VLOOKUP(A4,[23]WRDS!$A$1:$O$100,8,FALSE)</f>
        <v>1</v>
      </c>
      <c r="N4">
        <f>VLOOKUP(A4,[23]WRDS!$A$1:$O$100,11,FALSE)</f>
        <v>0</v>
      </c>
      <c r="P4" t="s">
        <v>20</v>
      </c>
      <c r="Q4" s="3">
        <f>(Q3-Q2)/ABS(Q2)</f>
        <v>9.3535448512207423E-2</v>
      </c>
    </row>
    <row r="5" spans="1:17" x14ac:dyDescent="0.3">
      <c r="A5" t="s">
        <v>19</v>
      </c>
      <c r="B5" t="str">
        <f>VLOOKUP(A5,[21]WRDS!$A$1:$N$100,2,FALSE)</f>
        <v>BHP</v>
      </c>
      <c r="C5" t="str">
        <f>VLOOKUP(A5,[21]WRDS!$A$1:$N$100,3,FALSE)</f>
        <v>BLACK HILLS CP</v>
      </c>
      <c r="D5">
        <f>VLOOKUP(A5,[21]WRDS!$A$1:$N$100,13,FALSE)</f>
        <v>2.4300000000000002</v>
      </c>
      <c r="E5">
        <f>VLOOKUP(A5,[22]WRDS!$A$1:$N$100,13,FALSE)</f>
        <v>3.36</v>
      </c>
      <c r="F5" s="1">
        <f t="shared" si="3"/>
        <v>2.8427563008000005</v>
      </c>
      <c r="G5" s="1">
        <f t="shared" si="4"/>
        <v>2.8427563008000005</v>
      </c>
      <c r="H5" s="2">
        <f t="shared" si="0"/>
        <v>8.4384374465190426E-2</v>
      </c>
      <c r="I5" s="2">
        <f>VLOOKUP(A5,[23]WRDS!$A$1:$O$100,10,FALSE)/100</f>
        <v>0.04</v>
      </c>
      <c r="J5" s="2">
        <f>VLOOKUP(A5,[23]WRDS!$A$1:$O$100,9,FALSE)/100</f>
        <v>0.04</v>
      </c>
      <c r="K5" s="2">
        <f t="shared" si="1"/>
        <v>-0.52597859196668595</v>
      </c>
      <c r="L5" s="2">
        <f t="shared" si="2"/>
        <v>-0.52597859196668595</v>
      </c>
      <c r="M5">
        <f>VLOOKUP(A5,[23]WRDS!$A$1:$O$100,8,FALSE)</f>
        <v>1</v>
      </c>
      <c r="N5">
        <f>VLOOKUP(A5,[23]WRDS!$A$1:$O$100,11,FALSE)</f>
        <v>0</v>
      </c>
      <c r="P5" t="s">
        <v>22</v>
      </c>
      <c r="Q5" s="3">
        <f>AVERAGE(J2:J999)</f>
        <v>4.9535294117647066E-2</v>
      </c>
    </row>
    <row r="6" spans="1:17" x14ac:dyDescent="0.3">
      <c r="A6" t="s">
        <v>21</v>
      </c>
      <c r="B6" t="str">
        <f>VLOOKUP(A6,[21]WRDS!$A$1:$N$100,2,FALSE)</f>
        <v>CMS</v>
      </c>
      <c r="C6" t="str">
        <f>VLOOKUP(A6,[21]WRDS!$A$1:$N$100,3,FALSE)</f>
        <v>CMS ENERGY CORP</v>
      </c>
      <c r="D6">
        <f>VLOOKUP(A6,[21]WRDS!$A$1:$N$100,13,FALSE)</f>
        <v>1.66</v>
      </c>
      <c r="E6">
        <f>VLOOKUP(A6,[22]WRDS!$A$1:$N$100,13,FALSE)</f>
        <v>2.17</v>
      </c>
      <c r="F6" s="1">
        <f t="shared" si="3"/>
        <v>2.0767960858627941</v>
      </c>
      <c r="G6" s="1">
        <f t="shared" si="4"/>
        <v>2.1020455964721805</v>
      </c>
      <c r="H6" s="2">
        <f t="shared" si="0"/>
        <v>6.9271303062908185E-2</v>
      </c>
      <c r="I6" s="2">
        <f>VLOOKUP(A6,[23]WRDS!$A$1:$O$100,10,FALSE)/100</f>
        <v>5.7599999999999998E-2</v>
      </c>
      <c r="J6" s="2">
        <f>VLOOKUP(A6,[23]WRDS!$A$1:$O$100,9,FALSE)/100</f>
        <v>6.08E-2</v>
      </c>
      <c r="K6" s="2">
        <f t="shared" si="1"/>
        <v>-0.1684868415469099</v>
      </c>
      <c r="L6" s="2">
        <f t="shared" si="2"/>
        <v>-0.12229166607729378</v>
      </c>
      <c r="M6">
        <f>VLOOKUP(A6,[23]WRDS!$A$1:$O$100,8,FALSE)</f>
        <v>3</v>
      </c>
      <c r="N6">
        <f>VLOOKUP(A6,[23]WRDS!$A$1:$O$100,11,FALSE)</f>
        <v>0.66</v>
      </c>
      <c r="P6" t="s">
        <v>24</v>
      </c>
      <c r="Q6" s="3">
        <f>(Q5-Q2)/ABS(Q2)</f>
        <v>9.7052896345163106E-2</v>
      </c>
    </row>
    <row r="7" spans="1:17" x14ac:dyDescent="0.3">
      <c r="A7" t="s">
        <v>23</v>
      </c>
      <c r="B7" t="str">
        <f>VLOOKUP(A7,[21]WRDS!$A$1:$N$100,2,FALSE)</f>
        <v>HOU</v>
      </c>
      <c r="C7" t="str">
        <f>VLOOKUP(A7,[21]WRDS!$A$1:$N$100,3,FALSE)</f>
        <v>CENTERPOINT ENER</v>
      </c>
      <c r="D7">
        <f>VLOOKUP(A7,[21]WRDS!$A$1:$N$100,13,FALSE)</f>
        <v>1.2</v>
      </c>
      <c r="E7">
        <f>VLOOKUP(A7,[22]WRDS!$A$1:$N$100,13,FALSE)</f>
        <v>1.37</v>
      </c>
      <c r="F7" s="1">
        <f t="shared" si="3"/>
        <v>1.4359585307572513</v>
      </c>
      <c r="G7" s="1">
        <f t="shared" si="4"/>
        <v>1.4586075000000001</v>
      </c>
      <c r="H7" s="2">
        <f t="shared" si="0"/>
        <v>3.3676945820908077E-2</v>
      </c>
      <c r="I7" s="2">
        <f>VLOOKUP(A7,[23]WRDS!$A$1:$O$100,10,FALSE)/100</f>
        <v>4.5899999999999996E-2</v>
      </c>
      <c r="J7" s="2">
        <f>VLOOKUP(A7,[23]WRDS!$A$1:$O$100,9,FALSE)/100</f>
        <v>0.05</v>
      </c>
      <c r="K7" s="2">
        <f t="shared" si="1"/>
        <v>0.36295019875297979</v>
      </c>
      <c r="L7" s="2">
        <f t="shared" si="2"/>
        <v>0.48469520561326795</v>
      </c>
      <c r="M7">
        <f>VLOOKUP(A7,[23]WRDS!$A$1:$O$100,8,FALSE)</f>
        <v>3</v>
      </c>
      <c r="N7">
        <f>VLOOKUP(A7,[23]WRDS!$A$1:$O$100,11,FALSE)</f>
        <v>0.71</v>
      </c>
      <c r="P7" s="111" t="s">
        <v>26</v>
      </c>
      <c r="Q7" s="111"/>
    </row>
    <row r="8" spans="1:17" x14ac:dyDescent="0.3">
      <c r="A8" t="s">
        <v>25</v>
      </c>
      <c r="B8" t="str">
        <f>VLOOKUP(A8,[21]WRDS!$A$1:$N$100,2,FALSE)</f>
        <v>D</v>
      </c>
      <c r="C8" t="str">
        <f>VLOOKUP(A8,[21]WRDS!$A$1:$N$100,3,FALSE)</f>
        <v>DOMINION RES INC</v>
      </c>
      <c r="D8">
        <f>VLOOKUP(A8,[21]WRDS!$A$1:$N$100,13,FALSE)</f>
        <v>3.25</v>
      </c>
      <c r="E8">
        <f>VLOOKUP(A8,[22]WRDS!$A$1:$N$100,13,FALSE)</f>
        <v>3.6</v>
      </c>
      <c r="F8" s="1">
        <f t="shared" si="3"/>
        <v>4.2888254546392393</v>
      </c>
      <c r="G8" s="1">
        <f t="shared" si="4"/>
        <v>4.2808280199490509</v>
      </c>
      <c r="H8" s="2">
        <f t="shared" si="0"/>
        <v>2.5899421565503733E-2</v>
      </c>
      <c r="I8" s="2">
        <f>VLOOKUP(A8,[23]WRDS!$A$1:$O$100,10,FALSE)/100</f>
        <v>7.1800000000000003E-2</v>
      </c>
      <c r="J8" s="2">
        <f>VLOOKUP(A8,[23]WRDS!$A$1:$O$100,9,FALSE)/100</f>
        <v>7.1300000000000002E-2</v>
      </c>
      <c r="K8" s="2">
        <f t="shared" si="1"/>
        <v>1.7722626861919077</v>
      </c>
      <c r="L8" s="2">
        <f t="shared" si="2"/>
        <v>1.7529572357309613</v>
      </c>
      <c r="M8">
        <f>VLOOKUP(A8,[23]WRDS!$A$1:$O$100,8,FALSE)</f>
        <v>3</v>
      </c>
      <c r="N8">
        <f>VLOOKUP(A8,[23]WRDS!$A$1:$O$100,11,FALSE)</f>
        <v>0.5</v>
      </c>
      <c r="P8" t="s">
        <v>28</v>
      </c>
      <c r="Q8" s="2">
        <f>MEDIAN(H2:H99)</f>
        <v>4.8814210410963899E-2</v>
      </c>
    </row>
    <row r="9" spans="1:17" x14ac:dyDescent="0.3">
      <c r="A9" t="s">
        <v>27</v>
      </c>
      <c r="B9" t="str">
        <f>VLOOKUP(A9,[21]WRDS!$A$1:$N$100,2,FALSE)</f>
        <v>DTE</v>
      </c>
      <c r="C9" t="str">
        <f>VLOOKUP(A9,[21]WRDS!$A$1:$N$100,3,FALSE)</f>
        <v>DTE ENERGY</v>
      </c>
      <c r="D9">
        <f>VLOOKUP(A9,[21]WRDS!$A$1:$N$100,13,FALSE)</f>
        <v>4.09</v>
      </c>
      <c r="E9">
        <f>VLOOKUP(A9,[22]WRDS!$A$1:$N$100,13,FALSE)</f>
        <v>5.59</v>
      </c>
      <c r="F9" s="1">
        <f t="shared" si="3"/>
        <v>4.929886088578467</v>
      </c>
      <c r="G9" s="1">
        <f t="shared" si="4"/>
        <v>4.9525088556760899</v>
      </c>
      <c r="H9" s="2">
        <f t="shared" si="0"/>
        <v>8.1240052561027953E-2</v>
      </c>
      <c r="I9" s="2">
        <f>VLOOKUP(A9,[23]WRDS!$A$1:$O$100,10,FALSE)/100</f>
        <v>4.7800000000000002E-2</v>
      </c>
      <c r="J9" s="2">
        <f>VLOOKUP(A9,[23]WRDS!$A$1:$O$100,9,FALSE)/100</f>
        <v>4.9000000000000002E-2</v>
      </c>
      <c r="K9" s="2">
        <f t="shared" si="1"/>
        <v>-0.41162027235159171</v>
      </c>
      <c r="L9" s="2">
        <f t="shared" si="2"/>
        <v>-0.39684923316376558</v>
      </c>
      <c r="M9">
        <f>VLOOKUP(A9,[23]WRDS!$A$1:$O$100,8,FALSE)</f>
        <v>3</v>
      </c>
      <c r="N9">
        <f>VLOOKUP(A9,[23]WRDS!$A$1:$O$100,11,FALSE)</f>
        <v>0.25</v>
      </c>
      <c r="P9" t="s">
        <v>30</v>
      </c>
      <c r="Q9" s="2">
        <f>MEDIAN(I2:I100)</f>
        <v>4.8100000000000004E-2</v>
      </c>
    </row>
    <row r="10" spans="1:17" x14ac:dyDescent="0.3">
      <c r="A10" t="s">
        <v>29</v>
      </c>
      <c r="B10" t="str">
        <f>VLOOKUP(A10,[21]WRDS!$A$1:$N$100,2,FALSE)</f>
        <v>DUK</v>
      </c>
      <c r="C10" t="str">
        <f>VLOOKUP(A10,[21]WRDS!$A$1:$N$100,3,FALSE)</f>
        <v>DUKE ENERGY CORP</v>
      </c>
      <c r="D10">
        <f>VLOOKUP(A10,[21]WRDS!$A$1:$N$100,13,FALSE)</f>
        <v>4.3499999999999996</v>
      </c>
      <c r="E10">
        <f>VLOOKUP(A10,[22]WRDS!$A$1:$N$100,13,FALSE)</f>
        <v>4.57</v>
      </c>
      <c r="F10" s="1">
        <f t="shared" si="3"/>
        <v>4.9035731348855194</v>
      </c>
      <c r="G10" s="1">
        <f t="shared" si="4"/>
        <v>4.8959633234999993</v>
      </c>
      <c r="H10" s="2">
        <f t="shared" si="0"/>
        <v>1.2410721638576261E-2</v>
      </c>
      <c r="I10" s="2">
        <f>VLOOKUP(A10,[23]WRDS!$A$1:$O$100,10,FALSE)/100</f>
        <v>3.04E-2</v>
      </c>
      <c r="J10" s="2">
        <f>VLOOKUP(A10,[23]WRDS!$A$1:$O$100,9,FALSE)/100</f>
        <v>0.03</v>
      </c>
      <c r="K10" s="2">
        <f t="shared" si="1"/>
        <v>1.4494949516479076</v>
      </c>
      <c r="L10" s="2">
        <f t="shared" si="2"/>
        <v>1.4172647549156983</v>
      </c>
      <c r="M10">
        <f>VLOOKUP(A10,[23]WRDS!$A$1:$O$100,8,FALSE)</f>
        <v>4</v>
      </c>
      <c r="N10">
        <f>VLOOKUP(A10,[23]WRDS!$A$1:$O$100,11,FALSE)</f>
        <v>0.4</v>
      </c>
      <c r="P10" t="s">
        <v>32</v>
      </c>
      <c r="Q10" s="2">
        <f>(Q9-Q8)/ABS(Q8)</f>
        <v>-1.463119868069155E-2</v>
      </c>
    </row>
    <row r="11" spans="1:17" x14ac:dyDescent="0.3">
      <c r="A11" t="s">
        <v>31</v>
      </c>
      <c r="B11" t="str">
        <f>VLOOKUP(A11,[21]WRDS!$A$1:$N$100,2,FALSE)</f>
        <v>ED</v>
      </c>
      <c r="C11" t="str">
        <f>VLOOKUP(A11,[21]WRDS!$A$1:$N$100,3,FALSE)</f>
        <v>CONSOLIDATED EDI</v>
      </c>
      <c r="D11">
        <f>VLOOKUP(A11,[21]WRDS!$A$1:$N$100,13,FALSE)</f>
        <v>3.8</v>
      </c>
      <c r="E11">
        <f>VLOOKUP(A11,[22]WRDS!$A$1:$N$100,13,FALSE)</f>
        <v>4.12</v>
      </c>
      <c r="F11" s="1">
        <f t="shared" si="3"/>
        <v>4.0714633502865478</v>
      </c>
      <c r="G11" s="1">
        <f t="shared" si="4"/>
        <v>4.1019625729118419</v>
      </c>
      <c r="H11" s="2">
        <f t="shared" si="0"/>
        <v>2.0418690707115328E-2</v>
      </c>
      <c r="I11" s="2">
        <f>VLOOKUP(A11,[23]WRDS!$A$1:$O$100,10,FALSE)/100</f>
        <v>1.7399999999999999E-2</v>
      </c>
      <c r="J11" s="2">
        <f>VLOOKUP(A11,[23]WRDS!$A$1:$O$100,9,FALSE)/100</f>
        <v>1.9299999999999998E-2</v>
      </c>
      <c r="K11" s="2">
        <f t="shared" si="1"/>
        <v>-0.14783958239121581</v>
      </c>
      <c r="L11" s="2">
        <f t="shared" si="2"/>
        <v>-5.4787582767268153E-2</v>
      </c>
      <c r="M11">
        <f>VLOOKUP(A11,[23]WRDS!$A$1:$O$100,8,FALSE)</f>
        <v>3</v>
      </c>
      <c r="N11">
        <f>VLOOKUP(A11,[23]WRDS!$A$1:$O$100,11,FALSE)</f>
        <v>1.06</v>
      </c>
      <c r="P11" t="s">
        <v>34</v>
      </c>
      <c r="Q11" s="2">
        <f>MEDIAN(J2:J99)</f>
        <v>4.9000000000000002E-2</v>
      </c>
    </row>
    <row r="12" spans="1:17" x14ac:dyDescent="0.3">
      <c r="A12" t="s">
        <v>36</v>
      </c>
      <c r="B12" t="str">
        <f>VLOOKUP(A12,[21]WRDS!$A$1:$N$100,2,FALSE)</f>
        <v>HE</v>
      </c>
      <c r="C12" t="str">
        <f>VLOOKUP(A12,[21]WRDS!$A$1:$N$100,3,FALSE)</f>
        <v>HAWAIIAN ELEC</v>
      </c>
      <c r="D12">
        <f>VLOOKUP(A12,[21]WRDS!$A$1:$N$100,13,FALSE)</f>
        <v>1.62</v>
      </c>
      <c r="E12">
        <f>VLOOKUP(A12,[22]WRDS!$A$1:$N$100,13,FALSE)</f>
        <v>1.65</v>
      </c>
      <c r="F12" s="1">
        <f t="shared" si="3"/>
        <v>1.7881768828124998</v>
      </c>
      <c r="G12" s="1">
        <f t="shared" si="4"/>
        <v>1.7881768828124998</v>
      </c>
      <c r="H12" s="2">
        <f t="shared" si="0"/>
        <v>4.5978223643348137E-3</v>
      </c>
      <c r="I12" s="2">
        <f>VLOOKUP(A12,[23]WRDS!$A$1:$O$100,10,FALSE)/100</f>
        <v>2.5000000000000001E-2</v>
      </c>
      <c r="J12" s="2">
        <f>VLOOKUP(A12,[23]WRDS!$A$1:$O$100,9,FALSE)/100</f>
        <v>2.5000000000000001E-2</v>
      </c>
      <c r="K12" s="2">
        <f t="shared" si="1"/>
        <v>4.4373566482090174</v>
      </c>
      <c r="L12" s="2">
        <f t="shared" si="2"/>
        <v>4.4373566482090174</v>
      </c>
      <c r="M12">
        <f>VLOOKUP(A12,[23]WRDS!$A$1:$O$100,8,FALSE)</f>
        <v>1</v>
      </c>
      <c r="N12">
        <f>VLOOKUP(A12,[23]WRDS!$A$1:$O$100,11,FALSE)</f>
        <v>0</v>
      </c>
      <c r="P12" t="s">
        <v>32</v>
      </c>
      <c r="Q12" s="2">
        <f>(Q11-Q8)/ABS(Q8)</f>
        <v>3.8060553980480676E-3</v>
      </c>
    </row>
    <row r="13" spans="1:17" x14ac:dyDescent="0.3">
      <c r="A13" t="s">
        <v>40</v>
      </c>
      <c r="B13" t="str">
        <f>VLOOKUP(A13,[21]WRDS!$A$1:$N$100,2,FALSE)</f>
        <v>WPL</v>
      </c>
      <c r="C13" t="str">
        <f>VLOOKUP(A13,[21]WRDS!$A$1:$N$100,3,FALSE)</f>
        <v>ALLIANT ENER</v>
      </c>
      <c r="D13">
        <f>VLOOKUP(A13,[21]WRDS!$A$1:$N$100,13,FALSE)</f>
        <v>1.655</v>
      </c>
      <c r="E13">
        <f>VLOOKUP(A13,[22]WRDS!$A$1:$N$100,13,FALSE)</f>
        <v>1.93</v>
      </c>
      <c r="F13" s="1">
        <f t="shared" si="3"/>
        <v>1.9963796244684808</v>
      </c>
      <c r="G13" s="1">
        <f t="shared" si="4"/>
        <v>1.9963796244684808</v>
      </c>
      <c r="H13" s="2">
        <f t="shared" si="0"/>
        <v>3.9177722022675443E-2</v>
      </c>
      <c r="I13" s="2">
        <f>VLOOKUP(A13,[23]WRDS!$A$1:$O$100,10,FALSE)/100</f>
        <v>4.8000000000000001E-2</v>
      </c>
      <c r="J13" s="2">
        <f>VLOOKUP(A13,[23]WRDS!$A$1:$O$100,9,FALSE)/100</f>
        <v>4.8000000000000001E-2</v>
      </c>
      <c r="K13" s="2">
        <f t="shared" si="1"/>
        <v>0.22518608846676597</v>
      </c>
      <c r="L13" s="2">
        <f t="shared" si="2"/>
        <v>0.22518608846676597</v>
      </c>
      <c r="M13">
        <f>VLOOKUP(A13,[23]WRDS!$A$1:$O$100,8,FALSE)</f>
        <v>1</v>
      </c>
      <c r="N13">
        <f>VLOOKUP(A13,[23]WRDS!$A$1:$O$100,11,FALSE)</f>
        <v>0</v>
      </c>
      <c r="P13" s="111" t="s">
        <v>37</v>
      </c>
      <c r="Q13" s="111"/>
    </row>
    <row r="14" spans="1:17" x14ac:dyDescent="0.3">
      <c r="A14" t="s">
        <v>42</v>
      </c>
      <c r="B14" t="str">
        <f>VLOOKUP(A14,[21]WRDS!$A$1:$N$100,2,FALSE)</f>
        <v>FPL</v>
      </c>
      <c r="C14" t="str">
        <f>VLOOKUP(A14,[21]WRDS!$A$1:$N$100,3,FALSE)</f>
        <v>NEXTERA ENERGY I</v>
      </c>
      <c r="D14">
        <f>VLOOKUP(A14,[21]WRDS!$A$1:$N$100,13,FALSE)</f>
        <v>1.2424999999999999</v>
      </c>
      <c r="E14">
        <f>VLOOKUP(A14,[22]WRDS!$A$1:$N$100,13,FALSE)</f>
        <v>1.675</v>
      </c>
      <c r="F14" s="1">
        <f t="shared" si="3"/>
        <v>1.6056508374962497</v>
      </c>
      <c r="G14" s="1">
        <f t="shared" si="4"/>
        <v>1.6225841086278421</v>
      </c>
      <c r="H14" s="2">
        <f t="shared" si="0"/>
        <v>7.7530578349878532E-2</v>
      </c>
      <c r="I14" s="2">
        <f>VLOOKUP(A14,[23]WRDS!$A$1:$O$100,10,FALSE)/100</f>
        <v>6.6199999999999995E-2</v>
      </c>
      <c r="J14" s="2">
        <f>VLOOKUP(A14,[23]WRDS!$A$1:$O$100,9,FALSE)/100</f>
        <v>6.9000000000000006E-2</v>
      </c>
      <c r="K14" s="2">
        <f t="shared" si="1"/>
        <v>-0.14614334874101051</v>
      </c>
      <c r="L14" s="2">
        <f t="shared" si="2"/>
        <v>-0.11002856590830386</v>
      </c>
      <c r="M14">
        <f>VLOOKUP(A14,[23]WRDS!$A$1:$O$100,8,FALSE)</f>
        <v>4</v>
      </c>
      <c r="N14">
        <f>VLOOKUP(A14,[23]WRDS!$A$1:$O$100,11,FALSE)</f>
        <v>1.1399999999999999</v>
      </c>
      <c r="P14" t="s">
        <v>39</v>
      </c>
      <c r="Q14" s="1">
        <f>AVERAGE(M2:M1002)</f>
        <v>2</v>
      </c>
    </row>
    <row r="15" spans="1:17" x14ac:dyDescent="0.3">
      <c r="A15" t="s">
        <v>43</v>
      </c>
      <c r="B15" t="str">
        <f>VLOOKUP(A15,[21]WRDS!$A$1:$N$100,2,FALSE)</f>
        <v>NWPS</v>
      </c>
      <c r="C15" t="str">
        <f>VLOOKUP(A15,[21]WRDS!$A$1:$N$100,3,FALSE)</f>
        <v>NORTHWESTERN CP</v>
      </c>
      <c r="D15">
        <f>VLOOKUP(A15,[21]WRDS!$A$1:$N$100,13,FALSE)</f>
        <v>2.46</v>
      </c>
      <c r="E15">
        <f>VLOOKUP(A15,[22]WRDS!$A$1:$N$100,13,FALSE)</f>
        <v>3.3</v>
      </c>
      <c r="F15" s="1">
        <f t="shared" si="3"/>
        <v>3.2245581845999998</v>
      </c>
      <c r="G15" s="1">
        <f t="shared" si="4"/>
        <v>3.2245581845999998</v>
      </c>
      <c r="H15" s="2">
        <f t="shared" si="0"/>
        <v>7.6204263438088393E-2</v>
      </c>
      <c r="I15" s="2">
        <f>VLOOKUP(A15,[23]WRDS!$A$1:$O$100,10,FALSE)/100</f>
        <v>7.0000000000000007E-2</v>
      </c>
      <c r="J15" s="2">
        <f>VLOOKUP(A15,[23]WRDS!$A$1:$O$100,9,FALSE)/100</f>
        <v>7.0000000000000007E-2</v>
      </c>
      <c r="K15" s="2">
        <f t="shared" si="1"/>
        <v>-8.1416224738252288E-2</v>
      </c>
      <c r="L15" s="2">
        <f t="shared" si="2"/>
        <v>-8.1416224738252288E-2</v>
      </c>
      <c r="M15">
        <f>VLOOKUP(A15,[23]WRDS!$A$1:$O$100,8,FALSE)</f>
        <v>1</v>
      </c>
      <c r="N15">
        <f>VLOOKUP(A15,[23]WRDS!$A$1:$O$100,11,FALSE)</f>
        <v>0</v>
      </c>
      <c r="P15" t="s">
        <v>41</v>
      </c>
      <c r="Q15" s="1">
        <f>COUNT(N2:N1002)</f>
        <v>34</v>
      </c>
    </row>
    <row r="16" spans="1:17" x14ac:dyDescent="0.3">
      <c r="A16" t="s">
        <v>44</v>
      </c>
      <c r="B16" t="str">
        <f>VLOOKUP(A16,[21]WRDS!$A$1:$N$100,2,FALSE)</f>
        <v>OGE</v>
      </c>
      <c r="C16" t="str">
        <f>VLOOKUP(A16,[21]WRDS!$A$1:$N$100,3,FALSE)</f>
        <v>OGE ENERGY CORP</v>
      </c>
      <c r="D16">
        <f>VLOOKUP(A16,[21]WRDS!$A$1:$N$100,13,FALSE)</f>
        <v>1.94</v>
      </c>
      <c r="E16">
        <f>VLOOKUP(A16,[22]WRDS!$A$1:$N$100,13,FALSE)</f>
        <v>1.92</v>
      </c>
      <c r="F16" s="1">
        <f t="shared" si="3"/>
        <v>2.3580821250000001</v>
      </c>
      <c r="G16" s="1">
        <f t="shared" si="4"/>
        <v>2.3580821250000001</v>
      </c>
      <c r="H16" s="2">
        <f t="shared" si="0"/>
        <v>-2.5873438001631222E-3</v>
      </c>
      <c r="I16" s="2">
        <f>VLOOKUP(A16,[23]WRDS!$A$1:$O$100,10,FALSE)/100</f>
        <v>0.05</v>
      </c>
      <c r="J16" s="2">
        <f>VLOOKUP(A16,[23]WRDS!$A$1:$O$100,9,FALSE)/100</f>
        <v>0.05</v>
      </c>
      <c r="K16" s="2">
        <f t="shared" si="1"/>
        <v>20.324838081760799</v>
      </c>
      <c r="L16" s="2">
        <f t="shared" si="2"/>
        <v>20.324838081760799</v>
      </c>
      <c r="M16">
        <f>VLOOKUP(A16,[23]WRDS!$A$1:$O$100,8,FALSE)</f>
        <v>1</v>
      </c>
      <c r="N16">
        <f>VLOOKUP(A16,[23]WRDS!$A$1:$O$100,11,FALSE)</f>
        <v>0</v>
      </c>
    </row>
    <row r="17" spans="1:14" x14ac:dyDescent="0.3">
      <c r="A17" t="s">
        <v>47</v>
      </c>
      <c r="B17" t="str">
        <f>VLOOKUP(A17,[21]WRDS!$A$1:$N$100,2,FALSE)</f>
        <v>PNM</v>
      </c>
      <c r="C17" t="str">
        <f>VLOOKUP(A17,[21]WRDS!$A$1:$N$100,3,FALSE)</f>
        <v>PNM RESOURCES</v>
      </c>
      <c r="D17">
        <f>VLOOKUP(A17,[21]WRDS!$A$1:$N$100,13,FALSE)</f>
        <v>1.41</v>
      </c>
      <c r="E17">
        <f>VLOOKUP(A17,[22]WRDS!$A$1:$N$100,13,FALSE)</f>
        <v>1.94</v>
      </c>
      <c r="F17" s="1">
        <f t="shared" si="3"/>
        <v>1.837880283131188</v>
      </c>
      <c r="G17" s="1">
        <f t="shared" si="4"/>
        <v>1.837880283131188</v>
      </c>
      <c r="H17" s="2">
        <f t="shared" si="0"/>
        <v>8.3042886731222065E-2</v>
      </c>
      <c r="I17" s="2">
        <f>VLOOKUP(A17,[23]WRDS!$A$1:$O$100,10,FALSE)/100</f>
        <v>6.8499999999999991E-2</v>
      </c>
      <c r="J17" s="2">
        <f>VLOOKUP(A17,[23]WRDS!$A$1:$O$100,9,FALSE)/100</f>
        <v>6.8499999999999991E-2</v>
      </c>
      <c r="K17" s="2">
        <f t="shared" si="1"/>
        <v>-0.17512501435904815</v>
      </c>
      <c r="L17" s="2">
        <f t="shared" si="2"/>
        <v>-0.17512501435904815</v>
      </c>
      <c r="M17">
        <f>VLOOKUP(A17,[23]WRDS!$A$1:$O$100,8,FALSE)</f>
        <v>2</v>
      </c>
      <c r="N17">
        <f>VLOOKUP(A17,[23]WRDS!$A$1:$O$100,11,FALSE)</f>
        <v>0.21</v>
      </c>
    </row>
    <row r="18" spans="1:14" x14ac:dyDescent="0.3">
      <c r="A18" t="s">
        <v>48</v>
      </c>
      <c r="B18" t="str">
        <f>VLOOKUP(A18,[21]WRDS!$A$1:$N$100,2,FALSE)</f>
        <v>AZP</v>
      </c>
      <c r="C18" t="str">
        <f>VLOOKUP(A18,[21]WRDS!$A$1:$N$100,3,FALSE)</f>
        <v>PINNACLE WST CAP</v>
      </c>
      <c r="D18">
        <f>VLOOKUP(A18,[21]WRDS!$A$1:$N$100,13,FALSE)</f>
        <v>3.66</v>
      </c>
      <c r="E18">
        <f>VLOOKUP(A18,[22]WRDS!$A$1:$N$100,13,FALSE)</f>
        <v>4.3499999999999996</v>
      </c>
      <c r="F18" s="1">
        <f t="shared" si="3"/>
        <v>4.3696322385998068</v>
      </c>
      <c r="G18" s="1">
        <f t="shared" si="4"/>
        <v>4.2816823296000006</v>
      </c>
      <c r="H18" s="2">
        <f t="shared" si="0"/>
        <v>4.4123914452928847E-2</v>
      </c>
      <c r="I18" s="2">
        <f>VLOOKUP(A18,[23]WRDS!$A$1:$O$100,10,FALSE)/100</f>
        <v>4.53E-2</v>
      </c>
      <c r="J18" s="2">
        <f>VLOOKUP(A18,[23]WRDS!$A$1:$O$100,9,FALSE)/100</f>
        <v>0.04</v>
      </c>
      <c r="K18" s="2">
        <f t="shared" si="1"/>
        <v>2.6654152553164664E-2</v>
      </c>
      <c r="L18" s="2">
        <f t="shared" si="2"/>
        <v>-9.3462116950847968E-2</v>
      </c>
      <c r="M18">
        <f>VLOOKUP(A18,[23]WRDS!$A$1:$O$100,8,FALSE)</f>
        <v>3</v>
      </c>
      <c r="N18">
        <f>VLOOKUP(A18,[23]WRDS!$A$1:$O$100,11,FALSE)</f>
        <v>1.29</v>
      </c>
    </row>
    <row r="19" spans="1:14" x14ac:dyDescent="0.3">
      <c r="A19" t="s">
        <v>49</v>
      </c>
      <c r="B19" t="str">
        <f>VLOOKUP(A19,[21]WRDS!$A$1:$N$100,2,FALSE)</f>
        <v>POM</v>
      </c>
      <c r="C19" t="str">
        <f>VLOOKUP(A19,[21]WRDS!$A$1:$N$100,3,FALSE)</f>
        <v>PEPCO HOLDINGS</v>
      </c>
      <c r="D19">
        <f>VLOOKUP(A19,[21]WRDS!$A$1:$N$100,13,FALSE)</f>
        <v>1.1399999999999999</v>
      </c>
      <c r="E19">
        <f>VLOOKUP(A19,[22]WRDS!$A$1:$N$100,13,FALSE)</f>
        <v>2.86</v>
      </c>
      <c r="F19" s="1">
        <f t="shared" si="3"/>
        <v>1.31323930612224</v>
      </c>
      <c r="G19" s="1">
        <f t="shared" si="4"/>
        <v>1.3285167719627391</v>
      </c>
      <c r="H19" s="2">
        <f t="shared" si="0"/>
        <v>0.25853499309548322</v>
      </c>
      <c r="I19" s="2">
        <f>VLOOKUP(A19,[23]WRDS!$A$1:$O$100,10,FALSE)/100</f>
        <v>3.6000000000000004E-2</v>
      </c>
      <c r="J19" s="2">
        <f>VLOOKUP(A19,[23]WRDS!$A$1:$O$100,9,FALSE)/100</f>
        <v>3.9E-2</v>
      </c>
      <c r="K19" s="2">
        <f t="shared" si="1"/>
        <v>-0.86075385939456039</v>
      </c>
      <c r="L19" s="2">
        <f t="shared" si="2"/>
        <v>-0.84915001434410708</v>
      </c>
      <c r="M19">
        <f>VLOOKUP(A19,[23]WRDS!$A$1:$O$100,8,FALSE)</f>
        <v>4</v>
      </c>
      <c r="N19">
        <f>VLOOKUP(A19,[23]WRDS!$A$1:$O$100,11,FALSE)</f>
        <v>1.43</v>
      </c>
    </row>
    <row r="20" spans="1:14" x14ac:dyDescent="0.3">
      <c r="A20" t="s">
        <v>50</v>
      </c>
      <c r="B20" t="str">
        <f>VLOOKUP(A20,[21]WRDS!$A$1:$N$100,2,FALSE)</f>
        <v>PORO</v>
      </c>
      <c r="C20" t="str">
        <f>VLOOKUP(A20,[21]WRDS!$A$1:$N$100,3,FALSE)</f>
        <v>PORTLAND GENERAL</v>
      </c>
      <c r="D20">
        <f>VLOOKUP(A20,[21]WRDS!$A$1:$N$100,13,FALSE)</f>
        <v>1.84</v>
      </c>
      <c r="E20">
        <f>VLOOKUP(A20,[22]WRDS!$A$1:$N$100,13,FALSE)</f>
        <v>2.29</v>
      </c>
      <c r="F20" s="1">
        <f t="shared" si="3"/>
        <v>2.4199895871279877</v>
      </c>
      <c r="G20" s="1">
        <f t="shared" si="4"/>
        <v>2.4199895871279877</v>
      </c>
      <c r="H20" s="2">
        <f t="shared" si="0"/>
        <v>5.6220068197260664E-2</v>
      </c>
      <c r="I20" s="2">
        <f>VLOOKUP(A20,[23]WRDS!$A$1:$O$100,10,FALSE)/100</f>
        <v>7.0900000000000005E-2</v>
      </c>
      <c r="J20" s="2">
        <f>VLOOKUP(A20,[23]WRDS!$A$1:$O$100,9,FALSE)/100</f>
        <v>7.0900000000000005E-2</v>
      </c>
      <c r="K20" s="2">
        <f t="shared" si="1"/>
        <v>0.26111551041225212</v>
      </c>
      <c r="L20" s="2">
        <f t="shared" si="2"/>
        <v>0.26111551041225212</v>
      </c>
      <c r="M20">
        <f>VLOOKUP(A20,[23]WRDS!$A$1:$O$100,8,FALSE)</f>
        <v>2</v>
      </c>
      <c r="N20">
        <f>VLOOKUP(A20,[23]WRDS!$A$1:$O$100,11,FALSE)</f>
        <v>0.01</v>
      </c>
    </row>
    <row r="21" spans="1:14" x14ac:dyDescent="0.3">
      <c r="A21" t="s">
        <v>51</v>
      </c>
      <c r="B21" t="str">
        <f>VLOOKUP(A21,[21]WRDS!$A$1:$N$100,2,FALSE)</f>
        <v>PPL</v>
      </c>
      <c r="C21" t="str">
        <f>VLOOKUP(A21,[21]WRDS!$A$1:$N$100,3,FALSE)</f>
        <v>PP&amp;L CORP</v>
      </c>
      <c r="D21">
        <f>VLOOKUP(A21,[21]WRDS!$A$1:$N$100,13,FALSE)</f>
        <v>2.4500000000000002</v>
      </c>
      <c r="E21">
        <f>VLOOKUP(A21,[22]WRDS!$A$1:$N$100,13,FALSE)</f>
        <v>2.25</v>
      </c>
      <c r="F21" s="1">
        <f t="shared" si="3"/>
        <v>4.1816820245224502</v>
      </c>
      <c r="G21" s="1">
        <f t="shared" si="4"/>
        <v>4.1816820245224502</v>
      </c>
      <c r="H21" s="2">
        <f t="shared" si="0"/>
        <v>-2.1064431384828164E-2</v>
      </c>
      <c r="I21" s="2">
        <f>VLOOKUP(A21,[23]WRDS!$A$1:$O$100,10,FALSE)/100</f>
        <v>0.14300000000000002</v>
      </c>
      <c r="J21" s="2">
        <f>VLOOKUP(A21,[23]WRDS!$A$1:$O$100,9,FALSE)/100</f>
        <v>0.14300000000000002</v>
      </c>
      <c r="K21" s="2">
        <f t="shared" si="1"/>
        <v>7.7886949990492971</v>
      </c>
      <c r="L21" s="2">
        <f t="shared" si="2"/>
        <v>7.7886949990492971</v>
      </c>
      <c r="M21">
        <f>VLOOKUP(A21,[23]WRDS!$A$1:$O$100,8,FALSE)</f>
        <v>1</v>
      </c>
      <c r="N21">
        <f>VLOOKUP(A21,[23]WRDS!$A$1:$O$100,11,FALSE)</f>
        <v>0</v>
      </c>
    </row>
    <row r="22" spans="1:14" x14ac:dyDescent="0.3">
      <c r="A22" t="s">
        <v>52</v>
      </c>
      <c r="B22" t="str">
        <f>VLOOKUP(A22,[21]WRDS!$A$1:$N$100,2,FALSE)</f>
        <v>SCG</v>
      </c>
      <c r="C22" t="str">
        <f>VLOOKUP(A22,[21]WRDS!$A$1:$N$100,3,FALSE)</f>
        <v>SCANA CP</v>
      </c>
      <c r="D22">
        <f>VLOOKUP(A22,[21]WRDS!$A$1:$N$100,13,FALSE)</f>
        <v>3.39</v>
      </c>
      <c r="E22">
        <f>VLOOKUP(A22,[22]WRDS!$A$1:$N$100,13,FALSE)</f>
        <v>4.2</v>
      </c>
      <c r="F22" s="1">
        <f t="shared" si="3"/>
        <v>3.9964149419294412</v>
      </c>
      <c r="G22" s="1">
        <f t="shared" si="4"/>
        <v>3.9964149419294412</v>
      </c>
      <c r="H22" s="2">
        <f t="shared" si="0"/>
        <v>5.5024142944995802E-2</v>
      </c>
      <c r="I22" s="2">
        <f>VLOOKUP(A22,[23]WRDS!$A$1:$O$100,10,FALSE)/100</f>
        <v>4.2000000000000003E-2</v>
      </c>
      <c r="J22" s="2">
        <f>VLOOKUP(A22,[23]WRDS!$A$1:$O$100,9,FALSE)/100</f>
        <v>4.2000000000000003E-2</v>
      </c>
      <c r="K22" s="2">
        <f t="shared" si="1"/>
        <v>-0.23669869711583189</v>
      </c>
      <c r="L22" s="2">
        <f t="shared" si="2"/>
        <v>-0.23669869711583189</v>
      </c>
      <c r="M22">
        <f>VLOOKUP(A22,[23]WRDS!$A$1:$O$100,8,FALSE)</f>
        <v>1</v>
      </c>
      <c r="N22">
        <f>VLOOKUP(A22,[23]WRDS!$A$1:$O$100,11,FALSE)</f>
        <v>0</v>
      </c>
    </row>
    <row r="23" spans="1:14" x14ac:dyDescent="0.3">
      <c r="A23" t="s">
        <v>53</v>
      </c>
      <c r="B23" t="str">
        <f>VLOOKUP(A23,[21]WRDS!$A$1:$N$100,2,FALSE)</f>
        <v>SO</v>
      </c>
      <c r="C23" t="str">
        <f>VLOOKUP(A23,[21]WRDS!$A$1:$N$100,3,FALSE)</f>
        <v>SOUTHN CO</v>
      </c>
      <c r="D23">
        <f>VLOOKUP(A23,[21]WRDS!$A$1:$N$100,13,FALSE)</f>
        <v>2.73</v>
      </c>
      <c r="E23">
        <f>VLOOKUP(A23,[22]WRDS!$A$1:$N$100,13,FALSE)</f>
        <v>3.02</v>
      </c>
      <c r="F23" s="1">
        <f t="shared" si="3"/>
        <v>3.1375834795741424</v>
      </c>
      <c r="G23" s="1">
        <f t="shared" si="4"/>
        <v>3.1230632564305627</v>
      </c>
      <c r="H23" s="2">
        <f t="shared" si="0"/>
        <v>2.5560000701331242E-2</v>
      </c>
      <c r="I23" s="2">
        <f>VLOOKUP(A23,[23]WRDS!$A$1:$O$100,10,FALSE)/100</f>
        <v>3.5400000000000001E-2</v>
      </c>
      <c r="J23" s="2">
        <f>VLOOKUP(A23,[23]WRDS!$A$1:$O$100,9,FALSE)/100</f>
        <v>3.4200000000000001E-2</v>
      </c>
      <c r="K23" s="2">
        <f t="shared" si="1"/>
        <v>0.38497648781974647</v>
      </c>
      <c r="L23" s="2">
        <f t="shared" si="2"/>
        <v>0.33802813230043305</v>
      </c>
      <c r="M23">
        <f>VLOOKUP(A23,[23]WRDS!$A$1:$O$100,8,FALSE)</f>
        <v>4</v>
      </c>
      <c r="N23">
        <f>VLOOKUP(A23,[23]WRDS!$A$1:$O$100,11,FALSE)</f>
        <v>1.1499999999999999</v>
      </c>
    </row>
    <row r="24" spans="1:14" x14ac:dyDescent="0.3">
      <c r="A24" t="s">
        <v>54</v>
      </c>
      <c r="B24" t="str">
        <f>VLOOKUP(A24,[21]WRDS!$A$1:$N$100,2,FALSE)</f>
        <v>SDO</v>
      </c>
      <c r="C24" t="str">
        <f>VLOOKUP(A24,[21]WRDS!$A$1:$N$100,3,FALSE)</f>
        <v>SEMPRA ENERGY</v>
      </c>
      <c r="D24">
        <f>VLOOKUP(A24,[21]WRDS!$A$1:$N$100,13,FALSE)</f>
        <v>4.49</v>
      </c>
      <c r="E24">
        <f>VLOOKUP(A24,[22]WRDS!$A$1:$N$100,13,FALSE)</f>
        <v>5.42</v>
      </c>
      <c r="F24" s="1">
        <f t="shared" si="3"/>
        <v>5.5517854876139303</v>
      </c>
      <c r="G24" s="1">
        <f t="shared" si="4"/>
        <v>5.5517854876139303</v>
      </c>
      <c r="H24" s="2">
        <f t="shared" si="0"/>
        <v>4.8185714219821207E-2</v>
      </c>
      <c r="I24" s="2">
        <f>VLOOKUP(A24,[23]WRDS!$A$1:$O$100,10,FALSE)/100</f>
        <v>5.45E-2</v>
      </c>
      <c r="J24" s="2">
        <f>VLOOKUP(A24,[23]WRDS!$A$1:$O$100,9,FALSE)/100</f>
        <v>5.45E-2</v>
      </c>
      <c r="K24" s="2">
        <f t="shared" si="1"/>
        <v>0.13104061820840271</v>
      </c>
      <c r="L24" s="2">
        <f t="shared" si="2"/>
        <v>0.13104061820840271</v>
      </c>
      <c r="M24">
        <f>VLOOKUP(A24,[23]WRDS!$A$1:$O$100,8,FALSE)</f>
        <v>2</v>
      </c>
      <c r="N24">
        <f>VLOOKUP(A24,[23]WRDS!$A$1:$O$100,11,FALSE)</f>
        <v>3.61</v>
      </c>
    </row>
    <row r="25" spans="1:14" x14ac:dyDescent="0.3">
      <c r="A25" t="s">
        <v>55</v>
      </c>
      <c r="B25" t="str">
        <f>VLOOKUP(A25,[21]WRDS!$A$1:$N$100,2,FALSE)</f>
        <v>WPC</v>
      </c>
      <c r="C25" t="str">
        <f>VLOOKUP(A25,[21]WRDS!$A$1:$N$100,3,FALSE)</f>
        <v>WISCONSIN ENERGY</v>
      </c>
      <c r="D25">
        <f>VLOOKUP(A25,[21]WRDS!$A$1:$N$100,13,FALSE)</f>
        <v>2.5099999999999998</v>
      </c>
      <c r="E25">
        <f>VLOOKUP(A25,[22]WRDS!$A$1:$N$100,13,FALSE)</f>
        <v>3.14</v>
      </c>
      <c r="F25" s="1">
        <f t="shared" si="3"/>
        <v>3.0906297273721872</v>
      </c>
      <c r="G25" s="1">
        <f t="shared" si="4"/>
        <v>3.0509206874999997</v>
      </c>
      <c r="H25" s="2">
        <f t="shared" si="0"/>
        <v>5.758183225782032E-2</v>
      </c>
      <c r="I25" s="2">
        <f>VLOOKUP(A25,[23]WRDS!$A$1:$O$100,10,FALSE)/100</f>
        <v>5.3399999999999996E-2</v>
      </c>
      <c r="J25" s="2">
        <f>VLOOKUP(A25,[23]WRDS!$A$1:$O$100,9,FALSE)/100</f>
        <v>0.05</v>
      </c>
      <c r="K25" s="2">
        <f t="shared" si="1"/>
        <v>-7.2624161021767067E-2</v>
      </c>
      <c r="L25" s="2">
        <f t="shared" si="2"/>
        <v>-0.13167056275446343</v>
      </c>
      <c r="M25">
        <f>VLOOKUP(A25,[23]WRDS!$A$1:$O$100,8,FALSE)</f>
        <v>3</v>
      </c>
      <c r="N25">
        <f>VLOOKUP(A25,[23]WRDS!$A$1:$O$100,11,FALSE)</f>
        <v>0.84</v>
      </c>
    </row>
    <row r="26" spans="1:14" x14ac:dyDescent="0.3">
      <c r="A26" t="s">
        <v>64</v>
      </c>
      <c r="B26" t="str">
        <f>VLOOKUP(A26,[21]WRDS!$A$1:$N$100,2,FALSE)</f>
        <v>KAN</v>
      </c>
      <c r="C26" t="str">
        <f>VLOOKUP(A26,[21]WRDS!$A$1:$N$100,3,FALSE)</f>
        <v>WESTAR ENERGY</v>
      </c>
      <c r="D26">
        <f>VLOOKUP(A26,[21]WRDS!$A$1:$N$100,13,FALSE)</f>
        <v>2.29</v>
      </c>
      <c r="E26">
        <f>VLOOKUP(A26,[22]WRDS!$A$1:$N$100,13,FALSE)</f>
        <v>2.36</v>
      </c>
      <c r="F26" s="1">
        <f t="shared" si="3"/>
        <v>2.3782679072071935</v>
      </c>
      <c r="G26" s="1">
        <f t="shared" si="4"/>
        <v>2.3782679072071935</v>
      </c>
      <c r="H26" s="2">
        <f t="shared" si="0"/>
        <v>7.5558528437118522E-3</v>
      </c>
      <c r="I26" s="2">
        <f>VLOOKUP(A26,[23]WRDS!$A$1:$O$100,10,FALSE)/100</f>
        <v>9.4999999999999998E-3</v>
      </c>
      <c r="J26" s="2">
        <f>VLOOKUP(A26,[23]WRDS!$A$1:$O$100,9,FALSE)/100</f>
        <v>9.4999999999999998E-3</v>
      </c>
      <c r="K26" s="2">
        <f t="shared" si="1"/>
        <v>0.25730347010478238</v>
      </c>
      <c r="L26" s="2">
        <f t="shared" si="2"/>
        <v>0.25730347010478238</v>
      </c>
      <c r="M26">
        <f>VLOOKUP(A26,[23]WRDS!$A$1:$O$100,8,FALSE)</f>
        <v>2</v>
      </c>
      <c r="N26">
        <f>VLOOKUP(A26,[23]WRDS!$A$1:$O$100,11,FALSE)</f>
        <v>0.35</v>
      </c>
    </row>
    <row r="27" spans="1:14" x14ac:dyDescent="0.3">
      <c r="A27" t="s">
        <v>56</v>
      </c>
      <c r="B27" t="str">
        <f>VLOOKUP(A27,[21]WRDS!$A$1:$N$100,2,FALSE)</f>
        <v>NSP</v>
      </c>
      <c r="C27" t="str">
        <f>VLOOKUP(A27,[21]WRDS!$A$1:$N$100,3,FALSE)</f>
        <v>XCEL ENERGY INC</v>
      </c>
      <c r="D27">
        <f>VLOOKUP(A27,[21]WRDS!$A$1:$N$100,13,FALSE)</f>
        <v>1.95</v>
      </c>
      <c r="E27">
        <f>VLOOKUP(A27,[22]WRDS!$A$1:$N$100,13,FALSE)</f>
        <v>2.2999999999999998</v>
      </c>
      <c r="F27" s="1">
        <f t="shared" si="3"/>
        <v>2.3540258783263899</v>
      </c>
      <c r="G27" s="1">
        <f t="shared" si="4"/>
        <v>2.3540258783263899</v>
      </c>
      <c r="H27" s="2">
        <f t="shared" si="0"/>
        <v>4.2133378553214307E-2</v>
      </c>
      <c r="I27" s="2">
        <f>VLOOKUP(A27,[23]WRDS!$A$1:$O$100,10,FALSE)/100</f>
        <v>4.82E-2</v>
      </c>
      <c r="J27" s="2">
        <f>VLOOKUP(A27,[23]WRDS!$A$1:$O$100,9,FALSE)/100</f>
        <v>4.82E-2</v>
      </c>
      <c r="K27" s="2">
        <f t="shared" si="1"/>
        <v>0.14398611398142619</v>
      </c>
      <c r="L27" s="2">
        <f t="shared" si="2"/>
        <v>0.14398611398142619</v>
      </c>
      <c r="M27">
        <f>VLOOKUP(A27,[23]WRDS!$A$1:$O$100,8,FALSE)</f>
        <v>2</v>
      </c>
      <c r="N27">
        <f>VLOOKUP(A27,[23]WRDS!$A$1:$O$100,11,FALSE)</f>
        <v>0.03</v>
      </c>
    </row>
    <row r="28" spans="1:14" x14ac:dyDescent="0.3">
      <c r="A28" t="s">
        <v>132</v>
      </c>
      <c r="B28" t="str">
        <f>VLOOKUP(A28,'[5]Ticker List'!$H$4:$I$20,2,FALSE)</f>
        <v>EGAS</v>
      </c>
      <c r="C28" t="str">
        <f>VLOOKUP(A28,[24]WRDS!$B$1:$N$12,2,FALSE)</f>
        <v>ATMOS ENERGY CP</v>
      </c>
      <c r="D28">
        <f>VLOOKUP(A28,[24]WRDS!$B$1:$N$12,12,FALSE)</f>
        <v>2.9</v>
      </c>
      <c r="E28">
        <f>VLOOKUP(A28,[25]WRDS!$B$1:$N$11,12,FALSE)</f>
        <v>4</v>
      </c>
      <c r="F28" s="1">
        <f t="shared" si="3"/>
        <v>3.9090129863632797</v>
      </c>
      <c r="G28" s="1">
        <f t="shared" si="4"/>
        <v>3.9090129863632797</v>
      </c>
      <c r="H28" s="2">
        <f t="shared" si="0"/>
        <v>8.3716032468564627E-2</v>
      </c>
      <c r="I28" s="2">
        <f>VLOOKUP(A28,[26]gzpaybtmrmbrf6fh!$B$1:$N$100,9,FALSE)/100</f>
        <v>7.7499999999999999E-2</v>
      </c>
      <c r="J28" s="2">
        <f>VLOOKUP(A28,[26]gzpaybtmrmbrf6fh!$B$1:$N$100,8,FALSE)/100</f>
        <v>7.7499999999999999E-2</v>
      </c>
      <c r="K28" s="2">
        <f t="shared" si="1"/>
        <v>-7.4251398271875199E-2</v>
      </c>
      <c r="L28" s="2">
        <f t="shared" si="2"/>
        <v>-7.4251398271875199E-2</v>
      </c>
      <c r="M28">
        <f>VLOOKUP(A28,[26]gzpaybtmrmbrf6fh!$B$1:$N$100,7,FALSE)</f>
        <v>2</v>
      </c>
      <c r="N28">
        <f>VLOOKUP(A28,[26]gzpaybtmrmbrf6fh!$B$1:$N$100,10,FALSE)</f>
        <v>1.06</v>
      </c>
    </row>
    <row r="29" spans="1:14" x14ac:dyDescent="0.3">
      <c r="A29" t="s">
        <v>133</v>
      </c>
      <c r="B29" t="str">
        <f>VLOOKUP(A29,'[5]Ticker List'!$H$4:$I$20,2,FALSE)</f>
        <v>CHPK</v>
      </c>
      <c r="C29" t="str">
        <f>VLOOKUP(A29,[24]WRDS!$B$1:$N$12,2,FALSE)</f>
        <v>CHESAPEAKE UTIL</v>
      </c>
      <c r="D29">
        <f>VLOOKUP(A29,[24]WRDS!$B$1:$N$12,12,FALSE)</f>
        <v>2.2599999999999998</v>
      </c>
      <c r="E29">
        <f>VLOOKUP(A29,[25]WRDS!$B$1:$N$11,12,FALSE)</f>
        <v>2.89</v>
      </c>
      <c r="F29" s="1">
        <f t="shared" si="3"/>
        <v>2.5436499105999997</v>
      </c>
      <c r="G29" s="1">
        <f t="shared" si="4"/>
        <v>2.5436499105999997</v>
      </c>
      <c r="H29" s="2">
        <f t="shared" si="0"/>
        <v>6.3401701571027536E-2</v>
      </c>
      <c r="I29" s="2">
        <f>VLOOKUP(A29,[26]gzpaybtmrmbrf6fh!$B$1:$N$100,9,FALSE)/100</f>
        <v>0.03</v>
      </c>
      <c r="J29" s="2">
        <f>VLOOKUP(A29,[26]gzpaybtmrmbrf6fh!$B$1:$N$100,8,FALSE)/100</f>
        <v>0.03</v>
      </c>
      <c r="K29" s="2">
        <f t="shared" si="1"/>
        <v>-0.52682657946661482</v>
      </c>
      <c r="L29" s="2">
        <f t="shared" si="2"/>
        <v>-0.52682657946661482</v>
      </c>
      <c r="M29">
        <f>VLOOKUP(A29,[26]gzpaybtmrmbrf6fh!$B$1:$N$100,7,FALSE)</f>
        <v>1</v>
      </c>
      <c r="N29">
        <f>VLOOKUP(A29,[26]gzpaybtmrmbrf6fh!$B$1:$N$100,10,FALSE)</f>
        <v>0</v>
      </c>
    </row>
    <row r="30" spans="1:14" x14ac:dyDescent="0.3">
      <c r="A30" t="s">
        <v>134</v>
      </c>
      <c r="B30" t="str">
        <f>VLOOKUP(A30,'[5]Ticker List'!$H$4:$I$20,2,FALSE)</f>
        <v>NJR</v>
      </c>
      <c r="C30" t="str">
        <f>VLOOKUP(A30,[24]WRDS!$B$1:$N$12,2,FALSE)</f>
        <v>NEW JERSEY RES</v>
      </c>
      <c r="D30">
        <f>VLOOKUP(A30,[24]WRDS!$B$1:$N$12,12,FALSE)</f>
        <v>2.085</v>
      </c>
      <c r="E30">
        <f>VLOOKUP(A30,[25]WRDS!$B$1:$N$11,12,FALSE)</f>
        <v>2.74</v>
      </c>
      <c r="F30" s="1">
        <f t="shared" si="3"/>
        <v>2.3014498769531246</v>
      </c>
      <c r="G30" s="1">
        <f t="shared" si="4"/>
        <v>2.3014498769531246</v>
      </c>
      <c r="H30" s="2">
        <f t="shared" si="0"/>
        <v>7.068353929738791E-2</v>
      </c>
      <c r="I30" s="2">
        <f>VLOOKUP(A30,[26]gzpaybtmrmbrf6fh!$B$1:$N$100,9,FALSE)/100</f>
        <v>2.5000000000000001E-2</v>
      </c>
      <c r="J30" s="2">
        <f>VLOOKUP(A30,[26]gzpaybtmrmbrf6fh!$B$1:$N$100,8,FALSE)/100</f>
        <v>2.5000000000000001E-2</v>
      </c>
      <c r="K30" s="2">
        <f t="shared" si="1"/>
        <v>-0.64631086320087727</v>
      </c>
      <c r="L30" s="2">
        <f t="shared" si="2"/>
        <v>-0.64631086320087727</v>
      </c>
      <c r="M30">
        <f>VLOOKUP(A30,[26]gzpaybtmrmbrf6fh!$B$1:$N$100,7,FALSE)</f>
        <v>2</v>
      </c>
      <c r="N30">
        <f>VLOOKUP(A30,[26]gzpaybtmrmbrf6fh!$B$1:$N$100,10,FALSE)</f>
        <v>2.12</v>
      </c>
    </row>
    <row r="31" spans="1:14" x14ac:dyDescent="0.3">
      <c r="A31" t="s">
        <v>135</v>
      </c>
      <c r="B31" t="str">
        <f>VLOOKUP(A31,'[5]Ticker List'!$H$4:$I$20,2,FALSE)</f>
        <v>NI</v>
      </c>
      <c r="C31" t="str">
        <f>VLOOKUP(A31,[24]WRDS!$B$1:$N$12,2,FALSE)</f>
        <v>NISOURCE INC</v>
      </c>
      <c r="D31">
        <f>VLOOKUP(A31,[24]WRDS!$B$1:$N$12,12,FALSE)</f>
        <v>1.58</v>
      </c>
      <c r="E31">
        <f>VLOOKUP(A31,[25]WRDS!$B$1:$N$11,12,FALSE)</f>
        <v>1.21</v>
      </c>
      <c r="F31" s="1">
        <f t="shared" si="3"/>
        <v>2.0326168339874995</v>
      </c>
      <c r="G31" s="1">
        <f t="shared" si="4"/>
        <v>2.0326168339874995</v>
      </c>
      <c r="H31" s="2">
        <f t="shared" si="0"/>
        <v>-6.4525247484838344E-2</v>
      </c>
      <c r="I31" s="2">
        <f>VLOOKUP(A31,[26]gzpaybtmrmbrf6fh!$B$1:$N$100,9,FALSE)/100</f>
        <v>6.5000000000000002E-2</v>
      </c>
      <c r="J31" s="2">
        <f>VLOOKUP(A31,[26]gzpaybtmrmbrf6fh!$B$1:$N$100,8,FALSE)/100</f>
        <v>6.5000000000000002E-2</v>
      </c>
      <c r="K31" s="2">
        <f t="shared" si="1"/>
        <v>2.0073576240877373</v>
      </c>
      <c r="L31" s="2">
        <f t="shared" si="2"/>
        <v>2.0073576240877373</v>
      </c>
      <c r="M31">
        <f>VLOOKUP(A31,[26]gzpaybtmrmbrf6fh!$B$1:$N$100,7,FALSE)</f>
        <v>1</v>
      </c>
      <c r="N31">
        <f>VLOOKUP(A31,[26]gzpaybtmrmbrf6fh!$B$1:$N$100,10,FALSE)</f>
        <v>0</v>
      </c>
    </row>
    <row r="32" spans="1:14" x14ac:dyDescent="0.3">
      <c r="A32" t="s">
        <v>136</v>
      </c>
      <c r="B32" t="str">
        <f>VLOOKUP(A32,'[5]Ticker List'!$H$4:$I$20,2,FALSE)</f>
        <v>NWNG</v>
      </c>
      <c r="C32" t="str">
        <f>VLOOKUP(A32,[24]WRDS!$B$1:$N$12,2,FALSE)</f>
        <v>NW NATURAL GAS</v>
      </c>
      <c r="D32">
        <f>VLOOKUP(A32,[24]WRDS!$B$1:$N$12,12,FALSE)</f>
        <v>2.2400000000000002</v>
      </c>
      <c r="E32">
        <f>VLOOKUP(A32,[25]WRDS!$B$1:$N$11,12,FALSE)</f>
        <v>2.2400000000000002</v>
      </c>
      <c r="F32" s="1">
        <f t="shared" si="3"/>
        <v>2.6204831744000008</v>
      </c>
      <c r="G32" s="1">
        <f t="shared" si="4"/>
        <v>2.6204831744000008</v>
      </c>
      <c r="H32" s="2">
        <f t="shared" si="0"/>
        <v>0</v>
      </c>
      <c r="I32" s="2">
        <f>VLOOKUP(A32,[26]gzpaybtmrmbrf6fh!$B$1:$N$100,9,FALSE)/100</f>
        <v>0.04</v>
      </c>
      <c r="J32" s="2">
        <f>VLOOKUP(A32,[26]gzpaybtmrmbrf6fh!$B$1:$N$100,8,FALSE)/100</f>
        <v>0.04</v>
      </c>
      <c r="K32" s="2" t="s">
        <v>141</v>
      </c>
      <c r="L32" s="2" t="s">
        <v>141</v>
      </c>
      <c r="M32">
        <f>VLOOKUP(A32,[26]gzpaybtmrmbrf6fh!$B$1:$N$100,7,FALSE)</f>
        <v>1</v>
      </c>
      <c r="N32">
        <f>VLOOKUP(A32,[26]gzpaybtmrmbrf6fh!$B$1:$N$100,10,FALSE)</f>
        <v>0</v>
      </c>
    </row>
    <row r="33" spans="1:14" x14ac:dyDescent="0.3">
      <c r="A33" t="s">
        <v>138</v>
      </c>
      <c r="B33" t="str">
        <f>VLOOKUP(A33,'[5]Ticker List'!$H$4:$I$20,2,FALSE)</f>
        <v>SJI</v>
      </c>
      <c r="C33" t="str">
        <f>VLOOKUP(A33,[24]WRDS!$B$1:$N$12,2,FALSE)</f>
        <v>SO JERSEY INDS</v>
      </c>
      <c r="D33">
        <f>VLOOKUP(A33,[24]WRDS!$B$1:$N$12,12,FALSE)</f>
        <v>1.5149999999999999</v>
      </c>
      <c r="E33">
        <f>VLOOKUP(A33,[25]WRDS!$B$1:$N$11,12,FALSE)</f>
        <v>1.23</v>
      </c>
      <c r="F33" s="1">
        <f t="shared" si="3"/>
        <v>1.9126525944000003</v>
      </c>
      <c r="G33" s="1">
        <f t="shared" si="4"/>
        <v>1.9126525944000003</v>
      </c>
      <c r="H33" s="2">
        <f t="shared" si="0"/>
        <v>-5.0766362578656299E-2</v>
      </c>
      <c r="I33" s="2">
        <f>VLOOKUP(A33,[26]gzpaybtmrmbrf6fh!$B$1:$N$100,9,FALSE)/100</f>
        <v>0.06</v>
      </c>
      <c r="J33" s="2">
        <f>VLOOKUP(A33,[26]gzpaybtmrmbrf6fh!$B$1:$N$100,8,FALSE)/100</f>
        <v>0.06</v>
      </c>
      <c r="K33" s="2">
        <f t="shared" si="1"/>
        <v>2.1818849520100501</v>
      </c>
      <c r="L33" s="2">
        <f t="shared" si="2"/>
        <v>2.1818849520100501</v>
      </c>
      <c r="M33">
        <f>VLOOKUP(A33,[26]gzpaybtmrmbrf6fh!$B$1:$N$100,7,FALSE)</f>
        <v>1</v>
      </c>
      <c r="N33">
        <f>VLOOKUP(A33,[26]gzpaybtmrmbrf6fh!$B$1:$N$100,10,FALSE)</f>
        <v>0</v>
      </c>
    </row>
    <row r="34" spans="1:14" x14ac:dyDescent="0.3">
      <c r="A34" t="s">
        <v>139</v>
      </c>
      <c r="B34" t="str">
        <f>VLOOKUP(A34,'[5]Ticker List'!$H$4:$I$20,2,FALSE)</f>
        <v>SWX</v>
      </c>
      <c r="C34" t="str">
        <f>VLOOKUP(A34,[24]WRDS!$B$1:$N$12,2,FALSE)</f>
        <v>SOUTHWEST GAS</v>
      </c>
      <c r="D34">
        <f>VLOOKUP(A34,[24]WRDS!$B$1:$N$12,12,FALSE)</f>
        <v>2.84</v>
      </c>
      <c r="E34">
        <f>VLOOKUP(A34,[25]WRDS!$B$1:$N$11,12,FALSE)</f>
        <v>3.62</v>
      </c>
      <c r="F34" s="1">
        <f t="shared" si="3"/>
        <v>3.1409498252431787</v>
      </c>
      <c r="G34" s="1">
        <f t="shared" si="4"/>
        <v>3.1409498252431787</v>
      </c>
      <c r="H34" s="2">
        <f t="shared" si="0"/>
        <v>6.2545552051125775E-2</v>
      </c>
      <c r="I34" s="2">
        <f>VLOOKUP(A34,[26]gzpaybtmrmbrf6fh!$B$1:$N$100,9,FALSE)/100</f>
        <v>2.5499999999999998E-2</v>
      </c>
      <c r="J34" s="2">
        <f>VLOOKUP(A34,[26]gzpaybtmrmbrf6fh!$B$1:$N$100,8,FALSE)/100</f>
        <v>2.5499999999999998E-2</v>
      </c>
      <c r="K34" s="2">
        <f t="shared" si="1"/>
        <v>-0.59229714721910409</v>
      </c>
      <c r="L34" s="2">
        <f t="shared" si="2"/>
        <v>-0.59229714721910409</v>
      </c>
      <c r="M34">
        <f>VLOOKUP(A34,[26]gzpaybtmrmbrf6fh!$B$1:$N$100,7,FALSE)</f>
        <v>2</v>
      </c>
      <c r="N34">
        <f>VLOOKUP(A34,[26]gzpaybtmrmbrf6fh!$B$1:$N$100,10,FALSE)</f>
        <v>2.0499999999999998</v>
      </c>
    </row>
    <row r="35" spans="1:14" x14ac:dyDescent="0.3">
      <c r="A35" t="s">
        <v>140</v>
      </c>
      <c r="B35" t="str">
        <f>VLOOKUP(A35,'[5]Ticker List'!$H$4:$I$20,2,FALSE)</f>
        <v>LG</v>
      </c>
      <c r="C35" t="s">
        <v>142</v>
      </c>
      <c r="D35">
        <v>3.05</v>
      </c>
      <c r="E35">
        <v>3.72</v>
      </c>
      <c r="F35" s="1">
        <f t="shared" si="3"/>
        <v>3.6931912004430498</v>
      </c>
      <c r="G35" s="1">
        <f t="shared" si="4"/>
        <v>3.6931912004430498</v>
      </c>
      <c r="H35" s="2">
        <f t="shared" si="0"/>
        <v>5.0898507226005529E-2</v>
      </c>
      <c r="I35" s="2">
        <v>4.9000000000000002E-2</v>
      </c>
      <c r="J35" s="2">
        <v>4.9000000000000002E-2</v>
      </c>
      <c r="K35" s="2">
        <f t="shared" si="1"/>
        <v>-3.729986063393869E-2</v>
      </c>
      <c r="L35" s="2">
        <f t="shared" si="2"/>
        <v>-3.729986063393869E-2</v>
      </c>
      <c r="M35">
        <v>1</v>
      </c>
      <c r="N35">
        <v>0</v>
      </c>
    </row>
  </sheetData>
  <mergeCells count="3">
    <mergeCell ref="P1:Q1"/>
    <mergeCell ref="P7:Q7"/>
    <mergeCell ref="P13:Q1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3B42A-DCDF-4C52-8DDD-05DF7A00241C}">
  <dimension ref="A1:Q39"/>
  <sheetViews>
    <sheetView topLeftCell="L1" workbookViewId="0">
      <selection activeCell="Q15" sqref="Q15"/>
    </sheetView>
  </sheetViews>
  <sheetFormatPr defaultRowHeight="14.4" x14ac:dyDescent="0.3"/>
  <cols>
    <col min="1" max="1" width="13.33203125" bestFit="1" customWidth="1"/>
    <col min="2" max="2" width="10.44140625" bestFit="1" customWidth="1"/>
    <col min="3" max="3" width="15.109375" bestFit="1" customWidth="1"/>
    <col min="4" max="5" width="15.44140625" bestFit="1" customWidth="1"/>
    <col min="6" max="6" width="14.33203125" bestFit="1" customWidth="1"/>
    <col min="7" max="7" width="16" bestFit="1" customWidth="1"/>
    <col min="8" max="8" width="18.33203125" bestFit="1" customWidth="1"/>
    <col min="9" max="9" width="21.44140625" bestFit="1" customWidth="1"/>
    <col min="10" max="10" width="23.109375" bestFit="1" customWidth="1"/>
    <col min="11" max="11" width="22" bestFit="1" customWidth="1"/>
    <col min="12" max="12" width="24.109375" bestFit="1" customWidth="1"/>
    <col min="13" max="13" width="19.88671875" bestFit="1" customWidth="1"/>
    <col min="14" max="14" width="8.33203125" bestFit="1" customWidth="1"/>
    <col min="16" max="16" width="51.88671875" bestFit="1" customWidth="1"/>
    <col min="17" max="17" width="12" bestFit="1" customWidth="1"/>
  </cols>
  <sheetData>
    <row r="1" spans="1:17" x14ac:dyDescent="0.3">
      <c r="A1" s="4" t="s">
        <v>0</v>
      </c>
      <c r="B1" s="4" t="s">
        <v>1</v>
      </c>
      <c r="C1" s="4" t="s">
        <v>2</v>
      </c>
      <c r="D1" s="4" t="s">
        <v>65</v>
      </c>
      <c r="E1" s="4" t="s">
        <v>66</v>
      </c>
      <c r="F1" s="4" t="s">
        <v>5</v>
      </c>
      <c r="G1" s="4" t="s">
        <v>6</v>
      </c>
      <c r="H1" s="4" t="s">
        <v>7</v>
      </c>
      <c r="I1" s="4" t="s">
        <v>8</v>
      </c>
      <c r="J1" s="4" t="s">
        <v>9</v>
      </c>
      <c r="K1" s="4" t="s">
        <v>10</v>
      </c>
      <c r="L1" s="4" t="s">
        <v>11</v>
      </c>
      <c r="M1" s="4" t="s">
        <v>12</v>
      </c>
      <c r="N1" s="4" t="s">
        <v>13</v>
      </c>
      <c r="P1" s="111" t="s">
        <v>14</v>
      </c>
      <c r="Q1" s="111"/>
    </row>
    <row r="2" spans="1:17" x14ac:dyDescent="0.3">
      <c r="A2" t="s">
        <v>17</v>
      </c>
      <c r="B2" t="str">
        <f>VLOOKUP(A2,[27]WRDS!$A$1:$N$100,2,FALSE)</f>
        <v>MPL</v>
      </c>
      <c r="C2" t="str">
        <f>VLOOKUP(A2,[27]WRDS!$A$1:$N$100,3,FALSE)</f>
        <v>ALLETE INC</v>
      </c>
      <c r="D2">
        <f>VLOOKUP(A2,[27]WRDS!$A$1:$N$100,13,FALSE)</f>
        <v>2.58</v>
      </c>
      <c r="E2">
        <f>VLOOKUP(A2,[3]WRDS!$A$1:$N$100,13,FALSE)</f>
        <v>3.13</v>
      </c>
      <c r="F2" s="1">
        <f>D2*(1+I2)^4</f>
        <v>3.2571905568000008</v>
      </c>
      <c r="G2" s="1">
        <f>D2*(1+J2)^4</f>
        <v>3.2571905568000008</v>
      </c>
      <c r="H2" s="2">
        <f t="shared" ref="H2:H39" si="0">((E2/D2)^(1/4)-1)</f>
        <v>4.9496894666418489E-2</v>
      </c>
      <c r="I2" s="2">
        <f>VLOOKUP(A2,[28]WRDS!$A$1:$O$100,10,FALSE)/100</f>
        <v>0.06</v>
      </c>
      <c r="J2" s="2">
        <f>VLOOKUP(A2,[28]WRDS!$A$1:$O$100,9,FALSE)/100</f>
        <v>0.06</v>
      </c>
      <c r="K2" s="2">
        <f t="shared" ref="K2:K39" si="1">(I2-H2)/(ABS(H2))</f>
        <v>0.21219725811824339</v>
      </c>
      <c r="L2" s="2">
        <f t="shared" ref="L2:L39" si="2">(J2-H2)/(ABS(H2))</f>
        <v>0.21219725811824339</v>
      </c>
      <c r="M2">
        <f>VLOOKUP(A2,[28]WRDS!$A$1:$O$100,8,FALSE)</f>
        <v>1</v>
      </c>
      <c r="N2">
        <f>VLOOKUP(A2,[28]WRDS!$A$1:$O$100,11,FALSE)</f>
        <v>0</v>
      </c>
      <c r="P2" t="s">
        <v>16</v>
      </c>
      <c r="Q2" s="3">
        <f>AVERAGE(H2:H999)</f>
        <v>3.879797740096614E-2</v>
      </c>
    </row>
    <row r="3" spans="1:17" x14ac:dyDescent="0.3">
      <c r="A3" t="s">
        <v>21</v>
      </c>
      <c r="B3" t="str">
        <f>VLOOKUP(A3,[27]WRDS!$A$1:$N$100,2,FALSE)</f>
        <v>CMS</v>
      </c>
      <c r="C3" t="str">
        <f>VLOOKUP(A3,[27]WRDS!$A$1:$N$100,3,FALSE)</f>
        <v>CMS ENERGY CORP</v>
      </c>
      <c r="D3">
        <f>VLOOKUP(A3,[27]WRDS!$A$1:$N$100,13,FALSE)</f>
        <v>1.55</v>
      </c>
      <c r="E3">
        <f>VLOOKUP(A3,[3]WRDS!$A$1:$N$100,13,FALSE)</f>
        <v>2.02</v>
      </c>
      <c r="F3" s="1">
        <f t="shared" ref="F3:F39" si="3">D3*(1+I3)^4</f>
        <v>1.9820669597818192</v>
      </c>
      <c r="G3" s="1">
        <f t="shared" ref="G3:G39" si="4">D3*(1+J3)^4</f>
        <v>1.9746218859875535</v>
      </c>
      <c r="H3" s="2">
        <f t="shared" si="0"/>
        <v>6.8451757612544739E-2</v>
      </c>
      <c r="I3" s="2">
        <f>VLOOKUP(A3,[28]WRDS!$A$1:$O$100,10,FALSE)/100</f>
        <v>6.3399999999999998E-2</v>
      </c>
      <c r="J3" s="2">
        <f>VLOOKUP(A3,[28]WRDS!$A$1:$O$100,9,FALSE)/100</f>
        <v>6.2400000000000004E-2</v>
      </c>
      <c r="K3" s="2">
        <f t="shared" si="1"/>
        <v>-7.3800261508828457E-2</v>
      </c>
      <c r="L3" s="2">
        <f t="shared" si="2"/>
        <v>-8.8409090191654424E-2</v>
      </c>
      <c r="M3">
        <f>VLOOKUP(A3,[28]WRDS!$A$1:$O$100,8,FALSE)</f>
        <v>4</v>
      </c>
      <c r="N3">
        <f>VLOOKUP(A3,[28]WRDS!$A$1:$O$100,11,FALSE)</f>
        <v>0.5</v>
      </c>
      <c r="P3" t="s">
        <v>18</v>
      </c>
      <c r="Q3" s="3">
        <f>AVERAGE(I2:I999)</f>
        <v>5.0834210526315787E-2</v>
      </c>
    </row>
    <row r="4" spans="1:17" x14ac:dyDescent="0.3">
      <c r="A4" t="s">
        <v>23</v>
      </c>
      <c r="B4" t="str">
        <f>VLOOKUP(A4,[27]WRDS!$A$1:$N$100,2,FALSE)</f>
        <v>HOU</v>
      </c>
      <c r="C4" t="str">
        <f>VLOOKUP(A4,[27]WRDS!$A$1:$N$100,3,FALSE)</f>
        <v>CENTERPOINT ENER</v>
      </c>
      <c r="D4">
        <f>VLOOKUP(A4,[27]WRDS!$A$1:$N$100,13,FALSE)</f>
        <v>1.25</v>
      </c>
      <c r="E4">
        <f>VLOOKUP(A4,[3]WRDS!$A$1:$N$100,13,FALSE)</f>
        <v>1.1599999999999999</v>
      </c>
      <c r="F4" s="1">
        <f t="shared" si="3"/>
        <v>1.5502929267780594</v>
      </c>
      <c r="G4" s="1">
        <f t="shared" si="4"/>
        <v>1.5544103731200005</v>
      </c>
      <c r="H4" s="2">
        <f t="shared" si="0"/>
        <v>-1.8507480261116038E-2</v>
      </c>
      <c r="I4" s="2">
        <f>VLOOKUP(A4,[28]WRDS!$A$1:$O$100,10,FALSE)/100</f>
        <v>5.5300000000000002E-2</v>
      </c>
      <c r="J4" s="2">
        <f>VLOOKUP(A4,[28]WRDS!$A$1:$O$100,9,FALSE)/100</f>
        <v>5.5999999999999994E-2</v>
      </c>
      <c r="K4" s="2">
        <f t="shared" si="1"/>
        <v>3.9879810336031829</v>
      </c>
      <c r="L4" s="2">
        <f t="shared" si="2"/>
        <v>4.0258035783323365</v>
      </c>
      <c r="M4">
        <f>VLOOKUP(A4,[28]WRDS!$A$1:$O$100,8,FALSE)</f>
        <v>3</v>
      </c>
      <c r="N4">
        <f>VLOOKUP(A4,[28]WRDS!$A$1:$O$100,11,FALSE)</f>
        <v>0.5</v>
      </c>
      <c r="P4" t="s">
        <v>20</v>
      </c>
      <c r="Q4" s="3">
        <f>(Q3-Q2)/ABS(Q2)</f>
        <v>0.3102283657974893</v>
      </c>
    </row>
    <row r="5" spans="1:17" x14ac:dyDescent="0.3">
      <c r="A5" t="s">
        <v>25</v>
      </c>
      <c r="B5" t="str">
        <f>VLOOKUP(A5,[27]WRDS!$A$1:$N$100,2,FALSE)</f>
        <v>D</v>
      </c>
      <c r="C5" t="str">
        <f>VLOOKUP(A5,[27]WRDS!$A$1:$N$100,3,FALSE)</f>
        <v>DOMINION RES INC</v>
      </c>
      <c r="D5">
        <f>VLOOKUP(A5,[27]WRDS!$A$1:$N$100,13,FALSE)</f>
        <v>3.05</v>
      </c>
      <c r="E5">
        <f>VLOOKUP(A5,[3]WRDS!$A$1:$N$100,13,FALSE)</f>
        <v>3.8</v>
      </c>
      <c r="F5" s="1">
        <f t="shared" si="3"/>
        <v>3.7271058771323555</v>
      </c>
      <c r="G5" s="1">
        <f t="shared" si="4"/>
        <v>3.7271058771323555</v>
      </c>
      <c r="H5" s="2">
        <f t="shared" si="0"/>
        <v>5.6503498028988464E-2</v>
      </c>
      <c r="I5" s="2">
        <f>VLOOKUP(A5,[28]WRDS!$A$1:$O$100,10,FALSE)/100</f>
        <v>5.1399999999999994E-2</v>
      </c>
      <c r="J5" s="2">
        <f>VLOOKUP(A5,[28]WRDS!$A$1:$O$100,9,FALSE)/100</f>
        <v>5.1399999999999994E-2</v>
      </c>
      <c r="K5" s="2">
        <f t="shared" si="1"/>
        <v>-9.0321806737879817E-2</v>
      </c>
      <c r="L5" s="2">
        <f t="shared" si="2"/>
        <v>-9.0321806737879817E-2</v>
      </c>
      <c r="M5">
        <f>VLOOKUP(A5,[28]WRDS!$A$1:$O$100,8,FALSE)</f>
        <v>2</v>
      </c>
      <c r="N5">
        <f>VLOOKUP(A5,[28]WRDS!$A$1:$O$100,11,FALSE)</f>
        <v>0.06</v>
      </c>
      <c r="P5" t="s">
        <v>22</v>
      </c>
      <c r="Q5" s="3">
        <f>AVERAGE(J2:J999)</f>
        <v>5.0231578947368426E-2</v>
      </c>
    </row>
    <row r="6" spans="1:17" x14ac:dyDescent="0.3">
      <c r="A6" t="s">
        <v>27</v>
      </c>
      <c r="B6" t="str">
        <f>VLOOKUP(A6,[27]WRDS!$A$1:$N$100,2,FALSE)</f>
        <v>DTE</v>
      </c>
      <c r="C6" t="str">
        <f>VLOOKUP(A6,[27]WRDS!$A$1:$N$100,3,FALSE)</f>
        <v>DTE ENERGY</v>
      </c>
      <c r="D6">
        <f>VLOOKUP(A6,[27]WRDS!$A$1:$N$100,13,FALSE)</f>
        <v>3.94</v>
      </c>
      <c r="E6">
        <f>VLOOKUP(A6,[3]WRDS!$A$1:$N$100,13,FALSE)</f>
        <v>5.28</v>
      </c>
      <c r="F6" s="1">
        <f t="shared" si="3"/>
        <v>4.7963964641551717</v>
      </c>
      <c r="G6" s="1">
        <f t="shared" si="4"/>
        <v>4.7890946249999997</v>
      </c>
      <c r="H6" s="2">
        <f t="shared" si="0"/>
        <v>7.5931011095782042E-2</v>
      </c>
      <c r="I6" s="2">
        <f>VLOOKUP(A6,[28]WRDS!$A$1:$O$100,10,FALSE)/100</f>
        <v>5.04E-2</v>
      </c>
      <c r="J6" s="2">
        <f>VLOOKUP(A6,[28]WRDS!$A$1:$O$100,9,FALSE)/100</f>
        <v>0.05</v>
      </c>
      <c r="K6" s="2">
        <f t="shared" si="1"/>
        <v>-0.33623957757623335</v>
      </c>
      <c r="L6" s="2">
        <f t="shared" si="2"/>
        <v>-0.34150751743673941</v>
      </c>
      <c r="M6">
        <f>VLOOKUP(A6,[28]WRDS!$A$1:$O$100,8,FALSE)</f>
        <v>3</v>
      </c>
      <c r="N6">
        <f>VLOOKUP(A6,[28]WRDS!$A$1:$O$100,11,FALSE)</f>
        <v>0.16</v>
      </c>
      <c r="P6" t="s">
        <v>24</v>
      </c>
      <c r="Q6" s="3">
        <f>(Q5-Q2)/ABS(Q2)</f>
        <v>0.29469581437813736</v>
      </c>
    </row>
    <row r="7" spans="1:17" x14ac:dyDescent="0.3">
      <c r="A7" t="s">
        <v>29</v>
      </c>
      <c r="B7" t="str">
        <f>VLOOKUP(A7,[27]WRDS!$A$1:$N$100,2,FALSE)</f>
        <v>DUK</v>
      </c>
      <c r="C7" t="str">
        <f>VLOOKUP(A7,[27]WRDS!$A$1:$N$100,3,FALSE)</f>
        <v>DUKE ENERGY CORP</v>
      </c>
      <c r="D7">
        <f>VLOOKUP(A7,[27]WRDS!$A$1:$N$100,13,FALSE)</f>
        <v>4.32</v>
      </c>
      <c r="E7">
        <f>VLOOKUP(A7,[3]WRDS!$A$1:$N$100,13,FALSE)</f>
        <v>4.6900000000000004</v>
      </c>
      <c r="F7" s="1">
        <f t="shared" si="3"/>
        <v>4.8527637703274715</v>
      </c>
      <c r="G7" s="1">
        <f t="shared" si="4"/>
        <v>4.8697553891276888</v>
      </c>
      <c r="H7" s="2">
        <f t="shared" si="0"/>
        <v>2.0756781715057127E-2</v>
      </c>
      <c r="I7" s="2">
        <f>VLOOKUP(A7,[28]WRDS!$A$1:$O$100,10,FALSE)/100</f>
        <v>2.9500000000000002E-2</v>
      </c>
      <c r="J7" s="2">
        <f>VLOOKUP(A7,[28]WRDS!$A$1:$O$100,9,FALSE)/100</f>
        <v>3.04E-2</v>
      </c>
      <c r="K7" s="2">
        <f t="shared" si="1"/>
        <v>0.42122224942995273</v>
      </c>
      <c r="L7" s="2">
        <f t="shared" si="2"/>
        <v>0.46458157229391733</v>
      </c>
      <c r="M7">
        <f>VLOOKUP(A7,[28]WRDS!$A$1:$O$100,8,FALSE)</f>
        <v>4</v>
      </c>
      <c r="N7">
        <f>VLOOKUP(A7,[28]WRDS!$A$1:$O$100,11,FALSE)</f>
        <v>1.92</v>
      </c>
      <c r="P7" s="111" t="s">
        <v>26</v>
      </c>
      <c r="Q7" s="111"/>
    </row>
    <row r="8" spans="1:17" x14ac:dyDescent="0.3">
      <c r="A8" t="s">
        <v>31</v>
      </c>
      <c r="B8" t="str">
        <f>VLOOKUP(A8,[27]WRDS!$A$1:$N$100,2,FALSE)</f>
        <v>ED</v>
      </c>
      <c r="C8" t="str">
        <f>VLOOKUP(A8,[27]WRDS!$A$1:$N$100,3,FALSE)</f>
        <v>CONSOLIDATED EDI</v>
      </c>
      <c r="D8">
        <f>VLOOKUP(A8,[27]WRDS!$A$1:$N$100,13,FALSE)</f>
        <v>3.75</v>
      </c>
      <c r="E8">
        <f>VLOOKUP(A8,[3]WRDS!$A$1:$N$100,13,FALSE)</f>
        <v>3.96</v>
      </c>
      <c r="F8" s="1">
        <f t="shared" si="3"/>
        <v>4.1944936340813754</v>
      </c>
      <c r="G8" s="1">
        <f t="shared" si="4"/>
        <v>4.2206580374999998</v>
      </c>
      <c r="H8" s="2">
        <f t="shared" si="0"/>
        <v>1.3715249117428607E-2</v>
      </c>
      <c r="I8" s="2">
        <f>VLOOKUP(A8,[28]WRDS!$A$1:$O$100,10,FALSE)/100</f>
        <v>2.8399999999999998E-2</v>
      </c>
      <c r="J8" s="2">
        <f>VLOOKUP(A8,[28]WRDS!$A$1:$O$100,9,FALSE)/100</f>
        <v>0.03</v>
      </c>
      <c r="K8" s="2">
        <f t="shared" si="1"/>
        <v>1.0706878713497658</v>
      </c>
      <c r="L8" s="2">
        <f t="shared" si="2"/>
        <v>1.1873463429751048</v>
      </c>
      <c r="M8">
        <f>VLOOKUP(A8,[28]WRDS!$A$1:$O$100,8,FALSE)</f>
        <v>3</v>
      </c>
      <c r="N8">
        <f>VLOOKUP(A8,[28]WRDS!$A$1:$O$100,11,FALSE)</f>
        <v>0.65</v>
      </c>
      <c r="P8" t="s">
        <v>28</v>
      </c>
      <c r="Q8" s="2">
        <f>MEDIAN(H2:H99)</f>
        <v>3.9837719391657922E-2</v>
      </c>
    </row>
    <row r="9" spans="1:17" x14ac:dyDescent="0.3">
      <c r="A9" t="s">
        <v>33</v>
      </c>
      <c r="B9" t="str">
        <f>VLOOKUP(A9,[27]WRDS!$A$1:$N$100,2,FALSE)</f>
        <v>SCE</v>
      </c>
      <c r="C9" t="str">
        <f>VLOOKUP(A9,[27]WRDS!$A$1:$N$100,3,FALSE)</f>
        <v>EDISON INTL</v>
      </c>
      <c r="D9">
        <f>VLOOKUP(A9,[27]WRDS!$A$1:$N$100,13,FALSE)</f>
        <v>3.92</v>
      </c>
      <c r="E9">
        <f>VLOOKUP(A9,[3]WRDS!$A$1:$N$100,13,FALSE)</f>
        <v>3.97</v>
      </c>
      <c r="F9" s="1">
        <f t="shared" si="3"/>
        <v>4.0678708864414004</v>
      </c>
      <c r="G9" s="1">
        <f t="shared" si="4"/>
        <v>4.0791677192</v>
      </c>
      <c r="H9" s="2">
        <f t="shared" si="0"/>
        <v>3.1736355759501844E-3</v>
      </c>
      <c r="I9" s="2">
        <f>VLOOKUP(A9,[28]WRDS!$A$1:$O$100,10,FALSE)/100</f>
        <v>9.300000000000001E-3</v>
      </c>
      <c r="J9" s="2">
        <f>VLOOKUP(A9,[28]WRDS!$A$1:$O$100,9,FALSE)/100</f>
        <v>0.01</v>
      </c>
      <c r="K9" s="2">
        <f t="shared" si="1"/>
        <v>1.9303931650109472</v>
      </c>
      <c r="L9" s="2">
        <f t="shared" si="2"/>
        <v>2.150960392484889</v>
      </c>
      <c r="M9">
        <f>VLOOKUP(A9,[28]WRDS!$A$1:$O$100,8,FALSE)</f>
        <v>3</v>
      </c>
      <c r="N9">
        <f>VLOOKUP(A9,[28]WRDS!$A$1:$O$100,11,FALSE)</f>
        <v>1.5</v>
      </c>
      <c r="P9" t="s">
        <v>30</v>
      </c>
      <c r="Q9" s="2">
        <f>MEDIAN(I2:I100)</f>
        <v>5.2650000000000002E-2</v>
      </c>
    </row>
    <row r="10" spans="1:17" x14ac:dyDescent="0.3">
      <c r="A10" t="s">
        <v>59</v>
      </c>
      <c r="B10" t="str">
        <f>VLOOKUP(A10,[27]WRDS!$A$1:$N$100,2,FALSE)</f>
        <v>MSU</v>
      </c>
      <c r="C10" t="str">
        <f>VLOOKUP(A10,[27]WRDS!$A$1:$N$100,3,FALSE)</f>
        <v>ENTERGY CP</v>
      </c>
      <c r="D10">
        <f>VLOOKUP(A10,[27]WRDS!$A$1:$N$100,13,FALSE)</f>
        <v>6.23</v>
      </c>
      <c r="E10">
        <f>VLOOKUP(A10,[3]WRDS!$A$1:$N$100,13,FALSE)</f>
        <v>7.11</v>
      </c>
      <c r="F10" s="1">
        <f t="shared" si="3"/>
        <v>6.23</v>
      </c>
      <c r="G10" s="1">
        <f t="shared" si="4"/>
        <v>6.23</v>
      </c>
      <c r="H10" s="2">
        <f t="shared" si="0"/>
        <v>3.3583073602923008E-2</v>
      </c>
      <c r="I10" s="2">
        <f>VLOOKUP(A10,[28]WRDS!$A$1:$O$100,10,FALSE)/100</f>
        <v>0</v>
      </c>
      <c r="J10" s="2">
        <f>VLOOKUP(A10,[28]WRDS!$A$1:$O$100,9,FALSE)/100</f>
        <v>0</v>
      </c>
      <c r="K10" s="2">
        <f t="shared" si="1"/>
        <v>-1</v>
      </c>
      <c r="L10" s="2">
        <f t="shared" si="2"/>
        <v>-1</v>
      </c>
      <c r="M10">
        <f>VLOOKUP(A10,[28]WRDS!$A$1:$O$100,8,FALSE)</f>
        <v>1</v>
      </c>
      <c r="N10">
        <f>VLOOKUP(A10,[28]WRDS!$A$1:$O$100,11,FALSE)</f>
        <v>0</v>
      </c>
      <c r="P10" t="s">
        <v>32</v>
      </c>
      <c r="Q10" s="2">
        <f>(Q9-Q8)/ABS(Q8)</f>
        <v>0.32161179916903054</v>
      </c>
    </row>
    <row r="11" spans="1:17" x14ac:dyDescent="0.3">
      <c r="A11" t="s">
        <v>67</v>
      </c>
      <c r="B11" t="str">
        <f>VLOOKUP(A11,[27]WRDS!$A$1:$N$100,2,FALSE)</f>
        <v>OEC</v>
      </c>
      <c r="C11" t="str">
        <f>VLOOKUP(A11,[27]WRDS!$A$1:$N$100,3,FALSE)</f>
        <v>FIRSTENERGY CORP</v>
      </c>
      <c r="D11">
        <f>VLOOKUP(A11,[27]WRDS!$A$1:$N$100,13,FALSE)</f>
        <v>3.34</v>
      </c>
      <c r="E11">
        <f>VLOOKUP(A11,[3]WRDS!$A$1:$N$100,13,FALSE)</f>
        <v>2.63</v>
      </c>
      <c r="F11" s="1">
        <f t="shared" si="3"/>
        <v>3.9073275904000004</v>
      </c>
      <c r="G11" s="1">
        <f t="shared" si="4"/>
        <v>3.9073275904000004</v>
      </c>
      <c r="H11" s="2">
        <f t="shared" si="0"/>
        <v>-5.7996925112891784E-2</v>
      </c>
      <c r="I11" s="2">
        <f>VLOOKUP(A11,[28]WRDS!$A$1:$O$100,10,FALSE)/100</f>
        <v>0.04</v>
      </c>
      <c r="J11" s="2">
        <f>VLOOKUP(A11,[28]WRDS!$A$1:$O$100,9,FALSE)/100</f>
        <v>0.04</v>
      </c>
      <c r="K11" s="2">
        <f t="shared" si="1"/>
        <v>1.6896917366246482</v>
      </c>
      <c r="L11" s="2">
        <f t="shared" si="2"/>
        <v>1.6896917366246482</v>
      </c>
      <c r="M11">
        <f>VLOOKUP(A11,[28]WRDS!$A$1:$O$100,8,FALSE)</f>
        <v>1</v>
      </c>
      <c r="N11">
        <f>VLOOKUP(A11,[28]WRDS!$A$1:$O$100,11,FALSE)</f>
        <v>0</v>
      </c>
      <c r="P11" t="s">
        <v>34</v>
      </c>
      <c r="Q11" s="2">
        <f>MEDIAN(J2:J99)</f>
        <v>0.05</v>
      </c>
    </row>
    <row r="12" spans="1:17" x14ac:dyDescent="0.3">
      <c r="A12" t="s">
        <v>68</v>
      </c>
      <c r="B12" t="str">
        <f>VLOOKUP(A12,[27]WRDS!$A$1:$N$100,2,FALSE)</f>
        <v>KLT</v>
      </c>
      <c r="C12" t="str">
        <f>VLOOKUP(A12,[27]WRDS!$A$1:$N$100,3,FALSE)</f>
        <v>GREAT PLAINS</v>
      </c>
      <c r="D12">
        <f>VLOOKUP(A12,[27]WRDS!$A$1:$N$100,13,FALSE)</f>
        <v>1.35</v>
      </c>
      <c r="E12">
        <f>VLOOKUP(A12,[3]WRDS!$A$1:$N$100,13,FALSE)</f>
        <v>1.85</v>
      </c>
      <c r="F12" s="1">
        <f t="shared" si="3"/>
        <v>1.9337621547096007</v>
      </c>
      <c r="G12" s="1">
        <f t="shared" si="4"/>
        <v>1.9337621547096007</v>
      </c>
      <c r="H12" s="2">
        <f t="shared" si="0"/>
        <v>8.1955726802818596E-2</v>
      </c>
      <c r="I12" s="2">
        <f>VLOOKUP(A12,[28]WRDS!$A$1:$O$100,10,FALSE)/100</f>
        <v>9.4E-2</v>
      </c>
      <c r="J12" s="2">
        <f>VLOOKUP(A12,[28]WRDS!$A$1:$O$100,9,FALSE)/100</f>
        <v>9.4E-2</v>
      </c>
      <c r="K12" s="2">
        <f t="shared" si="1"/>
        <v>0.14696072705400229</v>
      </c>
      <c r="L12" s="2">
        <f t="shared" si="2"/>
        <v>0.14696072705400229</v>
      </c>
      <c r="M12">
        <f>VLOOKUP(A12,[28]WRDS!$A$1:$O$100,8,FALSE)</f>
        <v>1</v>
      </c>
      <c r="N12">
        <f>VLOOKUP(A12,[28]WRDS!$A$1:$O$100,11,FALSE)</f>
        <v>0</v>
      </c>
      <c r="P12" t="s">
        <v>32</v>
      </c>
      <c r="Q12" s="2">
        <f>(Q11-Q8)/ABS(Q8)</f>
        <v>0.25509192703611638</v>
      </c>
    </row>
    <row r="13" spans="1:17" x14ac:dyDescent="0.3">
      <c r="A13" t="s">
        <v>36</v>
      </c>
      <c r="B13" t="str">
        <f>VLOOKUP(A13,[27]WRDS!$A$1:$N$100,2,FALSE)</f>
        <v>HE</v>
      </c>
      <c r="C13" t="str">
        <f>VLOOKUP(A13,[27]WRDS!$A$1:$N$100,3,FALSE)</f>
        <v>HAWAIIAN ELEC</v>
      </c>
      <c r="D13">
        <f>VLOOKUP(A13,[27]WRDS!$A$1:$N$100,13,FALSE)</f>
        <v>1.68</v>
      </c>
      <c r="E13">
        <f>VLOOKUP(A13,[3]WRDS!$A$1:$N$100,13,FALSE)</f>
        <v>1.75</v>
      </c>
      <c r="F13" s="1">
        <f t="shared" si="3"/>
        <v>2.2603312788688799</v>
      </c>
      <c r="G13" s="1">
        <f t="shared" si="4"/>
        <v>2.2603312788688799</v>
      </c>
      <c r="H13" s="2">
        <f t="shared" si="0"/>
        <v>1.025775233831161E-2</v>
      </c>
      <c r="I13" s="2">
        <f>VLOOKUP(A13,[28]WRDS!$A$1:$O$100,10,FALSE)/100</f>
        <v>7.6999999999999999E-2</v>
      </c>
      <c r="J13" s="2">
        <f>VLOOKUP(A13,[28]WRDS!$A$1:$O$100,9,FALSE)/100</f>
        <v>7.6999999999999999E-2</v>
      </c>
      <c r="K13" s="2">
        <f t="shared" si="1"/>
        <v>6.5065177497426232</v>
      </c>
      <c r="L13" s="2">
        <f t="shared" si="2"/>
        <v>6.5065177497426232</v>
      </c>
      <c r="M13">
        <f>VLOOKUP(A13,[28]WRDS!$A$1:$O$100,8,FALSE)</f>
        <v>1</v>
      </c>
      <c r="N13">
        <f>VLOOKUP(A13,[28]WRDS!$A$1:$O$100,11,FALSE)</f>
        <v>0</v>
      </c>
      <c r="P13" s="111" t="s">
        <v>37</v>
      </c>
      <c r="Q13" s="111"/>
    </row>
    <row r="14" spans="1:17" x14ac:dyDescent="0.3">
      <c r="A14" t="s">
        <v>38</v>
      </c>
      <c r="B14" t="str">
        <f>VLOOKUP(A14,[27]WRDS!$A$1:$N$100,2,FALSE)</f>
        <v>IDA</v>
      </c>
      <c r="C14" t="str">
        <f>VLOOKUP(A14,[27]WRDS!$A$1:$N$100,3,FALSE)</f>
        <v>IDACORP INC.</v>
      </c>
      <c r="D14">
        <f>VLOOKUP(A14,[27]WRDS!$A$1:$N$100,13,FALSE)</f>
        <v>3.37</v>
      </c>
      <c r="E14">
        <f>VLOOKUP(A14,[3]WRDS!$A$1:$N$100,13,FALSE)</f>
        <v>3.94</v>
      </c>
      <c r="F14" s="1">
        <f t="shared" si="3"/>
        <v>3.942423347200001</v>
      </c>
      <c r="G14" s="1">
        <f t="shared" si="4"/>
        <v>3.942423347200001</v>
      </c>
      <c r="H14" s="2">
        <f t="shared" si="0"/>
        <v>3.9840145133069438E-2</v>
      </c>
      <c r="I14" s="2">
        <f>VLOOKUP(A14,[28]WRDS!$A$1:$O$100,10,FALSE)/100</f>
        <v>0.04</v>
      </c>
      <c r="J14" s="2">
        <f>VLOOKUP(A14,[28]WRDS!$A$1:$O$100,9,FALSE)/100</f>
        <v>0.04</v>
      </c>
      <c r="K14" s="2">
        <f t="shared" si="1"/>
        <v>4.0124067419090538E-3</v>
      </c>
      <c r="L14" s="2">
        <f t="shared" si="2"/>
        <v>4.0124067419090538E-3</v>
      </c>
      <c r="M14">
        <f>VLOOKUP(A14,[28]WRDS!$A$1:$O$100,8,FALSE)</f>
        <v>2</v>
      </c>
      <c r="N14">
        <f>VLOOKUP(A14,[28]WRDS!$A$1:$O$100,11,FALSE)</f>
        <v>0</v>
      </c>
      <c r="P14" t="s">
        <v>39</v>
      </c>
      <c r="Q14" s="1">
        <f>AVERAGE(M2:M1002)</f>
        <v>2.0789473684210527</v>
      </c>
    </row>
    <row r="15" spans="1:17" x14ac:dyDescent="0.3">
      <c r="A15" t="s">
        <v>40</v>
      </c>
      <c r="B15" t="str">
        <f>VLOOKUP(A15,[27]WRDS!$A$1:$N$100,2,FALSE)</f>
        <v>WPL</v>
      </c>
      <c r="C15" t="str">
        <f>VLOOKUP(A15,[27]WRDS!$A$1:$N$100,3,FALSE)</f>
        <v>ALLIANT ENER</v>
      </c>
      <c r="D15">
        <f>VLOOKUP(A15,[27]WRDS!$A$1:$N$100,13,FALSE)</f>
        <v>1.5249999999999999</v>
      </c>
      <c r="E15">
        <f>VLOOKUP(A15,[3]WRDS!$A$1:$N$100,13,FALSE)</f>
        <v>1.88</v>
      </c>
      <c r="F15" s="1">
        <f t="shared" si="3"/>
        <v>1.8255619777204002</v>
      </c>
      <c r="G15" s="1">
        <f t="shared" si="4"/>
        <v>1.8255619777204002</v>
      </c>
      <c r="H15" s="2">
        <f t="shared" si="0"/>
        <v>5.3712183025987459E-2</v>
      </c>
      <c r="I15" s="2">
        <f>VLOOKUP(A15,[28]WRDS!$A$1:$O$100,10,FALSE)/100</f>
        <v>4.5999999999999999E-2</v>
      </c>
      <c r="J15" s="2">
        <f>VLOOKUP(A15,[28]WRDS!$A$1:$O$100,9,FALSE)/100</f>
        <v>4.5999999999999999E-2</v>
      </c>
      <c r="K15" s="2">
        <f t="shared" si="1"/>
        <v>-0.14358349617359789</v>
      </c>
      <c r="L15" s="2">
        <f t="shared" si="2"/>
        <v>-0.14358349617359789</v>
      </c>
      <c r="M15">
        <f>VLOOKUP(A15,[28]WRDS!$A$1:$O$100,8,FALSE)</f>
        <v>1</v>
      </c>
      <c r="N15">
        <f>VLOOKUP(A15,[28]WRDS!$A$1:$O$100,11,FALSE)</f>
        <v>0</v>
      </c>
      <c r="P15" t="s">
        <v>41</v>
      </c>
      <c r="Q15" s="1">
        <f>COUNT(N2:N1002)</f>
        <v>38</v>
      </c>
    </row>
    <row r="16" spans="1:17" x14ac:dyDescent="0.3">
      <c r="A16" t="s">
        <v>42</v>
      </c>
      <c r="B16" t="str">
        <f>VLOOKUP(A16,[27]WRDS!$A$1:$N$100,2,FALSE)</f>
        <v>FPL</v>
      </c>
      <c r="C16" t="str">
        <f>VLOOKUP(A16,[27]WRDS!$A$1:$N$100,3,FALSE)</f>
        <v>NEXTERA ENERGY I</v>
      </c>
      <c r="D16">
        <f>VLOOKUP(A16,[27]WRDS!$A$1:$N$100,13,FALSE)</f>
        <v>1.1425000000000001</v>
      </c>
      <c r="E16">
        <f>VLOOKUP(A16,[3]WRDS!$A$1:$N$100,13,FALSE)</f>
        <v>1.5475000000000001</v>
      </c>
      <c r="F16" s="1">
        <f t="shared" si="3"/>
        <v>1.4293611615049655</v>
      </c>
      <c r="G16" s="1">
        <f t="shared" si="4"/>
        <v>1.4478305770433424</v>
      </c>
      <c r="H16" s="2">
        <f t="shared" si="0"/>
        <v>7.8806643447951519E-2</v>
      </c>
      <c r="I16" s="2">
        <f>VLOOKUP(A16,[28]WRDS!$A$1:$O$100,10,FALSE)/100</f>
        <v>5.7599999999999998E-2</v>
      </c>
      <c r="J16" s="2">
        <f>VLOOKUP(A16,[28]WRDS!$A$1:$O$100,9,FALSE)/100</f>
        <v>6.0999999999999999E-2</v>
      </c>
      <c r="K16" s="2">
        <f t="shared" si="1"/>
        <v>-0.269097153743867</v>
      </c>
      <c r="L16" s="2">
        <f t="shared" si="2"/>
        <v>-0.22595358295791473</v>
      </c>
      <c r="M16">
        <f>VLOOKUP(A16,[28]WRDS!$A$1:$O$100,8,FALSE)</f>
        <v>3</v>
      </c>
      <c r="N16">
        <f>VLOOKUP(A16,[28]WRDS!$A$1:$O$100,11,FALSE)</f>
        <v>0.66</v>
      </c>
    </row>
    <row r="17" spans="1:14" x14ac:dyDescent="0.3">
      <c r="A17" t="s">
        <v>43</v>
      </c>
      <c r="B17" t="str">
        <f>VLOOKUP(A17,[27]WRDS!$A$1:$N$100,2,FALSE)</f>
        <v>NWPS</v>
      </c>
      <c r="C17" t="str">
        <f>VLOOKUP(A17,[27]WRDS!$A$1:$N$100,3,FALSE)</f>
        <v>NORTHWESTERN CP</v>
      </c>
      <c r="D17">
        <f>VLOOKUP(A17,[27]WRDS!$A$1:$N$100,13,FALSE)</f>
        <v>2.33</v>
      </c>
      <c r="E17">
        <f>VLOOKUP(A17,[3]WRDS!$A$1:$N$100,13,FALSE)</f>
        <v>3.11</v>
      </c>
      <c r="F17" s="1">
        <f t="shared" si="3"/>
        <v>3.0166512247849604</v>
      </c>
      <c r="G17" s="1">
        <f t="shared" si="4"/>
        <v>2.8321295625</v>
      </c>
      <c r="H17" s="2">
        <f t="shared" si="0"/>
        <v>7.4858058925936666E-2</v>
      </c>
      <c r="I17" s="2">
        <f>VLOOKUP(A17,[28]WRDS!$A$1:$O$100,10,FALSE)/100</f>
        <v>6.6699999999999995E-2</v>
      </c>
      <c r="J17" s="2">
        <f>VLOOKUP(A17,[28]WRDS!$A$1:$O$100,9,FALSE)/100</f>
        <v>0.05</v>
      </c>
      <c r="K17" s="2">
        <f t="shared" si="1"/>
        <v>-0.10898036955524214</v>
      </c>
      <c r="L17" s="2">
        <f t="shared" si="2"/>
        <v>-0.33206924254515896</v>
      </c>
      <c r="M17">
        <f>VLOOKUP(A17,[28]WRDS!$A$1:$O$100,8,FALSE)</f>
        <v>3</v>
      </c>
      <c r="N17">
        <f>VLOOKUP(A17,[28]WRDS!$A$1:$O$100,11,FALSE)</f>
        <v>2.89</v>
      </c>
    </row>
    <row r="18" spans="1:14" x14ac:dyDescent="0.3">
      <c r="A18" t="s">
        <v>44</v>
      </c>
      <c r="B18" t="str">
        <f>VLOOKUP(A18,[27]WRDS!$A$1:$N$100,2,FALSE)</f>
        <v>OGE</v>
      </c>
      <c r="C18" t="str">
        <f>VLOOKUP(A18,[27]WRDS!$A$1:$N$100,3,FALSE)</f>
        <v>OGE ENERGY CORP</v>
      </c>
      <c r="D18">
        <f>VLOOKUP(A18,[27]WRDS!$A$1:$N$100,13,FALSE)</f>
        <v>1.8</v>
      </c>
      <c r="E18">
        <f>VLOOKUP(A18,[3]WRDS!$A$1:$N$100,13,FALSE)</f>
        <v>1.69</v>
      </c>
      <c r="F18" s="1">
        <f t="shared" si="3"/>
        <v>2.2189137701040296</v>
      </c>
      <c r="G18" s="1">
        <f t="shared" si="4"/>
        <v>2.1962580645618002</v>
      </c>
      <c r="H18" s="2">
        <f t="shared" si="0"/>
        <v>-1.5640924128847766E-2</v>
      </c>
      <c r="I18" s="2">
        <f>VLOOKUP(A18,[28]WRDS!$A$1:$O$100,10,FALSE)/100</f>
        <v>5.3699999999999998E-2</v>
      </c>
      <c r="J18" s="2">
        <f>VLOOKUP(A18,[28]WRDS!$A$1:$O$100,9,FALSE)/100</f>
        <v>5.0999999999999997E-2</v>
      </c>
      <c r="K18" s="2">
        <f t="shared" si="1"/>
        <v>4.4333009710696656</v>
      </c>
      <c r="L18" s="2">
        <f t="shared" si="2"/>
        <v>4.2606768998985647</v>
      </c>
      <c r="M18">
        <f>VLOOKUP(A18,[28]WRDS!$A$1:$O$100,8,FALSE)</f>
        <v>3</v>
      </c>
      <c r="N18">
        <f>VLOOKUP(A18,[28]WRDS!$A$1:$O$100,11,FALSE)</f>
        <v>0.55000000000000004</v>
      </c>
    </row>
    <row r="19" spans="1:14" x14ac:dyDescent="0.3">
      <c r="A19" t="s">
        <v>69</v>
      </c>
      <c r="B19" t="str">
        <f>VLOOKUP(A19,[27]WRDS!$A$1:$N$100,2,FALSE)</f>
        <v>OTTR</v>
      </c>
      <c r="C19" t="str">
        <f>VLOOKUP(A19,[27]WRDS!$A$1:$N$100,3,FALSE)</f>
        <v>OTTER TAIL CORP.</v>
      </c>
      <c r="D19">
        <f>VLOOKUP(A19,[27]WRDS!$A$1:$N$100,13,FALSE)</f>
        <v>1.4279999999999999</v>
      </c>
      <c r="E19">
        <f>VLOOKUP(A19,[3]WRDS!$A$1:$N$100,13,FALSE)</f>
        <v>1.6</v>
      </c>
      <c r="F19" s="1">
        <f t="shared" si="3"/>
        <v>1.735742925</v>
      </c>
      <c r="G19" s="1">
        <f t="shared" si="4"/>
        <v>1.735742925</v>
      </c>
      <c r="H19" s="2">
        <f t="shared" si="0"/>
        <v>2.8840244182704255E-2</v>
      </c>
      <c r="I19" s="2">
        <f>VLOOKUP(A19,[28]WRDS!$A$1:$O$100,10,FALSE)/100</f>
        <v>0.05</v>
      </c>
      <c r="J19" s="2">
        <f>VLOOKUP(A19,[28]WRDS!$A$1:$O$100,9,FALSE)/100</f>
        <v>0.05</v>
      </c>
      <c r="K19" s="2">
        <f t="shared" si="1"/>
        <v>0.73368851120842582</v>
      </c>
      <c r="L19" s="2">
        <f t="shared" si="2"/>
        <v>0.73368851120842582</v>
      </c>
      <c r="M19">
        <f>VLOOKUP(A19,[28]WRDS!$A$1:$O$100,8,FALSE)</f>
        <v>1</v>
      </c>
      <c r="N19">
        <f>VLOOKUP(A19,[28]WRDS!$A$1:$O$100,11,FALSE)</f>
        <v>0</v>
      </c>
    </row>
    <row r="20" spans="1:14" x14ac:dyDescent="0.3">
      <c r="A20" t="s">
        <v>47</v>
      </c>
      <c r="B20" t="str">
        <f>VLOOKUP(A20,[27]WRDS!$A$1:$N$100,2,FALSE)</f>
        <v>PNM</v>
      </c>
      <c r="C20" t="str">
        <f>VLOOKUP(A20,[27]WRDS!$A$1:$N$100,3,FALSE)</f>
        <v>PNM RESOURCES</v>
      </c>
      <c r="D20">
        <f>VLOOKUP(A20,[27]WRDS!$A$1:$N$100,13,FALSE)</f>
        <v>1.31</v>
      </c>
      <c r="E20">
        <f>VLOOKUP(A20,[3]WRDS!$A$1:$N$100,13,FALSE)</f>
        <v>1.65</v>
      </c>
      <c r="F20" s="1">
        <f t="shared" si="3"/>
        <v>1.8696139654933097</v>
      </c>
      <c r="G20" s="1">
        <f t="shared" si="4"/>
        <v>1.8696139654933097</v>
      </c>
      <c r="H20" s="2">
        <f t="shared" si="0"/>
        <v>5.9383396732941351E-2</v>
      </c>
      <c r="I20" s="2">
        <f>VLOOKUP(A20,[28]WRDS!$A$1:$O$100,10,FALSE)/100</f>
        <v>9.3000000000000013E-2</v>
      </c>
      <c r="J20" s="2">
        <f>VLOOKUP(A20,[28]WRDS!$A$1:$O$100,9,FALSE)/100</f>
        <v>9.3000000000000013E-2</v>
      </c>
      <c r="K20" s="2">
        <f t="shared" si="1"/>
        <v>0.56609431451419068</v>
      </c>
      <c r="L20" s="2">
        <f t="shared" si="2"/>
        <v>0.56609431451419068</v>
      </c>
      <c r="M20">
        <f>VLOOKUP(A20,[28]WRDS!$A$1:$O$100,8,FALSE)</f>
        <v>2</v>
      </c>
      <c r="N20">
        <f>VLOOKUP(A20,[28]WRDS!$A$1:$O$100,11,FALSE)</f>
        <v>6.08</v>
      </c>
    </row>
    <row r="21" spans="1:14" x14ac:dyDescent="0.3">
      <c r="A21" t="s">
        <v>48</v>
      </c>
      <c r="B21" t="str">
        <f>VLOOKUP(A21,[27]WRDS!$A$1:$N$100,2,FALSE)</f>
        <v>AZP</v>
      </c>
      <c r="C21" t="str">
        <f>VLOOKUP(A21,[27]WRDS!$A$1:$N$100,3,FALSE)</f>
        <v>PINNACLE WST CAP</v>
      </c>
      <c r="D21">
        <f>VLOOKUP(A21,[27]WRDS!$A$1:$N$100,13,FALSE)</f>
        <v>3.5</v>
      </c>
      <c r="E21">
        <f>VLOOKUP(A21,[3]WRDS!$A$1:$N$100,13,FALSE)</f>
        <v>3.95</v>
      </c>
      <c r="F21" s="1">
        <f t="shared" si="3"/>
        <v>4.4689047933634987</v>
      </c>
      <c r="G21" s="1">
        <f t="shared" si="4"/>
        <v>4.4689047933634987</v>
      </c>
      <c r="H21" s="2">
        <f t="shared" si="0"/>
        <v>3.0699968608800976E-2</v>
      </c>
      <c r="I21" s="2">
        <f>VLOOKUP(A21,[28]WRDS!$A$1:$O$100,10,FALSE)/100</f>
        <v>6.3E-2</v>
      </c>
      <c r="J21" s="2">
        <f>VLOOKUP(A21,[28]WRDS!$A$1:$O$100,9,FALSE)/100</f>
        <v>6.3E-2</v>
      </c>
      <c r="K21" s="2">
        <f t="shared" si="1"/>
        <v>1.0521193621657108</v>
      </c>
      <c r="L21" s="2">
        <f t="shared" si="2"/>
        <v>1.0521193621657108</v>
      </c>
      <c r="M21">
        <f>VLOOKUP(A21,[28]WRDS!$A$1:$O$100,8,FALSE)</f>
        <v>2</v>
      </c>
      <c r="N21">
        <f>VLOOKUP(A21,[28]WRDS!$A$1:$O$100,11,FALSE)</f>
        <v>1.84</v>
      </c>
    </row>
    <row r="22" spans="1:14" x14ac:dyDescent="0.3">
      <c r="A22" t="s">
        <v>49</v>
      </c>
      <c r="B22" t="str">
        <f>VLOOKUP(A22,[27]WRDS!$A$1:$N$100,2,FALSE)</f>
        <v>POM</v>
      </c>
      <c r="C22" t="str">
        <f>VLOOKUP(A22,[27]WRDS!$A$1:$N$100,3,FALSE)</f>
        <v>PEPCO HOLDINGS</v>
      </c>
      <c r="D22">
        <f>VLOOKUP(A22,[27]WRDS!$A$1:$N$100,13,FALSE)</f>
        <v>1.21</v>
      </c>
      <c r="E22">
        <f>VLOOKUP(A22,[3]WRDS!$A$1:$N$100,13,FALSE)</f>
        <v>2.09</v>
      </c>
      <c r="F22" s="1">
        <f t="shared" si="3"/>
        <v>1.4836916478200546</v>
      </c>
      <c r="G22" s="1">
        <f t="shared" si="4"/>
        <v>1.4540257477340095</v>
      </c>
      <c r="H22" s="2">
        <f t="shared" si="0"/>
        <v>0.14641069488449121</v>
      </c>
      <c r="I22" s="2">
        <f>VLOOKUP(A22,[28]WRDS!$A$1:$O$100,10,FALSE)/100</f>
        <v>5.2300000000000006E-2</v>
      </c>
      <c r="J22" s="2">
        <f>VLOOKUP(A22,[28]WRDS!$A$1:$O$100,9,FALSE)/100</f>
        <v>4.7E-2</v>
      </c>
      <c r="K22" s="2">
        <f t="shared" si="1"/>
        <v>-0.64278565823855005</v>
      </c>
      <c r="L22" s="2">
        <f t="shared" si="2"/>
        <v>-0.67898519956428027</v>
      </c>
      <c r="M22">
        <f>VLOOKUP(A22,[28]WRDS!$A$1:$O$100,8,FALSE)</f>
        <v>3</v>
      </c>
      <c r="N22">
        <f>VLOOKUP(A22,[28]WRDS!$A$1:$O$100,11,FALSE)</f>
        <v>1.57</v>
      </c>
    </row>
    <row r="23" spans="1:14" x14ac:dyDescent="0.3">
      <c r="A23" t="s">
        <v>50</v>
      </c>
      <c r="B23" t="str">
        <f>VLOOKUP(A23,[27]WRDS!$A$1:$N$100,2,FALSE)</f>
        <v>PORO</v>
      </c>
      <c r="C23" t="str">
        <f>VLOOKUP(A23,[27]WRDS!$A$1:$N$100,3,FALSE)</f>
        <v>PORTLAND GENERAL</v>
      </c>
      <c r="D23">
        <f>VLOOKUP(A23,[27]WRDS!$A$1:$N$100,13,FALSE)</f>
        <v>1.87</v>
      </c>
      <c r="E23">
        <f>VLOOKUP(A23,[3]WRDS!$A$1:$N$100,13,FALSE)</f>
        <v>2.16</v>
      </c>
      <c r="F23" s="1">
        <f t="shared" si="3"/>
        <v>2.0225610389024862</v>
      </c>
      <c r="G23" s="1">
        <f t="shared" si="4"/>
        <v>2.0225610389024862</v>
      </c>
      <c r="H23" s="2">
        <f t="shared" si="0"/>
        <v>3.6699851088904945E-2</v>
      </c>
      <c r="I23" s="2">
        <f>VLOOKUP(A23,[28]WRDS!$A$1:$O$100,10,FALSE)/100</f>
        <v>1.9799999999999998E-2</v>
      </c>
      <c r="J23" s="2">
        <f>VLOOKUP(A23,[28]WRDS!$A$1:$O$100,9,FALSE)/100</f>
        <v>1.9799999999999998E-2</v>
      </c>
      <c r="K23" s="2">
        <f t="shared" si="1"/>
        <v>-0.46048827413400839</v>
      </c>
      <c r="L23" s="2">
        <f t="shared" si="2"/>
        <v>-0.46048827413400839</v>
      </c>
      <c r="M23">
        <f>VLOOKUP(A23,[28]WRDS!$A$1:$O$100,8,FALSE)</f>
        <v>2</v>
      </c>
      <c r="N23">
        <f>VLOOKUP(A23,[28]WRDS!$A$1:$O$100,11,FALSE)</f>
        <v>0.46</v>
      </c>
    </row>
    <row r="24" spans="1:14" x14ac:dyDescent="0.3">
      <c r="A24" t="s">
        <v>52</v>
      </c>
      <c r="B24" t="str">
        <f>VLOOKUP(A24,[27]WRDS!$A$1:$N$100,2,FALSE)</f>
        <v>SCG</v>
      </c>
      <c r="C24" t="str">
        <f>VLOOKUP(A24,[27]WRDS!$A$1:$N$100,3,FALSE)</f>
        <v>SCANA CP</v>
      </c>
      <c r="D24">
        <f>VLOOKUP(A24,[27]WRDS!$A$1:$N$100,13,FALSE)</f>
        <v>3.19</v>
      </c>
      <c r="E24">
        <f>VLOOKUP(A24,[3]WRDS!$A$1:$N$100,13,FALSE)</f>
        <v>4.16</v>
      </c>
      <c r="F24" s="1">
        <f t="shared" si="3"/>
        <v>4.0075812439251273</v>
      </c>
      <c r="G24" s="1">
        <f t="shared" si="4"/>
        <v>4.0273015024000012</v>
      </c>
      <c r="H24" s="2">
        <f t="shared" si="0"/>
        <v>6.8625816434988218E-2</v>
      </c>
      <c r="I24" s="2">
        <f>VLOOKUP(A24,[28]WRDS!$A$1:$O$100,10,FALSE)/100</f>
        <v>5.8700000000000002E-2</v>
      </c>
      <c r="J24" s="2">
        <f>VLOOKUP(A24,[28]WRDS!$A$1:$O$100,9,FALSE)/100</f>
        <v>0.06</v>
      </c>
      <c r="K24" s="2">
        <f t="shared" si="1"/>
        <v>-0.14463677010518788</v>
      </c>
      <c r="L24" s="2">
        <f t="shared" si="2"/>
        <v>-0.12569346177702348</v>
      </c>
      <c r="M24">
        <f>VLOOKUP(A24,[28]WRDS!$A$1:$O$100,8,FALSE)</f>
        <v>3</v>
      </c>
      <c r="N24">
        <f>VLOOKUP(A24,[28]WRDS!$A$1:$O$100,11,FALSE)</f>
        <v>0.71</v>
      </c>
    </row>
    <row r="25" spans="1:14" x14ac:dyDescent="0.3">
      <c r="A25" t="s">
        <v>53</v>
      </c>
      <c r="B25" t="str">
        <f>VLOOKUP(A25,[27]WRDS!$A$1:$N$100,2,FALSE)</f>
        <v>SO</v>
      </c>
      <c r="C25" t="str">
        <f>VLOOKUP(A25,[27]WRDS!$A$1:$N$100,3,FALSE)</f>
        <v>SOUTHN CO</v>
      </c>
      <c r="D25">
        <f>VLOOKUP(A25,[27]WRDS!$A$1:$N$100,13,FALSE)</f>
        <v>2.7</v>
      </c>
      <c r="E25">
        <f>VLOOKUP(A25,[3]WRDS!$A$1:$N$100,13,FALSE)</f>
        <v>2.89</v>
      </c>
      <c r="F25" s="1">
        <f t="shared" si="3"/>
        <v>3.2743718923309117</v>
      </c>
      <c r="G25" s="1">
        <f t="shared" si="4"/>
        <v>3.2793671193292853</v>
      </c>
      <c r="H25" s="2">
        <f t="shared" si="0"/>
        <v>1.7146524875012226E-2</v>
      </c>
      <c r="I25" s="2">
        <f>VLOOKUP(A25,[28]WRDS!$A$1:$O$100,10,FALSE)/100</f>
        <v>4.9400000000000006E-2</v>
      </c>
      <c r="J25" s="2">
        <f>VLOOKUP(A25,[28]WRDS!$A$1:$O$100,9,FALSE)/100</f>
        <v>4.9800000000000004E-2</v>
      </c>
      <c r="K25" s="2">
        <f t="shared" si="1"/>
        <v>1.8810502629597581</v>
      </c>
      <c r="L25" s="2">
        <f t="shared" si="2"/>
        <v>1.9043786051699585</v>
      </c>
      <c r="M25">
        <f>VLOOKUP(A25,[28]WRDS!$A$1:$O$100,8,FALSE)</f>
        <v>5</v>
      </c>
      <c r="N25">
        <f>VLOOKUP(A25,[28]WRDS!$A$1:$O$100,11,FALSE)</f>
        <v>0.09</v>
      </c>
    </row>
    <row r="26" spans="1:14" x14ac:dyDescent="0.3">
      <c r="A26" t="s">
        <v>54</v>
      </c>
      <c r="B26" t="str">
        <f>VLOOKUP(A26,[27]WRDS!$A$1:$N$100,2,FALSE)</f>
        <v>SDO</v>
      </c>
      <c r="C26" t="str">
        <f>VLOOKUP(A26,[27]WRDS!$A$1:$N$100,3,FALSE)</f>
        <v>SEMPRA ENERGY</v>
      </c>
      <c r="D26">
        <f>VLOOKUP(A26,[27]WRDS!$A$1:$N$100,13,FALSE)</f>
        <v>4.3499999999999996</v>
      </c>
      <c r="E26">
        <f>VLOOKUP(A26,[3]WRDS!$A$1:$N$100,13,FALSE)</f>
        <v>5.05</v>
      </c>
      <c r="F26" s="1">
        <f t="shared" si="3"/>
        <v>5.7019626434999999</v>
      </c>
      <c r="G26" s="1">
        <f t="shared" si="4"/>
        <v>5.7019626434999999</v>
      </c>
      <c r="H26" s="2">
        <f t="shared" si="0"/>
        <v>3.800759279325483E-2</v>
      </c>
      <c r="I26" s="2">
        <f>VLOOKUP(A26,[28]WRDS!$A$1:$O$100,10,FALSE)/100</f>
        <v>7.0000000000000007E-2</v>
      </c>
      <c r="J26" s="2">
        <f>VLOOKUP(A26,[28]WRDS!$A$1:$O$100,9,FALSE)/100</f>
        <v>7.0000000000000007E-2</v>
      </c>
      <c r="K26" s="2">
        <f t="shared" si="1"/>
        <v>0.84173726499255797</v>
      </c>
      <c r="L26" s="2">
        <f t="shared" si="2"/>
        <v>0.84173726499255797</v>
      </c>
      <c r="M26">
        <f>VLOOKUP(A26,[28]WRDS!$A$1:$O$100,8,FALSE)</f>
        <v>1</v>
      </c>
      <c r="N26">
        <f>VLOOKUP(A26,[28]WRDS!$A$1:$O$100,11,FALSE)</f>
        <v>0</v>
      </c>
    </row>
    <row r="27" spans="1:14" x14ac:dyDescent="0.3">
      <c r="A27" t="s">
        <v>55</v>
      </c>
      <c r="B27" t="str">
        <f>VLOOKUP(A27,[27]WRDS!$A$1:$N$100,2,FALSE)</f>
        <v>WPC</v>
      </c>
      <c r="C27" t="str">
        <f>VLOOKUP(A27,[27]WRDS!$A$1:$N$100,3,FALSE)</f>
        <v>WISCONSIN ENERGY</v>
      </c>
      <c r="D27">
        <f>VLOOKUP(A27,[27]WRDS!$A$1:$N$100,13,FALSE)</f>
        <v>2.35</v>
      </c>
      <c r="E27">
        <f>VLOOKUP(A27,[3]WRDS!$A$1:$N$100,13,FALSE)</f>
        <v>2.97</v>
      </c>
      <c r="F27" s="1">
        <f t="shared" si="3"/>
        <v>2.9333765208023501</v>
      </c>
      <c r="G27" s="1">
        <f t="shared" si="4"/>
        <v>2.8564396875</v>
      </c>
      <c r="H27" s="2">
        <f t="shared" si="0"/>
        <v>6.0283850921667215E-2</v>
      </c>
      <c r="I27" s="2">
        <f>VLOOKUP(A27,[28]WRDS!$A$1:$O$100,10,FALSE)/100</f>
        <v>5.7000000000000002E-2</v>
      </c>
      <c r="J27" s="2">
        <f>VLOOKUP(A27,[28]WRDS!$A$1:$O$100,9,FALSE)/100</f>
        <v>0.05</v>
      </c>
      <c r="K27" s="2">
        <f t="shared" si="1"/>
        <v>-5.4473144489960434E-2</v>
      </c>
      <c r="L27" s="2">
        <f t="shared" si="2"/>
        <v>-0.1705904776227723</v>
      </c>
      <c r="M27">
        <f>VLOOKUP(A27,[28]WRDS!$A$1:$O$100,8,FALSE)</f>
        <v>3</v>
      </c>
      <c r="N27">
        <f>VLOOKUP(A27,[28]WRDS!$A$1:$O$100,11,FALSE)</f>
        <v>1.21</v>
      </c>
    </row>
    <row r="28" spans="1:14" x14ac:dyDescent="0.3">
      <c r="A28" t="s">
        <v>64</v>
      </c>
      <c r="B28" t="str">
        <f>VLOOKUP(A28,[27]WRDS!$A$1:$N$100,2,FALSE)</f>
        <v>KAN</v>
      </c>
      <c r="C28" t="str">
        <f>VLOOKUP(A28,[27]WRDS!$A$1:$N$100,3,FALSE)</f>
        <v>WESTAR ENERGY</v>
      </c>
      <c r="D28">
        <f>VLOOKUP(A28,[27]WRDS!$A$1:$N$100,13,FALSE)</f>
        <v>2.15</v>
      </c>
      <c r="E28">
        <f>VLOOKUP(A28,[3]WRDS!$A$1:$N$100,13,FALSE)</f>
        <v>2.4300000000000002</v>
      </c>
      <c r="F28" s="1">
        <f t="shared" si="3"/>
        <v>2.7971996851584007</v>
      </c>
      <c r="G28" s="1">
        <f t="shared" si="4"/>
        <v>2.7971996851584007</v>
      </c>
      <c r="H28" s="2">
        <f t="shared" si="0"/>
        <v>3.1079027908876178E-2</v>
      </c>
      <c r="I28" s="2">
        <f>VLOOKUP(A28,[28]WRDS!$A$1:$O$100,10,FALSE)/100</f>
        <v>6.8000000000000005E-2</v>
      </c>
      <c r="J28" s="2">
        <f>VLOOKUP(A28,[28]WRDS!$A$1:$O$100,9,FALSE)/100</f>
        <v>6.8000000000000005E-2</v>
      </c>
      <c r="K28" s="2">
        <f t="shared" si="1"/>
        <v>1.1879706211975565</v>
      </c>
      <c r="L28" s="2">
        <f t="shared" si="2"/>
        <v>1.1879706211975565</v>
      </c>
      <c r="M28">
        <f>VLOOKUP(A28,[28]WRDS!$A$1:$O$100,8,FALSE)</f>
        <v>1</v>
      </c>
      <c r="N28">
        <f>VLOOKUP(A28,[28]WRDS!$A$1:$O$100,11,FALSE)</f>
        <v>0</v>
      </c>
    </row>
    <row r="29" spans="1:14" x14ac:dyDescent="0.3">
      <c r="A29" t="s">
        <v>56</v>
      </c>
      <c r="B29" t="str">
        <f>VLOOKUP(A29,[27]WRDS!$A$1:$N$100,2,FALSE)</f>
        <v>NSP</v>
      </c>
      <c r="C29" t="str">
        <f>VLOOKUP(A29,[27]WRDS!$A$1:$N$100,3,FALSE)</f>
        <v>XCEL ENERGY INC</v>
      </c>
      <c r="D29">
        <f>VLOOKUP(A29,[27]WRDS!$A$1:$N$100,13,FALSE)</f>
        <v>1.82</v>
      </c>
      <c r="E29">
        <f>VLOOKUP(A29,[3]WRDS!$A$1:$N$100,13,FALSE)</f>
        <v>2.21</v>
      </c>
      <c r="F29" s="1">
        <f t="shared" si="3"/>
        <v>2.2021256863869416</v>
      </c>
      <c r="G29" s="1">
        <f t="shared" si="4"/>
        <v>2.2122213749999999</v>
      </c>
      <c r="H29" s="2">
        <f t="shared" si="0"/>
        <v>4.973631452792926E-2</v>
      </c>
      <c r="I29" s="2">
        <f>VLOOKUP(A29,[28]WRDS!$A$1:$O$100,10,FALSE)/100</f>
        <v>4.8799999999999996E-2</v>
      </c>
      <c r="J29" s="2">
        <f>VLOOKUP(A29,[28]WRDS!$A$1:$O$100,9,FALSE)/100</f>
        <v>0.05</v>
      </c>
      <c r="K29" s="2">
        <f t="shared" si="1"/>
        <v>-1.8825571150903816E-2</v>
      </c>
      <c r="L29" s="2">
        <f t="shared" si="2"/>
        <v>5.3016689027626188E-3</v>
      </c>
      <c r="M29">
        <f>VLOOKUP(A29,[28]WRDS!$A$1:$O$100,8,FALSE)</f>
        <v>4</v>
      </c>
      <c r="N29">
        <f>VLOOKUP(A29,[28]WRDS!$A$1:$O$100,11,FALSE)</f>
        <v>0.32</v>
      </c>
    </row>
    <row r="30" spans="1:14" x14ac:dyDescent="0.3">
      <c r="A30" t="s">
        <v>132</v>
      </c>
      <c r="B30" t="str">
        <f>VLOOKUP(A30,'[5]Ticker List'!$H$4:$I$20,2,FALSE)</f>
        <v>EGAS</v>
      </c>
      <c r="C30" t="str">
        <f>VLOOKUP(A30,[29]WRDS!$B$1:$N$13,2,FALSE)</f>
        <v>ATMOS ENERGY CP</v>
      </c>
      <c r="D30">
        <f>VLOOKUP(A30,[29]WRDS!$B$1:$N$13,12,FALSE)</f>
        <v>2.5299999999999998</v>
      </c>
      <c r="E30">
        <f>VLOOKUP(A30,[7]WRDS!$B$1:$N$20,12,FALSE)</f>
        <v>3.6</v>
      </c>
      <c r="F30" s="1">
        <f t="shared" si="3"/>
        <v>3.1940667088000008</v>
      </c>
      <c r="G30" s="1">
        <f t="shared" si="4"/>
        <v>3.1940667088000008</v>
      </c>
      <c r="H30" s="2">
        <f t="shared" si="0"/>
        <v>9.2183207493740982E-2</v>
      </c>
      <c r="I30" s="2">
        <f>VLOOKUP(A30,[30]fxlarihdhppyk9rg!$B$1:$N$100,9,FALSE)/100</f>
        <v>0.06</v>
      </c>
      <c r="J30" s="2">
        <f>VLOOKUP(A30,[30]fxlarihdhppyk9rg!$B$1:$N$100,8,FALSE)/100</f>
        <v>0.06</v>
      </c>
      <c r="K30" s="2">
        <f t="shared" si="1"/>
        <v>-0.34912223569489209</v>
      </c>
      <c r="L30" s="2">
        <f t="shared" si="2"/>
        <v>-0.34912223569489209</v>
      </c>
      <c r="M30">
        <f>VLOOKUP(A30,[30]fxlarihdhppyk9rg!$B$1:$N$100,7,FALSE)</f>
        <v>2</v>
      </c>
      <c r="N30">
        <f>VLOOKUP(A30,[30]fxlarihdhppyk9rg!$B$1:$N$100,10,FALSE)</f>
        <v>0</v>
      </c>
    </row>
    <row r="31" spans="1:14" x14ac:dyDescent="0.3">
      <c r="A31" t="s">
        <v>133</v>
      </c>
      <c r="B31" t="str">
        <f>VLOOKUP(A31,'[5]Ticker List'!$H$4:$I$20,2,FALSE)</f>
        <v>CHPK</v>
      </c>
      <c r="C31" t="str">
        <f>VLOOKUP(A31,[29]WRDS!$B$1:$N$13,2,FALSE)</f>
        <v>CHESAPEAKE UTIL</v>
      </c>
      <c r="D31">
        <f>VLOOKUP(A31,[29]WRDS!$B$1:$N$13,12,FALSE)</f>
        <v>1.9933000000000001</v>
      </c>
      <c r="E31">
        <f>VLOOKUP(A31,[7]WRDS!$B$1:$N$20,12,FALSE)</f>
        <v>2.86</v>
      </c>
      <c r="F31" s="1">
        <f t="shared" si="3"/>
        <v>2.2434767109729998</v>
      </c>
      <c r="G31" s="1">
        <f t="shared" si="4"/>
        <v>2.2434767109729998</v>
      </c>
      <c r="H31" s="2">
        <f t="shared" si="0"/>
        <v>9.4456088490734391E-2</v>
      </c>
      <c r="I31" s="2">
        <f>VLOOKUP(A31,[30]fxlarihdhppyk9rg!$B$1:$N$100,9,FALSE)/100</f>
        <v>0.03</v>
      </c>
      <c r="J31" s="2">
        <f>VLOOKUP(A31,[30]fxlarihdhppyk9rg!$B$1:$N$100,8,FALSE)/100</f>
        <v>0.03</v>
      </c>
      <c r="K31" s="2">
        <f t="shared" si="1"/>
        <v>-0.68239209902342257</v>
      </c>
      <c r="L31" s="2">
        <f t="shared" si="2"/>
        <v>-0.68239209902342257</v>
      </c>
      <c r="M31">
        <f>VLOOKUP(A31,[30]fxlarihdhppyk9rg!$B$1:$N$100,7,FALSE)</f>
        <v>1</v>
      </c>
      <c r="N31">
        <f>VLOOKUP(A31,[30]fxlarihdhppyk9rg!$B$1:$N$100,10,FALSE)</f>
        <v>0</v>
      </c>
    </row>
    <row r="32" spans="1:14" x14ac:dyDescent="0.3">
      <c r="A32" t="s">
        <v>134</v>
      </c>
      <c r="B32" t="str">
        <f>VLOOKUP(A32,'[5]Ticker List'!$H$4:$I$20,2,FALSE)</f>
        <v>NJR</v>
      </c>
      <c r="C32" t="str">
        <f>VLOOKUP(A32,[29]WRDS!$B$1:$N$13,2,FALSE)</f>
        <v>NEW JERSEY RES</v>
      </c>
      <c r="D32">
        <f>VLOOKUP(A32,[29]WRDS!$B$1:$N$13,12,FALSE)</f>
        <v>1.36</v>
      </c>
      <c r="E32">
        <f>VLOOKUP(A32,[7]WRDS!$B$1:$N$20,12,FALSE)</f>
        <v>1.73</v>
      </c>
      <c r="F32" s="1">
        <f t="shared" si="3"/>
        <v>1.5129364382797597</v>
      </c>
      <c r="G32" s="1">
        <f t="shared" si="4"/>
        <v>1.5129364382797597</v>
      </c>
      <c r="H32" s="2">
        <f t="shared" si="0"/>
        <v>6.2005580156327067E-2</v>
      </c>
      <c r="I32" s="2">
        <f>VLOOKUP(A32,[30]fxlarihdhppyk9rg!$B$1:$N$100,9,FALSE)/100</f>
        <v>2.7000000000000003E-2</v>
      </c>
      <c r="J32" s="2">
        <f>VLOOKUP(A32,[30]fxlarihdhppyk9rg!$B$1:$N$100,8,FALSE)/100</f>
        <v>2.7000000000000003E-2</v>
      </c>
      <c r="K32" s="2">
        <f t="shared" si="1"/>
        <v>-0.56455532015137644</v>
      </c>
      <c r="L32" s="2">
        <f t="shared" si="2"/>
        <v>-0.56455532015137644</v>
      </c>
      <c r="M32">
        <f>VLOOKUP(A32,[30]fxlarihdhppyk9rg!$B$1:$N$100,7,FALSE)</f>
        <v>1</v>
      </c>
      <c r="N32">
        <f>VLOOKUP(A32,[30]fxlarihdhppyk9rg!$B$1:$N$100,10,FALSE)</f>
        <v>0</v>
      </c>
    </row>
    <row r="33" spans="1:14" x14ac:dyDescent="0.3">
      <c r="A33" t="s">
        <v>135</v>
      </c>
      <c r="B33" t="str">
        <f>VLOOKUP(A33,'[5]Ticker List'!$H$4:$I$20,2,FALSE)</f>
        <v>NI</v>
      </c>
      <c r="C33" t="str">
        <f>VLOOKUP(A33,[29]WRDS!$B$1:$N$13,2,FALSE)</f>
        <v>NISOURCE INC</v>
      </c>
      <c r="D33">
        <f>VLOOKUP(A33,[29]WRDS!$B$1:$N$13,12,FALSE)</f>
        <v>1.42</v>
      </c>
      <c r="E33">
        <f>VLOOKUP(A33,[7]WRDS!$B$1:$N$20,12,FALSE)</f>
        <v>1.0900000000000001</v>
      </c>
      <c r="F33" s="1">
        <f t="shared" si="3"/>
        <v>1.8405432284318193</v>
      </c>
      <c r="G33" s="1">
        <f t="shared" si="4"/>
        <v>1.8405432284318193</v>
      </c>
      <c r="H33" s="2">
        <f t="shared" si="0"/>
        <v>-6.3981271705457754E-2</v>
      </c>
      <c r="I33" s="2">
        <f>VLOOKUP(A33,[30]fxlarihdhppyk9rg!$B$1:$N$100,9,FALSE)/100</f>
        <v>6.7000000000000004E-2</v>
      </c>
      <c r="J33" s="2">
        <f>VLOOKUP(A33,[30]fxlarihdhppyk9rg!$B$1:$N$100,8,FALSE)/100</f>
        <v>6.7000000000000004E-2</v>
      </c>
      <c r="K33" s="2">
        <f t="shared" si="1"/>
        <v>2.0471814362871559</v>
      </c>
      <c r="L33" s="2">
        <f t="shared" si="2"/>
        <v>2.0471814362871559</v>
      </c>
      <c r="M33">
        <f>VLOOKUP(A33,[30]fxlarihdhppyk9rg!$B$1:$N$100,7,FALSE)</f>
        <v>1</v>
      </c>
      <c r="N33">
        <f>VLOOKUP(A33,[30]fxlarihdhppyk9rg!$B$1:$N$100,10,FALSE)</f>
        <v>0</v>
      </c>
    </row>
    <row r="34" spans="1:14" x14ac:dyDescent="0.3">
      <c r="A34" t="s">
        <v>136</v>
      </c>
      <c r="B34" t="str">
        <f>VLOOKUP(A34,'[5]Ticker List'!$H$4:$I$20,2,FALSE)</f>
        <v>NWNG</v>
      </c>
      <c r="C34" t="str">
        <f>VLOOKUP(A34,[29]WRDS!$B$1:$N$13,2,FALSE)</f>
        <v>NW NATURAL GAS</v>
      </c>
      <c r="D34">
        <f>VLOOKUP(A34,[29]WRDS!$B$1:$N$13,12,FALSE)</f>
        <v>2.3199999999999998</v>
      </c>
      <c r="E34">
        <f>VLOOKUP(A34,[7]WRDS!$B$1:$N$20,12,FALSE)</f>
        <v>2.19</v>
      </c>
      <c r="F34" s="1">
        <f t="shared" si="3"/>
        <v>2.7666431534499987</v>
      </c>
      <c r="G34" s="1">
        <f t="shared" si="4"/>
        <v>2.7666431534499987</v>
      </c>
      <c r="H34" s="2">
        <f t="shared" si="0"/>
        <v>-1.4312991589923385E-2</v>
      </c>
      <c r="I34" s="2">
        <f>VLOOKUP(A34,[30]fxlarihdhppyk9rg!$B$1:$N$100,9,FALSE)/100</f>
        <v>4.4999999999999998E-2</v>
      </c>
      <c r="J34" s="2">
        <f>VLOOKUP(A34,[30]fxlarihdhppyk9rg!$B$1:$N$100,8,FALSE)/100</f>
        <v>4.4999999999999998E-2</v>
      </c>
      <c r="K34" s="2">
        <f t="shared" si="1"/>
        <v>4.1439968169673795</v>
      </c>
      <c r="L34" s="2">
        <f t="shared" si="2"/>
        <v>4.1439968169673795</v>
      </c>
      <c r="M34">
        <f>VLOOKUP(A34,[30]fxlarihdhppyk9rg!$B$1:$N$100,7,FALSE)</f>
        <v>1</v>
      </c>
      <c r="N34">
        <f>VLOOKUP(A34,[30]fxlarihdhppyk9rg!$B$1:$N$100,10,FALSE)</f>
        <v>0</v>
      </c>
    </row>
    <row r="35" spans="1:14" x14ac:dyDescent="0.3">
      <c r="A35" t="s">
        <v>138</v>
      </c>
      <c r="B35" t="str">
        <f>VLOOKUP(A35,'[5]Ticker List'!$H$4:$I$20,2,FALSE)</f>
        <v>SJI</v>
      </c>
      <c r="C35" t="str">
        <f>VLOOKUP(A35,[29]WRDS!$B$1:$N$13,2,FALSE)</f>
        <v>SO JERSEY INDS</v>
      </c>
      <c r="D35">
        <f>VLOOKUP(A35,[29]WRDS!$B$1:$N$13,12,FALSE)</f>
        <v>1.5149999999999999</v>
      </c>
      <c r="E35">
        <f>VLOOKUP(A35,[7]WRDS!$B$1:$N$20,12,FALSE)</f>
        <v>1.34</v>
      </c>
      <c r="F35" s="1">
        <f t="shared" si="3"/>
        <v>1.9126525944000003</v>
      </c>
      <c r="G35" s="1">
        <f t="shared" si="4"/>
        <v>1.9126525944000003</v>
      </c>
      <c r="H35" s="2">
        <f t="shared" si="0"/>
        <v>-3.0220406257498555E-2</v>
      </c>
      <c r="I35" s="2">
        <f>VLOOKUP(A35,[30]fxlarihdhppyk9rg!$B$1:$N$100,9,FALSE)/100</f>
        <v>0.06</v>
      </c>
      <c r="J35" s="2">
        <f>VLOOKUP(A35,[30]fxlarihdhppyk9rg!$B$1:$N$100,8,FALSE)/100</f>
        <v>0.06</v>
      </c>
      <c r="K35" s="2">
        <f t="shared" si="1"/>
        <v>2.9854134153180771</v>
      </c>
      <c r="L35" s="2">
        <f t="shared" si="2"/>
        <v>2.9854134153180771</v>
      </c>
      <c r="M35">
        <f>VLOOKUP(A35,[30]fxlarihdhppyk9rg!$B$1:$N$100,7,FALSE)</f>
        <v>1</v>
      </c>
      <c r="N35">
        <f>VLOOKUP(A35,[30]fxlarihdhppyk9rg!$B$1:$N$100,10,FALSE)</f>
        <v>0</v>
      </c>
    </row>
    <row r="36" spans="1:14" x14ac:dyDescent="0.3">
      <c r="A36" t="s">
        <v>139</v>
      </c>
      <c r="B36" t="str">
        <f>VLOOKUP(A36,'[5]Ticker List'!$H$4:$I$20,2,FALSE)</f>
        <v>SWX</v>
      </c>
      <c r="C36" t="str">
        <f>VLOOKUP(A36,[29]WRDS!$B$1:$N$13,2,FALSE)</f>
        <v>SOUTHWEST GAS</v>
      </c>
      <c r="D36">
        <f>VLOOKUP(A36,[29]WRDS!$B$1:$N$13,12,FALSE)</f>
        <v>2.72</v>
      </c>
      <c r="E36">
        <f>VLOOKUP(A36,[7]WRDS!$B$1:$N$20,12,FALSE)</f>
        <v>3.18</v>
      </c>
      <c r="F36" s="1">
        <f t="shared" si="3"/>
        <v>3.1881389577025692</v>
      </c>
      <c r="G36" s="1">
        <f t="shared" si="4"/>
        <v>3.1881389577025692</v>
      </c>
      <c r="H36" s="2">
        <f t="shared" si="0"/>
        <v>3.9835293650246406E-2</v>
      </c>
      <c r="I36" s="2">
        <f>VLOOKUP(A36,[30]fxlarihdhppyk9rg!$B$1:$N$100,9,FALSE)/100</f>
        <v>4.0500000000000001E-2</v>
      </c>
      <c r="J36" s="2">
        <f>VLOOKUP(A36,[30]fxlarihdhppyk9rg!$B$1:$N$100,8,FALSE)/100</f>
        <v>4.0500000000000001E-2</v>
      </c>
      <c r="K36" s="2">
        <f t="shared" si="1"/>
        <v>1.6686367510924161E-2</v>
      </c>
      <c r="L36" s="2">
        <f t="shared" si="2"/>
        <v>1.6686367510924161E-2</v>
      </c>
      <c r="M36">
        <f>VLOOKUP(A36,[30]fxlarihdhppyk9rg!$B$1:$N$100,7,FALSE)</f>
        <v>2</v>
      </c>
      <c r="N36">
        <f>VLOOKUP(A36,[30]fxlarihdhppyk9rg!$B$1:$N$100,10,FALSE)</f>
        <v>2.76</v>
      </c>
    </row>
    <row r="37" spans="1:14" x14ac:dyDescent="0.3">
      <c r="A37" t="s">
        <v>143</v>
      </c>
      <c r="B37" t="str">
        <f>VLOOKUP(A37,'[5]Ticker List'!$H$4:$I$20,2,FALSE)</f>
        <v>LG</v>
      </c>
      <c r="C37" t="str">
        <f>VLOOKUP(A37,[29]WRDS!$B$1:$N$13,2,FALSE)</f>
        <v>LACLEDE GROUP</v>
      </c>
      <c r="D37">
        <f>VLOOKUP(A37,[29]WRDS!$B$1:$N$13,12,FALSE)</f>
        <v>2.87</v>
      </c>
      <c r="E37">
        <f>VLOOKUP(A37,[7]WRDS!$B$1:$N$20,12,FALSE)</f>
        <v>3.42</v>
      </c>
      <c r="F37" s="1">
        <f t="shared" si="3"/>
        <v>3.5285427336404696</v>
      </c>
      <c r="G37" s="1">
        <f t="shared" si="4"/>
        <v>3.5285427336404696</v>
      </c>
      <c r="H37" s="2">
        <f t="shared" si="0"/>
        <v>4.4806948764023913E-2</v>
      </c>
      <c r="I37" s="2">
        <f>VLOOKUP(A37,[30]fxlarihdhppyk9rg!$B$1:$N$100,9,FALSE)/100</f>
        <v>5.2999999999999999E-2</v>
      </c>
      <c r="J37" s="2">
        <f>VLOOKUP(A37,[30]fxlarihdhppyk9rg!$B$1:$N$100,8,FALSE)/100</f>
        <v>5.2999999999999999E-2</v>
      </c>
      <c r="K37" s="2">
        <f t="shared" si="1"/>
        <v>0.18285224640322739</v>
      </c>
      <c r="L37" s="2">
        <f t="shared" si="2"/>
        <v>0.18285224640322739</v>
      </c>
      <c r="M37">
        <f>VLOOKUP(A37,[30]fxlarihdhppyk9rg!$B$1:$N$100,7,FALSE)</f>
        <v>1</v>
      </c>
      <c r="N37">
        <f>VLOOKUP(A37,[30]fxlarihdhppyk9rg!$B$1:$N$100,10,FALSE)</f>
        <v>0</v>
      </c>
    </row>
    <row r="38" spans="1:14" x14ac:dyDescent="0.3">
      <c r="A38" t="s">
        <v>144</v>
      </c>
      <c r="B38" t="str">
        <f>VLOOKUP(A38,'[5]Ticker List'!$H$4:$I$20,2,FALSE)</f>
        <v>GAS</v>
      </c>
      <c r="C38" t="str">
        <f>VLOOKUP(A38,[29]WRDS!$B$1:$N$13,2,FALSE)</f>
        <v>AGL RESOURCES</v>
      </c>
      <c r="D38">
        <f>VLOOKUP(A38,[29]WRDS!$B$1:$N$13,12,FALSE)</f>
        <v>2.46</v>
      </c>
      <c r="E38">
        <v>2.84</v>
      </c>
      <c r="F38" s="1">
        <f t="shared" si="3"/>
        <v>2.8833903808633528</v>
      </c>
      <c r="G38" s="1">
        <f t="shared" si="4"/>
        <v>2.8833903808633528</v>
      </c>
      <c r="H38" s="2">
        <f t="shared" si="0"/>
        <v>3.6563251920612494E-2</v>
      </c>
      <c r="I38" s="2">
        <f>VLOOKUP(A38,[30]fxlarihdhppyk9rg!$B$1:$N$100,9,FALSE)/100</f>
        <v>4.0500000000000001E-2</v>
      </c>
      <c r="J38" s="2">
        <f>VLOOKUP(A38,[30]fxlarihdhppyk9rg!$B$1:$N$100,8,FALSE)/100</f>
        <v>4.0500000000000001E-2</v>
      </c>
      <c r="K38" s="2">
        <f t="shared" si="1"/>
        <v>0.10766952808068392</v>
      </c>
      <c r="L38" s="2">
        <f t="shared" si="2"/>
        <v>0.10766952808068392</v>
      </c>
      <c r="M38">
        <f>VLOOKUP(A38,[30]fxlarihdhppyk9rg!$B$1:$N$100,7,FALSE)</f>
        <v>2</v>
      </c>
      <c r="N38">
        <f>VLOOKUP(A38,[30]fxlarihdhppyk9rg!$B$1:$N$100,10,FALSE)</f>
        <v>7.0000000000000007E-2</v>
      </c>
    </row>
    <row r="39" spans="1:14" x14ac:dyDescent="0.3">
      <c r="A39" t="s">
        <v>145</v>
      </c>
      <c r="B39" t="str">
        <f>VLOOKUP(A39,'[5]Ticker List'!$H$4:$I$20,2,FALSE)</f>
        <v>WGL</v>
      </c>
      <c r="C39" t="str">
        <f>VLOOKUP(A39,[29]WRDS!$B$1:$N$13,2,FALSE)</f>
        <v>WGL HOLDING INC</v>
      </c>
      <c r="D39">
        <f>VLOOKUP(A39,[29]WRDS!$B$1:$N$13,12,FALSE)</f>
        <v>2.31</v>
      </c>
      <c r="E39">
        <f>VLOOKUP(A39,[7]WRDS!$B$1:$N$20,12,FALSE)</f>
        <v>3.11</v>
      </c>
      <c r="F39" s="1">
        <f t="shared" si="3"/>
        <v>2.872550369525761</v>
      </c>
      <c r="G39" s="1">
        <f t="shared" si="4"/>
        <v>2.872550369525761</v>
      </c>
      <c r="H39" s="2">
        <f t="shared" si="0"/>
        <v>7.7177075768024572E-2</v>
      </c>
      <c r="I39" s="2">
        <f>VLOOKUP(A39,[30]fxlarihdhppyk9rg!$B$1:$N$100,9,FALSE)/100</f>
        <v>5.5999999999999994E-2</v>
      </c>
      <c r="J39" s="2">
        <f>VLOOKUP(A39,[30]fxlarihdhppyk9rg!$B$1:$N$100,8,FALSE)/100</f>
        <v>5.5999999999999994E-2</v>
      </c>
      <c r="K39" s="2">
        <f t="shared" si="1"/>
        <v>-0.27439593373138016</v>
      </c>
      <c r="L39" s="2">
        <f t="shared" si="2"/>
        <v>-0.27439593373138016</v>
      </c>
      <c r="M39">
        <f>VLOOKUP(A39,[30]fxlarihdhppyk9rg!$B$1:$N$100,7,FALSE)</f>
        <v>1</v>
      </c>
      <c r="N39">
        <f>VLOOKUP(A39,[30]fxlarihdhppyk9rg!$B$1:$N$100,10,FALSE)</f>
        <v>0</v>
      </c>
    </row>
  </sheetData>
  <mergeCells count="3">
    <mergeCell ref="P1:Q1"/>
    <mergeCell ref="P7:Q7"/>
    <mergeCell ref="P13:Q1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7DB65A-1841-48C8-8928-CC63CBF812F3}">
  <dimension ref="A1:Q50"/>
  <sheetViews>
    <sheetView topLeftCell="A13" workbookViewId="0">
      <selection activeCell="A50" sqref="A50"/>
    </sheetView>
  </sheetViews>
  <sheetFormatPr defaultRowHeight="14.4" x14ac:dyDescent="0.3"/>
  <cols>
    <col min="1" max="1" width="13.33203125" bestFit="1" customWidth="1"/>
    <col min="2" max="2" width="10.44140625" bestFit="1" customWidth="1"/>
    <col min="3" max="3" width="15.109375" bestFit="1" customWidth="1"/>
    <col min="4" max="5" width="15.44140625" bestFit="1" customWidth="1"/>
    <col min="6" max="6" width="14.33203125" bestFit="1" customWidth="1"/>
    <col min="7" max="7" width="16" bestFit="1" customWidth="1"/>
    <col min="8" max="8" width="18.33203125" bestFit="1" customWidth="1"/>
    <col min="9" max="9" width="21.44140625" bestFit="1" customWidth="1"/>
    <col min="10" max="10" width="23.109375" bestFit="1" customWidth="1"/>
    <col min="11" max="11" width="22" bestFit="1" customWidth="1"/>
    <col min="12" max="12" width="24.109375" bestFit="1" customWidth="1"/>
    <col min="13" max="13" width="19.88671875" bestFit="1" customWidth="1"/>
    <col min="14" max="14" width="8.33203125" bestFit="1" customWidth="1"/>
    <col min="16" max="16" width="51.88671875" bestFit="1" customWidth="1"/>
    <col min="17" max="17" width="10.109375" bestFit="1" customWidth="1"/>
  </cols>
  <sheetData>
    <row r="1" spans="1:17" x14ac:dyDescent="0.3">
      <c r="A1" s="4" t="s">
        <v>0</v>
      </c>
      <c r="B1" s="4" t="s">
        <v>1</v>
      </c>
      <c r="C1" s="4" t="s">
        <v>2</v>
      </c>
      <c r="D1" s="4" t="s">
        <v>70</v>
      </c>
      <c r="E1" s="4" t="s">
        <v>3</v>
      </c>
      <c r="F1" s="4" t="s">
        <v>5</v>
      </c>
      <c r="G1" s="4" t="s">
        <v>6</v>
      </c>
      <c r="H1" s="4" t="s">
        <v>7</v>
      </c>
      <c r="I1" s="4" t="s">
        <v>8</v>
      </c>
      <c r="J1" s="4" t="s">
        <v>9</v>
      </c>
      <c r="K1" s="4" t="s">
        <v>10</v>
      </c>
      <c r="L1" s="4" t="s">
        <v>11</v>
      </c>
      <c r="M1" s="4" t="s">
        <v>12</v>
      </c>
      <c r="N1" s="4" t="s">
        <v>13</v>
      </c>
      <c r="P1" s="111" t="s">
        <v>14</v>
      </c>
      <c r="Q1" s="111"/>
    </row>
    <row r="2" spans="1:17" x14ac:dyDescent="0.3">
      <c r="A2" t="s">
        <v>17</v>
      </c>
      <c r="B2" t="str">
        <f>VLOOKUP(A2,[31]WRDS!$A$1:$N$100,2,FALSE)</f>
        <v>MPL</v>
      </c>
      <c r="C2" t="str">
        <f>VLOOKUP(A2,[31]WRDS!$A$1:$N$100,3,FALSE)</f>
        <v>ALLETE INC</v>
      </c>
      <c r="D2">
        <f>VLOOKUP(A2,[31]WRDS!$A$1:$N$100,13,FALSE)</f>
        <v>2.39</v>
      </c>
      <c r="E2">
        <f>VLOOKUP(A2,[9]WRDS!$A$1:$N$100,13,FALSE)</f>
        <v>3.06</v>
      </c>
      <c r="F2" s="1">
        <f>D2*(1+I2)^4</f>
        <v>3.2515686144000009</v>
      </c>
      <c r="G2" s="1">
        <f>D2*(1+J2)^4</f>
        <v>3.2515686144000009</v>
      </c>
      <c r="H2" s="2">
        <f t="shared" ref="H2:H50" si="0">((E2/D2)^(1/4)-1)</f>
        <v>6.3728710958539825E-2</v>
      </c>
      <c r="I2" s="2">
        <f>VLOOKUP(A2,[32]WRDS!$A$1:$O$100,10,FALSE)/100</f>
        <v>0.08</v>
      </c>
      <c r="J2" s="2">
        <f>VLOOKUP(A2,[32]WRDS!$A$1:$O$100,9,FALSE)/100</f>
        <v>0.08</v>
      </c>
      <c r="K2" s="2">
        <f t="shared" ref="K2:K50" si="1">(I2-H2)/(ABS(H2))</f>
        <v>0.2553211699518893</v>
      </c>
      <c r="L2" s="2">
        <f t="shared" ref="L2:L50" si="2">(J2-H2)/(ABS(H2))</f>
        <v>0.2553211699518893</v>
      </c>
      <c r="M2">
        <f>VLOOKUP(A2,[32]WRDS!$A$1:$O$100,8,FALSE)</f>
        <v>1</v>
      </c>
      <c r="N2">
        <f>VLOOKUP(A2,[32]WRDS!$A$1:$O$100,11,FALSE)</f>
        <v>0</v>
      </c>
      <c r="P2" t="s">
        <v>16</v>
      </c>
      <c r="Q2" s="3">
        <f>AVERAGE(H2:H999)</f>
        <v>2.2778184726852332E-2</v>
      </c>
    </row>
    <row r="3" spans="1:17" x14ac:dyDescent="0.3">
      <c r="A3" t="s">
        <v>63</v>
      </c>
      <c r="B3" t="str">
        <f>VLOOKUP(A3,[31]WRDS!$A$1:$N$100,2,FALSE)</f>
        <v>WWP</v>
      </c>
      <c r="C3" t="str">
        <f>VLOOKUP(A3,[31]WRDS!$A$1:$N$100,3,FALSE)</f>
        <v>AVISTA CORP</v>
      </c>
      <c r="D3">
        <f>VLOOKUP(A3,[31]WRDS!$A$1:$N$100,13,FALSE)</f>
        <v>1.72</v>
      </c>
      <c r="E3">
        <f>VLOOKUP(A3,[9]WRDS!$A$1:$N$100,13,FALSE)</f>
        <v>1.97</v>
      </c>
      <c r="F3" s="1">
        <f t="shared" ref="F3:F50" si="3">D3*(1+I3)^4</f>
        <v>2.0511319930749989</v>
      </c>
      <c r="G3" s="1">
        <f t="shared" ref="G3:G50" si="4">D3*(1+J3)^4</f>
        <v>2.0511319930749989</v>
      </c>
      <c r="H3" s="2">
        <f t="shared" si="0"/>
        <v>3.4509408590287283E-2</v>
      </c>
      <c r="I3" s="2">
        <f>VLOOKUP(A3,[32]WRDS!$A$1:$O$100,10,FALSE)/100</f>
        <v>4.4999999999999998E-2</v>
      </c>
      <c r="J3" s="2">
        <f>VLOOKUP(A3,[32]WRDS!$A$1:$O$100,9,FALSE)/100</f>
        <v>4.4999999999999998E-2</v>
      </c>
      <c r="K3" s="2">
        <f t="shared" si="1"/>
        <v>0.30399221076959593</v>
      </c>
      <c r="L3" s="2">
        <f t="shared" si="2"/>
        <v>0.30399221076959593</v>
      </c>
      <c r="M3">
        <f>VLOOKUP(A3,[32]WRDS!$A$1:$O$100,8,FALSE)</f>
        <v>2</v>
      </c>
      <c r="N3">
        <f>VLOOKUP(A3,[32]WRDS!$A$1:$O$100,11,FALSE)</f>
        <v>0.71</v>
      </c>
      <c r="P3" t="s">
        <v>18</v>
      </c>
      <c r="Q3" s="3">
        <f>AVERAGE(I2:I999)</f>
        <v>5.4459183673469393E-2</v>
      </c>
    </row>
    <row r="4" spans="1:17" x14ac:dyDescent="0.3">
      <c r="A4" t="s">
        <v>19</v>
      </c>
      <c r="B4" t="str">
        <f>VLOOKUP(A4,[31]WRDS!$A$1:$N$100,2,FALSE)</f>
        <v>BHP</v>
      </c>
      <c r="C4" t="str">
        <f>VLOOKUP(A4,[31]WRDS!$A$1:$N$100,3,FALSE)</f>
        <v>BLACK HILLS CP</v>
      </c>
      <c r="D4">
        <f>VLOOKUP(A4,[31]WRDS!$A$1:$N$100,13,FALSE)</f>
        <v>1.92</v>
      </c>
      <c r="E4">
        <f>VLOOKUP(A4,[9]WRDS!$A$1:$N$100,13,FALSE)</f>
        <v>2.98</v>
      </c>
      <c r="F4" s="1">
        <f t="shared" si="3"/>
        <v>2.2461284352000002</v>
      </c>
      <c r="G4" s="1">
        <f t="shared" si="4"/>
        <v>2.2461284352000002</v>
      </c>
      <c r="H4" s="2">
        <f t="shared" si="0"/>
        <v>0.11616592209395016</v>
      </c>
      <c r="I4" s="2">
        <f>VLOOKUP(A4,[32]WRDS!$A$1:$O$100,10,FALSE)/100</f>
        <v>0.04</v>
      </c>
      <c r="J4" s="2">
        <f>VLOOKUP(A4,[32]WRDS!$A$1:$O$100,9,FALSE)/100</f>
        <v>0.04</v>
      </c>
      <c r="K4" s="2">
        <f t="shared" si="1"/>
        <v>-0.65566493788385138</v>
      </c>
      <c r="L4" s="2">
        <f t="shared" si="2"/>
        <v>-0.65566493788385138</v>
      </c>
      <c r="M4">
        <f>VLOOKUP(A4,[32]WRDS!$A$1:$O$100,8,FALSE)</f>
        <v>1</v>
      </c>
      <c r="N4">
        <f>VLOOKUP(A4,[32]WRDS!$A$1:$O$100,11,FALSE)</f>
        <v>0</v>
      </c>
      <c r="P4" t="s">
        <v>20</v>
      </c>
      <c r="Q4" s="3">
        <f>(Q3-Q2)/ABS(Q2)</f>
        <v>1.3908482755111538</v>
      </c>
    </row>
    <row r="5" spans="1:17" x14ac:dyDescent="0.3">
      <c r="A5" t="s">
        <v>21</v>
      </c>
      <c r="B5" t="str">
        <f>VLOOKUP(A5,[31]WRDS!$A$1:$N$100,2,FALSE)</f>
        <v>CMS</v>
      </c>
      <c r="C5" t="str">
        <f>VLOOKUP(A5,[31]WRDS!$A$1:$N$100,3,FALSE)</f>
        <v>CMS ENERGY CORP</v>
      </c>
      <c r="D5">
        <f>VLOOKUP(A5,[31]WRDS!$A$1:$N$100,13,FALSE)</f>
        <v>1.45</v>
      </c>
      <c r="E5">
        <f>VLOOKUP(A5,[9]WRDS!$A$1:$N$100,13,FALSE)</f>
        <v>1.89</v>
      </c>
      <c r="F5" s="1">
        <f t="shared" si="3"/>
        <v>1.8257608548383835</v>
      </c>
      <c r="G5" s="1">
        <f t="shared" si="4"/>
        <v>1.8305915920000004</v>
      </c>
      <c r="H5" s="2">
        <f t="shared" si="0"/>
        <v>6.8497352669196321E-2</v>
      </c>
      <c r="I5" s="2">
        <f>VLOOKUP(A5,[32]WRDS!$A$1:$O$100,10,FALSE)/100</f>
        <v>5.9299999999999999E-2</v>
      </c>
      <c r="J5" s="2">
        <f>VLOOKUP(A5,[32]WRDS!$A$1:$O$100,9,FALSE)/100</f>
        <v>0.06</v>
      </c>
      <c r="K5" s="2">
        <f t="shared" si="1"/>
        <v>-0.13427311145314422</v>
      </c>
      <c r="L5" s="2">
        <f t="shared" si="2"/>
        <v>-0.12405373840115773</v>
      </c>
      <c r="M5">
        <f>VLOOKUP(A5,[32]WRDS!$A$1:$O$100,8,FALSE)</f>
        <v>6</v>
      </c>
      <c r="N5">
        <f>VLOOKUP(A5,[32]WRDS!$A$1:$O$100,11,FALSE)</f>
        <v>0.52</v>
      </c>
      <c r="P5" t="s">
        <v>22</v>
      </c>
      <c r="Q5" s="3">
        <f>AVERAGE(J2:J999)</f>
        <v>5.4975510204081639E-2</v>
      </c>
    </row>
    <row r="6" spans="1:17" x14ac:dyDescent="0.3">
      <c r="A6" t="s">
        <v>71</v>
      </c>
      <c r="B6" t="str">
        <f>VLOOKUP(A6,[31]WRDS!$A$1:$N$100,2,FALSE)</f>
        <v>CNL</v>
      </c>
      <c r="C6" t="str">
        <f>VLOOKUP(A6,[31]WRDS!$A$1:$N$100,3,FALSE)</f>
        <v>CLECO CORP</v>
      </c>
      <c r="D6">
        <f>VLOOKUP(A6,[31]WRDS!$A$1:$N$100,13,FALSE)</f>
        <v>2.5299999999999998</v>
      </c>
      <c r="E6">
        <f>VLOOKUP(A6,[9]WRDS!$A$1:$N$100,13,FALSE)</f>
        <v>2.29</v>
      </c>
      <c r="F6" s="1">
        <f t="shared" si="3"/>
        <v>2.8475372892999995</v>
      </c>
      <c r="G6" s="1">
        <f t="shared" si="4"/>
        <v>2.8475372892999995</v>
      </c>
      <c r="H6" s="2">
        <f t="shared" si="0"/>
        <v>-2.4609008350093053E-2</v>
      </c>
      <c r="I6" s="2">
        <f>VLOOKUP(A6,[32]WRDS!$A$1:$O$100,10,FALSE)/100</f>
        <v>0.03</v>
      </c>
      <c r="J6" s="2">
        <f>VLOOKUP(A6,[32]WRDS!$A$1:$O$100,9,FALSE)/100</f>
        <v>0.03</v>
      </c>
      <c r="K6" s="2">
        <f t="shared" si="1"/>
        <v>2.219065781652537</v>
      </c>
      <c r="L6" s="2">
        <f t="shared" si="2"/>
        <v>2.219065781652537</v>
      </c>
      <c r="M6">
        <f>VLOOKUP(A6,[32]WRDS!$A$1:$O$100,8,FALSE)</f>
        <v>1</v>
      </c>
      <c r="N6">
        <f>VLOOKUP(A6,[32]WRDS!$A$1:$O$100,11,FALSE)</f>
        <v>0</v>
      </c>
      <c r="P6" t="s">
        <v>24</v>
      </c>
      <c r="Q6" s="3">
        <f>(Q5-Q2)/ABS(Q2)</f>
        <v>1.4135158645575963</v>
      </c>
    </row>
    <row r="7" spans="1:17" x14ac:dyDescent="0.3">
      <c r="A7" t="s">
        <v>23</v>
      </c>
      <c r="B7" t="str">
        <f>VLOOKUP(A7,[31]WRDS!$A$1:$N$100,2,FALSE)</f>
        <v>HOU</v>
      </c>
      <c r="C7" t="str">
        <f>VLOOKUP(A7,[31]WRDS!$A$1:$N$100,3,FALSE)</f>
        <v>CENTERPOINT ENER</v>
      </c>
      <c r="D7">
        <f>VLOOKUP(A7,[31]WRDS!$A$1:$N$100,13,FALSE)</f>
        <v>1.27</v>
      </c>
      <c r="E7">
        <f>VLOOKUP(A7,[9]WRDS!$A$1:$N$100,13,FALSE)</f>
        <v>1.1000000000000001</v>
      </c>
      <c r="F7" s="1">
        <f t="shared" si="3"/>
        <v>1.6033457392000003</v>
      </c>
      <c r="G7" s="1">
        <f t="shared" si="4"/>
        <v>1.5733073062937497</v>
      </c>
      <c r="H7" s="2">
        <f t="shared" si="0"/>
        <v>-3.5288976658294557E-2</v>
      </c>
      <c r="I7" s="2">
        <f>VLOOKUP(A7,[32]WRDS!$A$1:$O$100,10,FALSE)/100</f>
        <v>0.06</v>
      </c>
      <c r="J7" s="2">
        <f>VLOOKUP(A7,[32]WRDS!$A$1:$O$100,9,FALSE)/100</f>
        <v>5.5E-2</v>
      </c>
      <c r="K7" s="2">
        <f t="shared" si="1"/>
        <v>2.7002476603666885</v>
      </c>
      <c r="L7" s="2">
        <f t="shared" si="2"/>
        <v>2.5585603553361307</v>
      </c>
      <c r="M7">
        <f>VLOOKUP(A7,[32]WRDS!$A$1:$O$100,8,FALSE)</f>
        <v>6</v>
      </c>
      <c r="N7">
        <f>VLOOKUP(A7,[32]WRDS!$A$1:$O$100,11,FALSE)</f>
        <v>1.86</v>
      </c>
      <c r="P7" s="111" t="s">
        <v>26</v>
      </c>
      <c r="Q7" s="111"/>
    </row>
    <row r="8" spans="1:17" x14ac:dyDescent="0.3">
      <c r="A8" t="s">
        <v>25</v>
      </c>
      <c r="B8" t="str">
        <f>VLOOKUP(A8,[31]WRDS!$A$1:$N$100,2,FALSE)</f>
        <v>D</v>
      </c>
      <c r="C8" t="str">
        <f>VLOOKUP(A8,[31]WRDS!$A$1:$N$100,3,FALSE)</f>
        <v>DOMINION RES INC</v>
      </c>
      <c r="D8">
        <f>VLOOKUP(A8,[31]WRDS!$A$1:$N$100,13,FALSE)</f>
        <v>3.05</v>
      </c>
      <c r="E8">
        <f>VLOOKUP(A8,[9]WRDS!$A$1:$N$100,13,FALSE)</f>
        <v>3.44</v>
      </c>
      <c r="F8" s="1">
        <f t="shared" si="3"/>
        <v>3.4595421677567995</v>
      </c>
      <c r="G8" s="1">
        <f t="shared" si="4"/>
        <v>3.4128486065626902</v>
      </c>
      <c r="H8" s="2">
        <f t="shared" si="0"/>
        <v>3.0539519240588842E-2</v>
      </c>
      <c r="I8" s="2">
        <f>VLOOKUP(A8,[32]WRDS!$A$1:$O$100,10,FALSE)/100</f>
        <v>3.2000000000000001E-2</v>
      </c>
      <c r="J8" s="2">
        <f>VLOOKUP(A8,[32]WRDS!$A$1:$O$100,9,FALSE)/100</f>
        <v>2.8500000000000001E-2</v>
      </c>
      <c r="K8" s="2">
        <f t="shared" si="1"/>
        <v>4.7822650641798352E-2</v>
      </c>
      <c r="L8" s="2">
        <f t="shared" si="2"/>
        <v>-6.6782951772148325E-2</v>
      </c>
      <c r="M8">
        <f>VLOOKUP(A8,[32]WRDS!$A$1:$O$100,8,FALSE)</f>
        <v>4</v>
      </c>
      <c r="N8">
        <f>VLOOKUP(A8,[32]WRDS!$A$1:$O$100,11,FALSE)</f>
        <v>2.25</v>
      </c>
      <c r="P8" t="s">
        <v>28</v>
      </c>
      <c r="Q8" s="2">
        <f>MEDIAN(H2:H99)</f>
        <v>3.5959844827033516E-2</v>
      </c>
    </row>
    <row r="9" spans="1:17" x14ac:dyDescent="0.3">
      <c r="A9" t="s">
        <v>27</v>
      </c>
      <c r="B9" t="str">
        <f>VLOOKUP(A9,[31]WRDS!$A$1:$N$100,2,FALSE)</f>
        <v>DTE</v>
      </c>
      <c r="C9" t="str">
        <f>VLOOKUP(A9,[31]WRDS!$A$1:$N$100,3,FALSE)</f>
        <v>DTE ENERGY</v>
      </c>
      <c r="D9">
        <f>VLOOKUP(A9,[31]WRDS!$A$1:$N$100,13,FALSE)</f>
        <v>3.71</v>
      </c>
      <c r="E9">
        <f>VLOOKUP(A9,[9]WRDS!$A$1:$N$100,13,FALSE)</f>
        <v>4.82</v>
      </c>
      <c r="F9" s="1">
        <f t="shared" si="3"/>
        <v>4.2474468894112594</v>
      </c>
      <c r="G9" s="1">
        <f t="shared" si="4"/>
        <v>4.2130597558467091</v>
      </c>
      <c r="H9" s="2">
        <f t="shared" si="0"/>
        <v>6.7623887083315903E-2</v>
      </c>
      <c r="I9" s="2">
        <f>VLOOKUP(A9,[32]WRDS!$A$1:$O$100,10,FALSE)/100</f>
        <v>3.44E-2</v>
      </c>
      <c r="J9" s="2">
        <f>VLOOKUP(A9,[32]WRDS!$A$1:$O$100,9,FALSE)/100</f>
        <v>3.2300000000000002E-2</v>
      </c>
      <c r="K9" s="2">
        <f t="shared" si="1"/>
        <v>-0.49130401277262375</v>
      </c>
      <c r="L9" s="2">
        <f t="shared" si="2"/>
        <v>-0.52235812827196937</v>
      </c>
      <c r="M9">
        <f>VLOOKUP(A9,[32]WRDS!$A$1:$O$100,8,FALSE)</f>
        <v>4</v>
      </c>
      <c r="N9">
        <f>VLOOKUP(A9,[32]WRDS!$A$1:$O$100,11,FALSE)</f>
        <v>1.1299999999999999</v>
      </c>
      <c r="P9" t="s">
        <v>30</v>
      </c>
      <c r="Q9" s="2">
        <f>MEDIAN(I2:I100)</f>
        <v>0.05</v>
      </c>
    </row>
    <row r="10" spans="1:17" x14ac:dyDescent="0.3">
      <c r="A10" t="s">
        <v>29</v>
      </c>
      <c r="B10" t="str">
        <f>VLOOKUP(A10,[31]WRDS!$A$1:$N$100,2,FALSE)</f>
        <v>DUK</v>
      </c>
      <c r="C10" t="str">
        <f>VLOOKUP(A10,[31]WRDS!$A$1:$N$100,3,FALSE)</f>
        <v>DUKE ENERGY CORP</v>
      </c>
      <c r="D10">
        <f>VLOOKUP(A10,[31]WRDS!$A$1:$N$100,13,FALSE)</f>
        <v>4.38</v>
      </c>
      <c r="E10">
        <f>VLOOKUP(A10,[9]WRDS!$A$1:$N$100,13,FALSE)</f>
        <v>4.54</v>
      </c>
      <c r="F10" s="1">
        <f t="shared" si="3"/>
        <v>5.1338414098298717</v>
      </c>
      <c r="G10" s="1">
        <f t="shared" si="4"/>
        <v>5.2834699427020819</v>
      </c>
      <c r="H10" s="2">
        <f t="shared" si="0"/>
        <v>9.0099190684111985E-3</v>
      </c>
      <c r="I10" s="2">
        <f>VLOOKUP(A10,[32]WRDS!$A$1:$O$100,10,FALSE)/100</f>
        <v>4.0500000000000001E-2</v>
      </c>
      <c r="J10" s="2">
        <f>VLOOKUP(A10,[32]WRDS!$A$1:$O$100,9,FALSE)/100</f>
        <v>4.8000000000000001E-2</v>
      </c>
      <c r="K10" s="2">
        <f t="shared" si="1"/>
        <v>3.4950459257723097</v>
      </c>
      <c r="L10" s="2">
        <f t="shared" si="2"/>
        <v>4.3274618379523666</v>
      </c>
      <c r="M10">
        <f>VLOOKUP(A10,[32]WRDS!$A$1:$O$100,8,FALSE)</f>
        <v>4</v>
      </c>
      <c r="N10">
        <f>VLOOKUP(A10,[32]WRDS!$A$1:$O$100,11,FALSE)</f>
        <v>1.64</v>
      </c>
      <c r="P10" t="s">
        <v>32</v>
      </c>
      <c r="Q10" s="2">
        <f>(Q9-Q8)/ABS(Q8)</f>
        <v>0.39043981531342775</v>
      </c>
    </row>
    <row r="11" spans="1:17" x14ac:dyDescent="0.3">
      <c r="A11" t="s">
        <v>31</v>
      </c>
      <c r="B11" t="str">
        <f>VLOOKUP(A11,[31]WRDS!$A$1:$N$100,2,FALSE)</f>
        <v>ED</v>
      </c>
      <c r="C11" t="str">
        <f>VLOOKUP(A11,[31]WRDS!$A$1:$N$100,3,FALSE)</f>
        <v>CONSOLIDATED EDI</v>
      </c>
      <c r="D11">
        <f>VLOOKUP(A11,[31]WRDS!$A$1:$N$100,13,FALSE)</f>
        <v>3.62</v>
      </c>
      <c r="E11">
        <f>VLOOKUP(A11,[9]WRDS!$A$1:$N$100,13,FALSE)</f>
        <v>4.08</v>
      </c>
      <c r="F11" s="1">
        <f t="shared" si="3"/>
        <v>4.1846204051764069</v>
      </c>
      <c r="G11" s="1">
        <f t="shared" si="4"/>
        <v>4.191081267284229</v>
      </c>
      <c r="H11" s="2">
        <f t="shared" si="0"/>
        <v>3.0357408550935716E-2</v>
      </c>
      <c r="I11" s="2">
        <f>VLOOKUP(A11,[32]WRDS!$A$1:$O$100,10,FALSE)/100</f>
        <v>3.6900000000000002E-2</v>
      </c>
      <c r="J11" s="2">
        <f>VLOOKUP(A11,[32]WRDS!$A$1:$O$100,9,FALSE)/100</f>
        <v>3.73E-2</v>
      </c>
      <c r="K11" s="2">
        <f t="shared" si="1"/>
        <v>0.21551877322093166</v>
      </c>
      <c r="L11" s="2">
        <f t="shared" si="2"/>
        <v>0.22869512848619913</v>
      </c>
      <c r="M11">
        <f>VLOOKUP(A11,[32]WRDS!$A$1:$O$100,8,FALSE)</f>
        <v>4</v>
      </c>
      <c r="N11">
        <f>VLOOKUP(A11,[32]WRDS!$A$1:$O$100,11,FALSE)</f>
        <v>0.5</v>
      </c>
      <c r="P11" t="s">
        <v>34</v>
      </c>
      <c r="Q11" s="2">
        <f>MEDIAN(J2:J99)</f>
        <v>0.05</v>
      </c>
    </row>
    <row r="12" spans="1:17" x14ac:dyDescent="0.3">
      <c r="A12" t="s">
        <v>72</v>
      </c>
      <c r="B12" t="str">
        <f>VLOOKUP(A12,[31]WRDS!$A$1:$N$100,2,FALSE)</f>
        <v>EDE</v>
      </c>
      <c r="C12" t="str">
        <f>VLOOKUP(A12,[31]WRDS!$A$1:$N$100,3,FALSE)</f>
        <v>EMPIRE DIST ELEC</v>
      </c>
      <c r="D12">
        <f>VLOOKUP(A12,[31]WRDS!$A$1:$N$100,13,FALSE)</f>
        <v>1.31</v>
      </c>
      <c r="E12">
        <f>VLOOKUP(A12,[9]WRDS!$A$1:$N$100,13,FALSE)</f>
        <v>1.29</v>
      </c>
      <c r="F12" s="1">
        <f t="shared" si="3"/>
        <v>1.9319579685329609</v>
      </c>
      <c r="G12" s="1">
        <f t="shared" si="4"/>
        <v>1.9319579685329609</v>
      </c>
      <c r="H12" s="2">
        <f t="shared" si="0"/>
        <v>-3.8388424424566914E-3</v>
      </c>
      <c r="I12" s="2">
        <f>VLOOKUP(A12,[32]WRDS!$A$1:$O$100,10,FALSE)/100</f>
        <v>0.10199999999999999</v>
      </c>
      <c r="J12" s="2">
        <f>VLOOKUP(A12,[32]WRDS!$A$1:$O$100,9,FALSE)/100</f>
        <v>0.10199999999999999</v>
      </c>
      <c r="K12" s="2">
        <f t="shared" si="1"/>
        <v>27.570509607767193</v>
      </c>
      <c r="L12" s="2">
        <f t="shared" si="2"/>
        <v>27.570509607767193</v>
      </c>
      <c r="M12">
        <f>VLOOKUP(A12,[32]WRDS!$A$1:$O$100,8,FALSE)</f>
        <v>1</v>
      </c>
      <c r="N12">
        <f>VLOOKUP(A12,[32]WRDS!$A$1:$O$100,11,FALSE)</f>
        <v>0</v>
      </c>
      <c r="P12" t="s">
        <v>32</v>
      </c>
      <c r="Q12" s="2">
        <f>(Q11-Q8)/ABS(Q8)</f>
        <v>0.39043981531342775</v>
      </c>
    </row>
    <row r="13" spans="1:17" x14ac:dyDescent="0.3">
      <c r="A13" t="s">
        <v>33</v>
      </c>
      <c r="B13" t="str">
        <f>VLOOKUP(A13,[31]WRDS!$A$1:$N$100,2,FALSE)</f>
        <v>SCE</v>
      </c>
      <c r="C13" t="str">
        <f>VLOOKUP(A13,[31]WRDS!$A$1:$N$100,3,FALSE)</f>
        <v>EDISON INTL</v>
      </c>
      <c r="D13">
        <f>VLOOKUP(A13,[31]WRDS!$A$1:$N$100,13,FALSE)</f>
        <v>3.22</v>
      </c>
      <c r="E13">
        <f>VLOOKUP(A13,[9]WRDS!$A$1:$N$100,13,FALSE)</f>
        <v>4.0999999999999996</v>
      </c>
      <c r="F13" s="1">
        <f t="shared" si="3"/>
        <v>3.6481240189360373</v>
      </c>
      <c r="G13" s="1">
        <f t="shared" si="4"/>
        <v>3.7452591626795018</v>
      </c>
      <c r="H13" s="2">
        <f t="shared" si="0"/>
        <v>6.2262857047985065E-2</v>
      </c>
      <c r="I13" s="2">
        <f>VLOOKUP(A13,[32]WRDS!$A$1:$O$100,10,FALSE)/100</f>
        <v>3.1699999999999999E-2</v>
      </c>
      <c r="J13" s="2">
        <f>VLOOKUP(A13,[32]WRDS!$A$1:$O$100,9,FALSE)/100</f>
        <v>3.85E-2</v>
      </c>
      <c r="K13" s="2">
        <f t="shared" si="1"/>
        <v>-0.49086820774110518</v>
      </c>
      <c r="L13" s="2">
        <f t="shared" si="2"/>
        <v>-0.38165381697263556</v>
      </c>
      <c r="M13">
        <f>VLOOKUP(A13,[32]WRDS!$A$1:$O$100,8,FALSE)</f>
        <v>4</v>
      </c>
      <c r="N13">
        <f>VLOOKUP(A13,[32]WRDS!$A$1:$O$100,11,FALSE)</f>
        <v>2.19</v>
      </c>
      <c r="P13" s="111" t="s">
        <v>37</v>
      </c>
      <c r="Q13" s="111"/>
    </row>
    <row r="14" spans="1:17" x14ac:dyDescent="0.3">
      <c r="A14" t="s">
        <v>67</v>
      </c>
      <c r="B14" t="str">
        <f>VLOOKUP(A14,[31]WRDS!$A$1:$N$100,2,FALSE)</f>
        <v>OEC</v>
      </c>
      <c r="C14" t="str">
        <f>VLOOKUP(A14,[31]WRDS!$A$1:$N$100,3,FALSE)</f>
        <v>FIRSTENERGY CORP</v>
      </c>
      <c r="D14">
        <f>VLOOKUP(A14,[31]WRDS!$A$1:$N$100,13,FALSE)</f>
        <v>3.64</v>
      </c>
      <c r="E14">
        <f>VLOOKUP(A14,[9]WRDS!$A$1:$N$100,13,FALSE)</f>
        <v>2.71</v>
      </c>
      <c r="F14" s="1">
        <f t="shared" si="3"/>
        <v>4.0651244184678399</v>
      </c>
      <c r="G14" s="1">
        <f t="shared" si="4"/>
        <v>4.0178789218749991</v>
      </c>
      <c r="H14" s="2">
        <f t="shared" si="0"/>
        <v>-7.1104247943432397E-2</v>
      </c>
      <c r="I14" s="2">
        <f>VLOOKUP(A14,[32]WRDS!$A$1:$O$100,10,FALSE)/100</f>
        <v>2.7999999999999997E-2</v>
      </c>
      <c r="J14" s="2">
        <f>VLOOKUP(A14,[32]WRDS!$A$1:$O$100,9,FALSE)/100</f>
        <v>2.5000000000000001E-2</v>
      </c>
      <c r="K14" s="2">
        <f t="shared" si="1"/>
        <v>1.3937880057781589</v>
      </c>
      <c r="L14" s="2">
        <f t="shared" si="2"/>
        <v>1.3515964337304989</v>
      </c>
      <c r="M14">
        <f>VLOOKUP(A14,[32]WRDS!$A$1:$O$100,8,FALSE)</f>
        <v>4</v>
      </c>
      <c r="N14">
        <f>VLOOKUP(A14,[32]WRDS!$A$1:$O$100,11,FALSE)</f>
        <v>3.58</v>
      </c>
      <c r="P14" t="s">
        <v>39</v>
      </c>
      <c r="Q14" s="1">
        <f>AVERAGE(M2:M1002)</f>
        <v>3.4081632653061225</v>
      </c>
    </row>
    <row r="15" spans="1:17" x14ac:dyDescent="0.3">
      <c r="A15" t="s">
        <v>68</v>
      </c>
      <c r="B15" t="str">
        <f>VLOOKUP(A15,[31]WRDS!$A$1:$N$100,2,FALSE)</f>
        <v>KLT</v>
      </c>
      <c r="C15" t="str">
        <f>VLOOKUP(A15,[31]WRDS!$A$1:$N$100,3,FALSE)</f>
        <v>GREAT PLAINS</v>
      </c>
      <c r="D15">
        <f>VLOOKUP(A15,[31]WRDS!$A$1:$N$100,13,FALSE)</f>
        <v>1.25</v>
      </c>
      <c r="E15">
        <f>VLOOKUP(A15,[9]WRDS!$A$1:$N$100,13,FALSE)</f>
        <v>1.37</v>
      </c>
      <c r="F15" s="1">
        <f t="shared" si="3"/>
        <v>1.4679556372012499</v>
      </c>
      <c r="G15" s="1">
        <f t="shared" si="4"/>
        <v>1.3905665793012494</v>
      </c>
      <c r="H15" s="2">
        <f t="shared" si="0"/>
        <v>2.3181404377636383E-2</v>
      </c>
      <c r="I15" s="2">
        <f>VLOOKUP(A15,[32]WRDS!$A$1:$O$100,10,FALSE)/100</f>
        <v>4.0999999999999995E-2</v>
      </c>
      <c r="J15" s="2">
        <f>VLOOKUP(A15,[32]WRDS!$A$1:$O$100,9,FALSE)/100</f>
        <v>2.7000000000000003E-2</v>
      </c>
      <c r="K15" s="2">
        <f t="shared" si="1"/>
        <v>0.76865902220978499</v>
      </c>
      <c r="L15" s="2">
        <f t="shared" si="2"/>
        <v>0.16472667316254161</v>
      </c>
      <c r="M15">
        <f>VLOOKUP(A15,[32]WRDS!$A$1:$O$100,8,FALSE)</f>
        <v>5</v>
      </c>
      <c r="N15">
        <f>VLOOKUP(A15,[32]WRDS!$A$1:$O$100,11,FALSE)</f>
        <v>2.82</v>
      </c>
      <c r="P15" t="s">
        <v>41</v>
      </c>
      <c r="Q15" s="1">
        <f>COUNT(N2:N1002)</f>
        <v>49</v>
      </c>
    </row>
    <row r="16" spans="1:17" x14ac:dyDescent="0.3">
      <c r="A16" t="s">
        <v>36</v>
      </c>
      <c r="B16" t="str">
        <f>VLOOKUP(A16,[31]WRDS!$A$1:$N$100,2,FALSE)</f>
        <v>HE</v>
      </c>
      <c r="C16" t="str">
        <f>VLOOKUP(A16,[31]WRDS!$A$1:$N$100,3,FALSE)</f>
        <v>HAWAIIAN ELEC</v>
      </c>
      <c r="D16">
        <f>VLOOKUP(A16,[31]WRDS!$A$1:$N$100,13,FALSE)</f>
        <v>1.44</v>
      </c>
      <c r="E16">
        <f>VLOOKUP(A16,[9]WRDS!$A$1:$N$100,13,FALSE)</f>
        <v>1.65</v>
      </c>
      <c r="F16" s="1">
        <f t="shared" si="3"/>
        <v>2.3871884885192567</v>
      </c>
      <c r="G16" s="1">
        <f t="shared" si="4"/>
        <v>2.4492149840102395</v>
      </c>
      <c r="H16" s="2">
        <f t="shared" si="0"/>
        <v>3.4618793673348192E-2</v>
      </c>
      <c r="I16" s="2">
        <f>VLOOKUP(A16,[32]WRDS!$A$1:$O$100,10,FALSE)/100</f>
        <v>0.13470000000000001</v>
      </c>
      <c r="J16" s="2">
        <f>VLOOKUP(A16,[32]WRDS!$A$1:$O$100,9,FALSE)/100</f>
        <v>0.14199999999999999</v>
      </c>
      <c r="K16" s="2">
        <f t="shared" si="1"/>
        <v>2.8909501374018376</v>
      </c>
      <c r="L16" s="2">
        <f t="shared" si="2"/>
        <v>3.1018182591763983</v>
      </c>
      <c r="M16">
        <f>VLOOKUP(A16,[32]WRDS!$A$1:$O$100,8,FALSE)</f>
        <v>3</v>
      </c>
      <c r="N16">
        <f>VLOOKUP(A16,[32]WRDS!$A$1:$O$100,11,FALSE)</f>
        <v>3.46</v>
      </c>
    </row>
    <row r="17" spans="1:14" x14ac:dyDescent="0.3">
      <c r="A17" t="s">
        <v>38</v>
      </c>
      <c r="B17" t="str">
        <f>VLOOKUP(A17,[31]WRDS!$A$1:$N$100,2,FALSE)</f>
        <v>IDA</v>
      </c>
      <c r="C17" t="str">
        <f>VLOOKUP(A17,[31]WRDS!$A$1:$N$100,3,FALSE)</f>
        <v>IDACORP INC.</v>
      </c>
      <c r="D17">
        <f>VLOOKUP(A17,[31]WRDS!$A$1:$N$100,13,FALSE)</f>
        <v>3.36</v>
      </c>
      <c r="E17">
        <f>VLOOKUP(A17,[9]WRDS!$A$1:$N$100,13,FALSE)</f>
        <v>3.87</v>
      </c>
      <c r="F17" s="1">
        <f t="shared" si="3"/>
        <v>4.0068624980999985</v>
      </c>
      <c r="G17" s="1">
        <f t="shared" si="4"/>
        <v>4.0068624980999985</v>
      </c>
      <c r="H17" s="2">
        <f t="shared" si="0"/>
        <v>3.5959844827033516E-2</v>
      </c>
      <c r="I17" s="2">
        <f>VLOOKUP(A17,[32]WRDS!$A$1:$O$100,10,FALSE)/100</f>
        <v>4.4999999999999998E-2</v>
      </c>
      <c r="J17" s="2">
        <f>VLOOKUP(A17,[32]WRDS!$A$1:$O$100,9,FALSE)/100</f>
        <v>4.4999999999999998E-2</v>
      </c>
      <c r="K17" s="2">
        <f t="shared" si="1"/>
        <v>0.25139583378208485</v>
      </c>
      <c r="L17" s="2">
        <f t="shared" si="2"/>
        <v>0.25139583378208485</v>
      </c>
      <c r="M17">
        <f>VLOOKUP(A17,[32]WRDS!$A$1:$O$100,8,FALSE)</f>
        <v>2</v>
      </c>
      <c r="N17">
        <f>VLOOKUP(A17,[32]WRDS!$A$1:$O$100,11,FALSE)</f>
        <v>0.71</v>
      </c>
    </row>
    <row r="18" spans="1:14" x14ac:dyDescent="0.3">
      <c r="A18" t="s">
        <v>40</v>
      </c>
      <c r="B18" t="str">
        <f>VLOOKUP(A18,[31]WRDS!$A$1:$N$100,2,FALSE)</f>
        <v>WPL</v>
      </c>
      <c r="C18" t="str">
        <f>VLOOKUP(A18,[31]WRDS!$A$1:$N$100,3,FALSE)</f>
        <v>ALLIANT ENER</v>
      </c>
      <c r="D18">
        <f>VLOOKUP(A18,[31]WRDS!$A$1:$N$100,13,FALSE)</f>
        <v>1.375</v>
      </c>
      <c r="E18">
        <f>VLOOKUP(A18,[9]WRDS!$A$1:$N$100,13,FALSE)</f>
        <v>1.7350000000000001</v>
      </c>
      <c r="F18" s="1">
        <f t="shared" si="3"/>
        <v>1.664963246101375</v>
      </c>
      <c r="G18" s="1">
        <f t="shared" si="4"/>
        <v>1.664963246101375</v>
      </c>
      <c r="H18" s="2">
        <f t="shared" si="0"/>
        <v>5.9861692216780504E-2</v>
      </c>
      <c r="I18" s="2">
        <f>VLOOKUP(A18,[32]WRDS!$A$1:$O$100,10,FALSE)/100</f>
        <v>4.9000000000000002E-2</v>
      </c>
      <c r="J18" s="2">
        <f>VLOOKUP(A18,[32]WRDS!$A$1:$O$100,9,FALSE)/100</f>
        <v>4.9000000000000002E-2</v>
      </c>
      <c r="K18" s="2">
        <f t="shared" si="1"/>
        <v>-0.18144646124346847</v>
      </c>
      <c r="L18" s="2">
        <f t="shared" si="2"/>
        <v>-0.18144646124346847</v>
      </c>
      <c r="M18">
        <f>VLOOKUP(A18,[32]WRDS!$A$1:$O$100,8,FALSE)</f>
        <v>2</v>
      </c>
      <c r="N18">
        <f>VLOOKUP(A18,[32]WRDS!$A$1:$O$100,11,FALSE)</f>
        <v>1.56</v>
      </c>
    </row>
    <row r="19" spans="1:14" x14ac:dyDescent="0.3">
      <c r="A19" t="s">
        <v>73</v>
      </c>
      <c r="B19" t="str">
        <f>VLOOKUP(A19,[31]WRDS!$A$1:$N$100,2,FALSE)</f>
        <v>MDSN</v>
      </c>
      <c r="C19" t="str">
        <f>VLOOKUP(A19,[31]WRDS!$A$1:$N$100,3,FALSE)</f>
        <v>MGE ENERGY INC</v>
      </c>
      <c r="D19">
        <f>VLOOKUP(A19,[31]WRDS!$A$1:$N$100,13,FALSE)</f>
        <v>1.76</v>
      </c>
      <c r="E19">
        <f>VLOOKUP(A19,[9]WRDS!$A$1:$N$100,13,FALSE)</f>
        <v>2.06</v>
      </c>
      <c r="F19" s="1">
        <f t="shared" si="3"/>
        <v>2.0589510656000005</v>
      </c>
      <c r="G19" s="1">
        <f t="shared" si="4"/>
        <v>2.0589510656000005</v>
      </c>
      <c r="H19" s="2">
        <f t="shared" si="0"/>
        <v>4.0132431927077716E-2</v>
      </c>
      <c r="I19" s="2">
        <f>VLOOKUP(A19,[32]WRDS!$A$1:$O$100,10,FALSE)/100</f>
        <v>0.04</v>
      </c>
      <c r="J19" s="2">
        <f>VLOOKUP(A19,[32]WRDS!$A$1:$O$100,9,FALSE)/100</f>
        <v>0.04</v>
      </c>
      <c r="K19" s="2">
        <f t="shared" si="1"/>
        <v>-3.2998729635510199E-3</v>
      </c>
      <c r="L19" s="2">
        <f t="shared" si="2"/>
        <v>-3.2998729635510199E-3</v>
      </c>
      <c r="M19">
        <f>VLOOKUP(A19,[32]WRDS!$A$1:$O$100,8,FALSE)</f>
        <v>1</v>
      </c>
      <c r="N19">
        <f>VLOOKUP(A19,[32]WRDS!$A$1:$O$100,11,FALSE)</f>
        <v>0</v>
      </c>
    </row>
    <row r="20" spans="1:14" x14ac:dyDescent="0.3">
      <c r="A20" t="s">
        <v>42</v>
      </c>
      <c r="B20" t="str">
        <f>VLOOKUP(A20,[31]WRDS!$A$1:$N$100,2,FALSE)</f>
        <v>FPL</v>
      </c>
      <c r="C20" t="str">
        <f>VLOOKUP(A20,[31]WRDS!$A$1:$N$100,3,FALSE)</f>
        <v>NEXTERA ENERGY I</v>
      </c>
      <c r="D20">
        <f>VLOOKUP(A20,[31]WRDS!$A$1:$N$100,13,FALSE)</f>
        <v>1.0974999999999999</v>
      </c>
      <c r="E20">
        <f>VLOOKUP(A20,[9]WRDS!$A$1:$N$100,13,FALSE)</f>
        <v>1.4275</v>
      </c>
      <c r="F20" s="1">
        <f t="shared" si="3"/>
        <v>1.3709864002670613</v>
      </c>
      <c r="G20" s="1">
        <f t="shared" si="4"/>
        <v>1.3442111336185603</v>
      </c>
      <c r="H20" s="2">
        <f t="shared" si="0"/>
        <v>6.7930271068870951E-2</v>
      </c>
      <c r="I20" s="2">
        <f>VLOOKUP(A20,[32]WRDS!$A$1:$O$100,10,FALSE)/100</f>
        <v>5.7200000000000001E-2</v>
      </c>
      <c r="J20" s="2">
        <f>VLOOKUP(A20,[32]WRDS!$A$1:$O$100,9,FALSE)/100</f>
        <v>5.2000000000000005E-2</v>
      </c>
      <c r="K20" s="2">
        <f t="shared" si="1"/>
        <v>-0.15796008024157726</v>
      </c>
      <c r="L20" s="2">
        <f t="shared" si="2"/>
        <v>-0.23450916385597928</v>
      </c>
      <c r="M20">
        <f>VLOOKUP(A20,[32]WRDS!$A$1:$O$100,8,FALSE)</f>
        <v>7</v>
      </c>
      <c r="N20">
        <f>VLOOKUP(A20,[32]WRDS!$A$1:$O$100,11,FALSE)</f>
        <v>1.37</v>
      </c>
    </row>
    <row r="21" spans="1:14" x14ac:dyDescent="0.3">
      <c r="A21" t="s">
        <v>60</v>
      </c>
      <c r="B21" t="str">
        <f>VLOOKUP(A21,[31]WRDS!$A$1:$N$100,2,FALSE)</f>
        <v>BSE</v>
      </c>
      <c r="C21" t="str">
        <f>VLOOKUP(A21,[31]WRDS!$A$1:$N$100,3,FALSE)</f>
        <v>NSTAR</v>
      </c>
      <c r="D21">
        <f>VLOOKUP(A21,[31]WRDS!$A$1:$N$100,13,FALSE)</f>
        <v>2.65</v>
      </c>
      <c r="E21">
        <f>VLOOKUP(A21,[9]WRDS!$A$1:$N$100,13,FALSE)</f>
        <v>0.27600000000000002</v>
      </c>
      <c r="F21" s="1">
        <f t="shared" si="3"/>
        <v>3.1493016229403308</v>
      </c>
      <c r="G21" s="1">
        <f t="shared" si="4"/>
        <v>3.2210915624999998</v>
      </c>
      <c r="H21" s="2">
        <f t="shared" si="0"/>
        <v>-0.43191175608108867</v>
      </c>
      <c r="I21" s="2">
        <f>VLOOKUP(A21,[32]WRDS!$A$1:$O$100,10,FALSE)/100</f>
        <v>4.41E-2</v>
      </c>
      <c r="J21" s="2">
        <f>VLOOKUP(A21,[32]WRDS!$A$1:$O$100,9,FALSE)/100</f>
        <v>0.05</v>
      </c>
      <c r="K21" s="2">
        <f t="shared" si="1"/>
        <v>1.1021041899857908</v>
      </c>
      <c r="L21" s="2">
        <f t="shared" si="2"/>
        <v>1.1157643877389918</v>
      </c>
      <c r="M21">
        <f>VLOOKUP(A21,[32]WRDS!$A$1:$O$100,8,FALSE)</f>
        <v>3</v>
      </c>
      <c r="N21">
        <f>VLOOKUP(A21,[32]WRDS!$A$1:$O$100,11,FALSE)</f>
        <v>1.19</v>
      </c>
    </row>
    <row r="22" spans="1:14" x14ac:dyDescent="0.3">
      <c r="A22" t="s">
        <v>43</v>
      </c>
      <c r="B22" t="str">
        <f>VLOOKUP(A22,[31]WRDS!$A$1:$N$100,2,FALSE)</f>
        <v>NWPS</v>
      </c>
      <c r="C22" t="str">
        <f>VLOOKUP(A22,[31]WRDS!$A$1:$N$100,3,FALSE)</f>
        <v>NORTHWESTERN CP</v>
      </c>
      <c r="D22">
        <f>VLOOKUP(A22,[31]WRDS!$A$1:$N$100,13,FALSE)</f>
        <v>2.5299999999999998</v>
      </c>
      <c r="E22">
        <f>VLOOKUP(A22,[9]WRDS!$A$1:$N$100,13,FALSE)</f>
        <v>3.15</v>
      </c>
      <c r="F22" s="1">
        <f t="shared" si="3"/>
        <v>3.2340280074801435</v>
      </c>
      <c r="G22" s="1">
        <f t="shared" si="4"/>
        <v>3.1940667088000008</v>
      </c>
      <c r="H22" s="2">
        <f t="shared" si="0"/>
        <v>5.6324877929952111E-2</v>
      </c>
      <c r="I22" s="2">
        <f>VLOOKUP(A22,[32]WRDS!$A$1:$O$100,10,FALSE)/100</f>
        <v>6.3299999999999995E-2</v>
      </c>
      <c r="J22" s="2">
        <f>VLOOKUP(A22,[32]WRDS!$A$1:$O$100,9,FALSE)/100</f>
        <v>0.06</v>
      </c>
      <c r="K22" s="2">
        <f t="shared" si="1"/>
        <v>0.12383732244786091</v>
      </c>
      <c r="L22" s="2">
        <f t="shared" si="2"/>
        <v>6.5248646870010391E-2</v>
      </c>
      <c r="M22">
        <f>VLOOKUP(A22,[32]WRDS!$A$1:$O$100,8,FALSE)</f>
        <v>3</v>
      </c>
      <c r="N22">
        <f>VLOOKUP(A22,[32]WRDS!$A$1:$O$100,11,FALSE)</f>
        <v>1.53</v>
      </c>
    </row>
    <row r="23" spans="1:14" x14ac:dyDescent="0.3">
      <c r="A23" t="s">
        <v>44</v>
      </c>
      <c r="B23" t="str">
        <f>VLOOKUP(A23,[31]WRDS!$A$1:$N$100,2,FALSE)</f>
        <v>OGE</v>
      </c>
      <c r="C23" t="str">
        <f>VLOOKUP(A23,[31]WRDS!$A$1:$N$100,3,FALSE)</f>
        <v>OGE ENERGY CORP</v>
      </c>
      <c r="D23">
        <f>VLOOKUP(A23,[31]WRDS!$A$1:$N$100,13,FALSE)</f>
        <v>1.7150000000000001</v>
      </c>
      <c r="E23">
        <f>VLOOKUP(A23,[9]WRDS!$A$1:$N$100,13,FALSE)</f>
        <v>1.36</v>
      </c>
      <c r="F23" s="1">
        <f t="shared" si="3"/>
        <v>2.3505698833618403</v>
      </c>
      <c r="G23" s="1">
        <f t="shared" si="4"/>
        <v>2.341892200386515</v>
      </c>
      <c r="H23" s="2">
        <f t="shared" si="0"/>
        <v>-5.6333156564863818E-2</v>
      </c>
      <c r="I23" s="2">
        <f>VLOOKUP(A23,[32]WRDS!$A$1:$O$100,10,FALSE)/100</f>
        <v>8.199999999999999E-2</v>
      </c>
      <c r="J23" s="2">
        <f>VLOOKUP(A23,[32]WRDS!$A$1:$O$100,9,FALSE)/100</f>
        <v>8.1000000000000003E-2</v>
      </c>
      <c r="K23" s="2">
        <f t="shared" si="1"/>
        <v>2.4556258693862207</v>
      </c>
      <c r="L23" s="2">
        <f t="shared" si="2"/>
        <v>2.4378743343937064</v>
      </c>
      <c r="M23">
        <f>VLOOKUP(A23,[32]WRDS!$A$1:$O$100,8,FALSE)</f>
        <v>3</v>
      </c>
      <c r="N23">
        <f>VLOOKUP(A23,[32]WRDS!$A$1:$O$100,11,FALSE)</f>
        <v>0.26</v>
      </c>
    </row>
    <row r="24" spans="1:14" x14ac:dyDescent="0.3">
      <c r="A24" t="s">
        <v>69</v>
      </c>
      <c r="B24" t="str">
        <f>VLOOKUP(A24,[31]WRDS!$A$1:$N$100,2,FALSE)</f>
        <v>OTTR</v>
      </c>
      <c r="C24" t="str">
        <f>VLOOKUP(A24,[31]WRDS!$A$1:$N$100,3,FALSE)</f>
        <v>OTTER TAIL CORP.</v>
      </c>
      <c r="D24">
        <f>VLOOKUP(A24,[31]WRDS!$A$1:$N$100,13,FALSE)</f>
        <v>0.46</v>
      </c>
      <c r="E24">
        <f>VLOOKUP(A24,[9]WRDS!$A$1:$N$100,13,FALSE)</f>
        <v>1.56</v>
      </c>
      <c r="F24" s="1">
        <f t="shared" si="3"/>
        <v>0.55913287499999997</v>
      </c>
      <c r="G24" s="1">
        <f t="shared" si="4"/>
        <v>0.55913287499999997</v>
      </c>
      <c r="H24" s="2">
        <f t="shared" si="0"/>
        <v>0.35703700838796348</v>
      </c>
      <c r="I24" s="2">
        <f>VLOOKUP(A24,[32]WRDS!$A$1:$O$100,10,FALSE)/100</f>
        <v>0.05</v>
      </c>
      <c r="J24" s="2">
        <f>VLOOKUP(A24,[32]WRDS!$A$1:$O$100,9,FALSE)/100</f>
        <v>0.05</v>
      </c>
      <c r="K24" s="2">
        <f t="shared" si="1"/>
        <v>-0.85995849498697063</v>
      </c>
      <c r="L24" s="2">
        <f t="shared" si="2"/>
        <v>-0.85995849498697063</v>
      </c>
      <c r="M24">
        <f>VLOOKUP(A24,[32]WRDS!$A$1:$O$100,8,FALSE)</f>
        <v>1</v>
      </c>
      <c r="N24">
        <f>VLOOKUP(A24,[32]WRDS!$A$1:$O$100,11,FALSE)</f>
        <v>0</v>
      </c>
    </row>
    <row r="25" spans="1:14" x14ac:dyDescent="0.3">
      <c r="A25" t="s">
        <v>45</v>
      </c>
      <c r="B25" t="str">
        <f>VLOOKUP(A25,[31]WRDS!$A$1:$N$100,2,FALSE)</f>
        <v>PCG</v>
      </c>
      <c r="C25" t="str">
        <f>VLOOKUP(A25,[31]WRDS!$A$1:$N$100,3,FALSE)</f>
        <v>P G &amp; E CORP</v>
      </c>
      <c r="D25">
        <f>VLOOKUP(A25,[31]WRDS!$A$1:$N$100,13,FALSE)</f>
        <v>3.58</v>
      </c>
      <c r="E25">
        <f>VLOOKUP(A25,[9]WRDS!$A$1:$N$100,13,FALSE)</f>
        <v>3.12</v>
      </c>
      <c r="F25" s="1">
        <f t="shared" si="3"/>
        <v>3.8026772193891061</v>
      </c>
      <c r="G25" s="1">
        <f t="shared" si="4"/>
        <v>3.9825826831187787</v>
      </c>
      <c r="H25" s="2">
        <f t="shared" si="0"/>
        <v>-3.3798089613919169E-2</v>
      </c>
      <c r="I25" s="2">
        <f>VLOOKUP(A25,[32]WRDS!$A$1:$O$100,10,FALSE)/100</f>
        <v>1.52E-2</v>
      </c>
      <c r="J25" s="2">
        <f>VLOOKUP(A25,[32]WRDS!$A$1:$O$100,9,FALSE)/100</f>
        <v>2.7000000000000003E-2</v>
      </c>
      <c r="K25" s="2">
        <f t="shared" si="1"/>
        <v>1.4497295608607457</v>
      </c>
      <c r="L25" s="2">
        <f t="shared" si="2"/>
        <v>1.798861719950009</v>
      </c>
      <c r="M25">
        <f>VLOOKUP(A25,[32]WRDS!$A$1:$O$100,8,FALSE)</f>
        <v>6</v>
      </c>
      <c r="N25">
        <f>VLOOKUP(A25,[32]WRDS!$A$1:$O$100,11,FALSE)</f>
        <v>3.7</v>
      </c>
    </row>
    <row r="26" spans="1:14" x14ac:dyDescent="0.3">
      <c r="A26" t="s">
        <v>46</v>
      </c>
      <c r="B26" t="str">
        <f>VLOOKUP(A26,[31]WRDS!$A$1:$N$100,2,FALSE)</f>
        <v>PEG</v>
      </c>
      <c r="C26" t="str">
        <f>VLOOKUP(A26,[31]WRDS!$A$1:$N$100,3,FALSE)</f>
        <v>PUB SVC ENTERS</v>
      </c>
      <c r="D26">
        <f>VLOOKUP(A26,[31]WRDS!$A$1:$N$100,13,FALSE)</f>
        <v>2.74</v>
      </c>
      <c r="E26">
        <f>VLOOKUP(A26,[9]WRDS!$A$1:$N$100,13,FALSE)</f>
        <v>2.91</v>
      </c>
      <c r="F26" s="1">
        <f t="shared" si="3"/>
        <v>2.8944077366417789</v>
      </c>
      <c r="G26" s="1">
        <f t="shared" si="4"/>
        <v>2.9253652267789718</v>
      </c>
      <c r="H26" s="2">
        <f t="shared" si="0"/>
        <v>1.5162593389206558E-2</v>
      </c>
      <c r="I26" s="2">
        <f>VLOOKUP(A26,[32]WRDS!$A$1:$O$100,10,FALSE)/100</f>
        <v>1.38E-2</v>
      </c>
      <c r="J26" s="2">
        <f>VLOOKUP(A26,[32]WRDS!$A$1:$O$100,9,FALSE)/100</f>
        <v>1.6500000000000001E-2</v>
      </c>
      <c r="K26" s="2">
        <f t="shared" si="1"/>
        <v>-8.986545732846174E-2</v>
      </c>
      <c r="L26" s="2">
        <f t="shared" si="2"/>
        <v>8.8204344498578419E-2</v>
      </c>
      <c r="M26">
        <f>VLOOKUP(A26,[32]WRDS!$A$1:$O$100,8,FALSE)</f>
        <v>4</v>
      </c>
      <c r="N26">
        <f>VLOOKUP(A26,[32]WRDS!$A$1:$O$100,11,FALSE)</f>
        <v>3.21</v>
      </c>
    </row>
    <row r="27" spans="1:14" x14ac:dyDescent="0.3">
      <c r="A27" t="s">
        <v>74</v>
      </c>
      <c r="B27" t="str">
        <f>VLOOKUP(A27,[31]WRDS!$A$1:$N$100,2,FALSE)</f>
        <v>CPL</v>
      </c>
      <c r="C27" t="str">
        <f>VLOOKUP(A27,[31]WRDS!$A$1:$N$100,3,FALSE)</f>
        <v>PROGRESS ENERGY</v>
      </c>
      <c r="D27">
        <f>VLOOKUP(A27,[31]WRDS!$A$1:$N$100,13,FALSE)</f>
        <v>2.95</v>
      </c>
      <c r="E27">
        <f>VLOOKUP(A27,[9]WRDS!$A$1:$N$100,13,FALSE)</f>
        <v>1.04</v>
      </c>
      <c r="F27" s="1">
        <f t="shared" si="3"/>
        <v>3.3539030064203113</v>
      </c>
      <c r="G27" s="1">
        <f t="shared" si="4"/>
        <v>3.3526039880839842</v>
      </c>
      <c r="H27" s="2">
        <f t="shared" si="0"/>
        <v>-0.22944644074339726</v>
      </c>
      <c r="I27" s="2">
        <f>VLOOKUP(A27,[32]WRDS!$A$1:$O$100,10,FALSE)/100</f>
        <v>3.2599999999999997E-2</v>
      </c>
      <c r="J27" s="2">
        <f>VLOOKUP(A27,[32]WRDS!$A$1:$O$100,9,FALSE)/100</f>
        <v>3.2500000000000001E-2</v>
      </c>
      <c r="K27" s="2">
        <f t="shared" si="1"/>
        <v>1.1420810882678212</v>
      </c>
      <c r="L27" s="2">
        <f t="shared" si="2"/>
        <v>1.1416452567087172</v>
      </c>
      <c r="M27">
        <f>VLOOKUP(A27,[32]WRDS!$A$1:$O$100,8,FALSE)</f>
        <v>4</v>
      </c>
      <c r="N27">
        <f>VLOOKUP(A27,[32]WRDS!$A$1:$O$100,11,FALSE)</f>
        <v>1.45</v>
      </c>
    </row>
    <row r="28" spans="1:14" x14ac:dyDescent="0.3">
      <c r="A28" t="s">
        <v>47</v>
      </c>
      <c r="B28" t="str">
        <f>VLOOKUP(A28,[31]WRDS!$A$1:$N$100,2,FALSE)</f>
        <v>PNM</v>
      </c>
      <c r="C28" t="str">
        <f>VLOOKUP(A28,[31]WRDS!$A$1:$N$100,3,FALSE)</f>
        <v>PNM RESOURCES</v>
      </c>
      <c r="D28">
        <f>VLOOKUP(A28,[31]WRDS!$A$1:$N$100,13,FALSE)</f>
        <v>1.08</v>
      </c>
      <c r="E28">
        <f>VLOOKUP(A28,[9]WRDS!$A$1:$N$100,13,FALSE)</f>
        <v>1.64</v>
      </c>
      <c r="F28" s="1">
        <f t="shared" si="3"/>
        <v>1.6921294587467646</v>
      </c>
      <c r="G28" s="1">
        <f t="shared" si="4"/>
        <v>1.7484779269324806</v>
      </c>
      <c r="H28" s="2">
        <f t="shared" si="0"/>
        <v>0.11008190420594222</v>
      </c>
      <c r="I28" s="2">
        <f>VLOOKUP(A28,[32]WRDS!$A$1:$O$100,10,FALSE)/100</f>
        <v>0.1188</v>
      </c>
      <c r="J28" s="2">
        <f>VLOOKUP(A28,[32]WRDS!$A$1:$O$100,9,FALSE)/100</f>
        <v>0.128</v>
      </c>
      <c r="K28" s="2">
        <f t="shared" si="1"/>
        <v>7.9196447926154101E-2</v>
      </c>
      <c r="L28" s="2">
        <f t="shared" si="2"/>
        <v>0.1627705836241391</v>
      </c>
      <c r="M28">
        <f>VLOOKUP(A28,[32]WRDS!$A$1:$O$100,8,FALSE)</f>
        <v>4</v>
      </c>
      <c r="N28">
        <f>VLOOKUP(A28,[32]WRDS!$A$1:$O$100,11,FALSE)</f>
        <v>5.07</v>
      </c>
    </row>
    <row r="29" spans="1:14" x14ac:dyDescent="0.3">
      <c r="A29" t="s">
        <v>48</v>
      </c>
      <c r="B29" t="str">
        <f>VLOOKUP(A29,[31]WRDS!$A$1:$N$100,2,FALSE)</f>
        <v>AZP</v>
      </c>
      <c r="C29" t="str">
        <f>VLOOKUP(A29,[31]WRDS!$A$1:$N$100,3,FALSE)</f>
        <v>PINNACLE WST CAP</v>
      </c>
      <c r="D29">
        <f>VLOOKUP(A29,[31]WRDS!$A$1:$N$100,13,FALSE)</f>
        <v>2.99</v>
      </c>
      <c r="E29">
        <f>VLOOKUP(A29,[9]WRDS!$A$1:$N$100,13,FALSE)</f>
        <v>3.92</v>
      </c>
      <c r="F29" s="1">
        <f t="shared" si="3"/>
        <v>3.7153336326141293</v>
      </c>
      <c r="G29" s="1">
        <f t="shared" si="4"/>
        <v>3.6343636875000005</v>
      </c>
      <c r="H29" s="2">
        <f t="shared" si="0"/>
        <v>7.0049133523009344E-2</v>
      </c>
      <c r="I29" s="2">
        <f>VLOOKUP(A29,[32]WRDS!$A$1:$O$100,10,FALSE)/100</f>
        <v>5.5800000000000002E-2</v>
      </c>
      <c r="J29" s="2">
        <f>VLOOKUP(A29,[32]WRDS!$A$1:$O$100,9,FALSE)/100</f>
        <v>0.05</v>
      </c>
      <c r="K29" s="2">
        <f t="shared" si="1"/>
        <v>-0.203416270928303</v>
      </c>
      <c r="L29" s="2">
        <f t="shared" si="2"/>
        <v>-0.28621529653073746</v>
      </c>
      <c r="M29">
        <f>VLOOKUP(A29,[32]WRDS!$A$1:$O$100,8,FALSE)</f>
        <v>6</v>
      </c>
      <c r="N29">
        <f>VLOOKUP(A29,[32]WRDS!$A$1:$O$100,11,FALSE)</f>
        <v>1.82</v>
      </c>
    </row>
    <row r="30" spans="1:14" x14ac:dyDescent="0.3">
      <c r="A30" t="s">
        <v>49</v>
      </c>
      <c r="B30" t="str">
        <f>VLOOKUP(A30,[31]WRDS!$A$1:$N$100,2,FALSE)</f>
        <v>POM</v>
      </c>
      <c r="C30" t="str">
        <f>VLOOKUP(A30,[31]WRDS!$A$1:$N$100,3,FALSE)</f>
        <v>PEPCO HOLDINGS</v>
      </c>
      <c r="D30">
        <f>VLOOKUP(A30,[31]WRDS!$A$1:$N$100,13,FALSE)</f>
        <v>1.25</v>
      </c>
      <c r="E30">
        <f>VLOOKUP(A30,[9]WRDS!$A$1:$N$100,13,FALSE)</f>
        <v>1.28</v>
      </c>
      <c r="F30" s="1">
        <f t="shared" si="3"/>
        <v>1.3636835328200001</v>
      </c>
      <c r="G30" s="1">
        <f t="shared" si="4"/>
        <v>1.3636835328200001</v>
      </c>
      <c r="H30" s="2">
        <f t="shared" si="0"/>
        <v>5.9467437463482931E-3</v>
      </c>
      <c r="I30" s="2">
        <f>VLOOKUP(A30,[32]WRDS!$A$1:$O$100,10,FALSE)/100</f>
        <v>2.2000000000000002E-2</v>
      </c>
      <c r="J30" s="2">
        <f>VLOOKUP(A30,[32]WRDS!$A$1:$O$100,9,FALSE)/100</f>
        <v>2.2000000000000002E-2</v>
      </c>
      <c r="K30" s="2">
        <f t="shared" si="1"/>
        <v>2.699503617170238</v>
      </c>
      <c r="L30" s="2">
        <f t="shared" si="2"/>
        <v>2.699503617170238</v>
      </c>
      <c r="M30">
        <f>VLOOKUP(A30,[32]WRDS!$A$1:$O$100,8,FALSE)</f>
        <v>2</v>
      </c>
      <c r="N30">
        <f>VLOOKUP(A30,[32]WRDS!$A$1:$O$100,11,FALSE)</f>
        <v>3.96</v>
      </c>
    </row>
    <row r="31" spans="1:14" x14ac:dyDescent="0.3">
      <c r="A31" t="s">
        <v>50</v>
      </c>
      <c r="B31" t="str">
        <f>VLOOKUP(A31,[31]WRDS!$A$1:$N$100,2,FALSE)</f>
        <v>PORO</v>
      </c>
      <c r="C31" t="str">
        <f>VLOOKUP(A31,[31]WRDS!$A$1:$N$100,3,FALSE)</f>
        <v>PORTLAND GENERAL</v>
      </c>
      <c r="D31">
        <f>VLOOKUP(A31,[31]WRDS!$A$1:$N$100,13,FALSE)</f>
        <v>1.95</v>
      </c>
      <c r="E31">
        <f>VLOOKUP(A31,[9]WRDS!$A$1:$N$100,13,FALSE)</f>
        <v>2.04</v>
      </c>
      <c r="F31" s="1">
        <f t="shared" si="3"/>
        <v>2.4507010783697392</v>
      </c>
      <c r="G31" s="1">
        <f t="shared" si="4"/>
        <v>2.4618300720000006</v>
      </c>
      <c r="H31" s="2">
        <f t="shared" si="0"/>
        <v>1.1343969138847276E-2</v>
      </c>
      <c r="I31" s="2">
        <f>VLOOKUP(A31,[32]WRDS!$A$1:$O$100,10,FALSE)/100</f>
        <v>5.8799999999999998E-2</v>
      </c>
      <c r="J31" s="2">
        <f>VLOOKUP(A31,[32]WRDS!$A$1:$O$100,9,FALSE)/100</f>
        <v>0.06</v>
      </c>
      <c r="K31" s="2">
        <f t="shared" si="1"/>
        <v>4.1833709418901854</v>
      </c>
      <c r="L31" s="2">
        <f t="shared" si="2"/>
        <v>4.2891540223369233</v>
      </c>
      <c r="M31">
        <f>VLOOKUP(A31,[32]WRDS!$A$1:$O$100,8,FALSE)</f>
        <v>5</v>
      </c>
      <c r="N31">
        <f>VLOOKUP(A31,[32]WRDS!$A$1:$O$100,11,FALSE)</f>
        <v>1.43</v>
      </c>
    </row>
    <row r="32" spans="1:14" x14ac:dyDescent="0.3">
      <c r="A32" t="s">
        <v>51</v>
      </c>
      <c r="B32" t="str">
        <f>VLOOKUP(A32,[31]WRDS!$A$1:$N$100,2,FALSE)</f>
        <v>PPL</v>
      </c>
      <c r="C32" t="str">
        <f>VLOOKUP(A32,[31]WRDS!$A$1:$N$100,3,FALSE)</f>
        <v>PP&amp;L CORP</v>
      </c>
      <c r="D32">
        <f>VLOOKUP(A32,[31]WRDS!$A$1:$N$100,13,FALSE)</f>
        <v>2.72</v>
      </c>
      <c r="E32">
        <f>VLOOKUP(A32,[9]WRDS!$A$1:$N$100,13,FALSE)</f>
        <v>2.21</v>
      </c>
      <c r="F32" s="1">
        <f t="shared" si="3"/>
        <v>3.7974064207899194</v>
      </c>
      <c r="G32" s="1">
        <f t="shared" si="4"/>
        <v>3.7974064207899194</v>
      </c>
      <c r="H32" s="2">
        <f t="shared" si="0"/>
        <v>-5.0585538942029107E-2</v>
      </c>
      <c r="I32" s="2">
        <f>VLOOKUP(A32,[32]WRDS!$A$1:$O$100,10,FALSE)/100</f>
        <v>8.6999999999999994E-2</v>
      </c>
      <c r="J32" s="2">
        <f>VLOOKUP(A32,[32]WRDS!$A$1:$O$100,9,FALSE)/100</f>
        <v>8.6999999999999994E-2</v>
      </c>
      <c r="K32" s="2">
        <f t="shared" si="1"/>
        <v>2.7198591103220577</v>
      </c>
      <c r="L32" s="2">
        <f t="shared" si="2"/>
        <v>2.7198591103220577</v>
      </c>
      <c r="M32">
        <f>VLOOKUP(A32,[32]WRDS!$A$1:$O$100,8,FALSE)</f>
        <v>2</v>
      </c>
      <c r="N32">
        <f>VLOOKUP(A32,[32]WRDS!$A$1:$O$100,11,FALSE)</f>
        <v>4.95</v>
      </c>
    </row>
    <row r="33" spans="1:14" x14ac:dyDescent="0.3">
      <c r="A33" t="s">
        <v>52</v>
      </c>
      <c r="B33" t="str">
        <f>VLOOKUP(A33,[31]WRDS!$A$1:$N$100,2,FALSE)</f>
        <v>SCG</v>
      </c>
      <c r="C33" t="str">
        <f>VLOOKUP(A33,[31]WRDS!$A$1:$N$100,3,FALSE)</f>
        <v>SCANA CP</v>
      </c>
      <c r="D33">
        <f>VLOOKUP(A33,[31]WRDS!$A$1:$N$100,13,FALSE)</f>
        <v>2.97</v>
      </c>
      <c r="E33">
        <f>VLOOKUP(A33,[9]WRDS!$A$1:$N$100,13,FALSE)</f>
        <v>3.81</v>
      </c>
      <c r="F33" s="1">
        <f t="shared" si="3"/>
        <v>3.5214884063668874</v>
      </c>
      <c r="G33" s="1">
        <f t="shared" si="4"/>
        <v>3.5147438769989692</v>
      </c>
      <c r="H33" s="2">
        <f t="shared" si="0"/>
        <v>6.4246257417007069E-2</v>
      </c>
      <c r="I33" s="2">
        <f>VLOOKUP(A33,[32]WRDS!$A$1:$O$100,10,FALSE)/100</f>
        <v>4.3499999999999997E-2</v>
      </c>
      <c r="J33" s="2">
        <f>VLOOKUP(A33,[32]WRDS!$A$1:$O$100,9,FALSE)/100</f>
        <v>4.2999999999999997E-2</v>
      </c>
      <c r="K33" s="2">
        <f t="shared" si="1"/>
        <v>-0.32291775818703466</v>
      </c>
      <c r="L33" s="2">
        <f t="shared" si="2"/>
        <v>-0.33070031269063199</v>
      </c>
      <c r="M33">
        <f>VLOOKUP(A33,[32]WRDS!$A$1:$O$100,8,FALSE)</f>
        <v>4</v>
      </c>
      <c r="N33">
        <f>VLOOKUP(A33,[32]WRDS!$A$1:$O$100,11,FALSE)</f>
        <v>0.52</v>
      </c>
    </row>
    <row r="34" spans="1:14" x14ac:dyDescent="0.3">
      <c r="A34" t="s">
        <v>53</v>
      </c>
      <c r="B34" t="str">
        <f>VLOOKUP(A34,[31]WRDS!$A$1:$N$100,2,FALSE)</f>
        <v>SO</v>
      </c>
      <c r="C34" t="str">
        <f>VLOOKUP(A34,[31]WRDS!$A$1:$N$100,3,FALSE)</f>
        <v>SOUTHN CO</v>
      </c>
      <c r="D34">
        <f>VLOOKUP(A34,[31]WRDS!$A$1:$N$100,13,FALSE)</f>
        <v>2.57</v>
      </c>
      <c r="E34">
        <f>VLOOKUP(A34,[9]WRDS!$A$1:$N$100,13,FALSE)</f>
        <v>2.89</v>
      </c>
      <c r="F34" s="1">
        <f t="shared" si="3"/>
        <v>3.2372258354869428</v>
      </c>
      <c r="G34" s="1">
        <f t="shared" si="4"/>
        <v>3.2445657872000004</v>
      </c>
      <c r="H34" s="2">
        <f t="shared" si="0"/>
        <v>2.9772239205383411E-2</v>
      </c>
      <c r="I34" s="2">
        <f>VLOOKUP(A34,[32]WRDS!$A$1:$O$100,10,FALSE)/100</f>
        <v>5.9400000000000001E-2</v>
      </c>
      <c r="J34" s="2">
        <f>VLOOKUP(A34,[32]WRDS!$A$1:$O$100,9,FALSE)/100</f>
        <v>0.06</v>
      </c>
      <c r="K34" s="2">
        <f t="shared" si="1"/>
        <v>0.99514721046777377</v>
      </c>
      <c r="L34" s="2">
        <f t="shared" si="2"/>
        <v>1.0153002125937107</v>
      </c>
      <c r="M34">
        <f>VLOOKUP(A34,[32]WRDS!$A$1:$O$100,8,FALSE)</f>
        <v>7</v>
      </c>
      <c r="N34">
        <f>VLOOKUP(A34,[32]WRDS!$A$1:$O$100,11,FALSE)</f>
        <v>0.6</v>
      </c>
    </row>
    <row r="35" spans="1:14" x14ac:dyDescent="0.3">
      <c r="A35" t="s">
        <v>54</v>
      </c>
      <c r="B35" t="str">
        <f>VLOOKUP(A35,[31]WRDS!$A$1:$N$100,2,FALSE)</f>
        <v>SDO</v>
      </c>
      <c r="C35" t="str">
        <f>VLOOKUP(A35,[31]WRDS!$A$1:$N$100,3,FALSE)</f>
        <v>SEMPRA ENERGY</v>
      </c>
      <c r="D35">
        <f>VLOOKUP(A35,[31]WRDS!$A$1:$N$100,13,FALSE)</f>
        <v>4.47</v>
      </c>
      <c r="E35">
        <f>VLOOKUP(A35,[9]WRDS!$A$1:$N$100,13,FALSE)</f>
        <v>5.21</v>
      </c>
      <c r="F35" s="1">
        <f t="shared" si="3"/>
        <v>5.8592581646999999</v>
      </c>
      <c r="G35" s="1">
        <f t="shared" si="4"/>
        <v>5.8592581646999999</v>
      </c>
      <c r="H35" s="2">
        <f t="shared" si="0"/>
        <v>3.9040677301152016E-2</v>
      </c>
      <c r="I35" s="2">
        <f>VLOOKUP(A35,[32]WRDS!$A$1:$O$100,10,FALSE)/100</f>
        <v>7.0000000000000007E-2</v>
      </c>
      <c r="J35" s="2">
        <f>VLOOKUP(A35,[32]WRDS!$A$1:$O$100,9,FALSE)/100</f>
        <v>7.0000000000000007E-2</v>
      </c>
      <c r="K35" s="2">
        <f t="shared" si="1"/>
        <v>0.79300168027398543</v>
      </c>
      <c r="L35" s="2">
        <f t="shared" si="2"/>
        <v>0.79300168027398543</v>
      </c>
      <c r="M35">
        <f>VLOOKUP(A35,[32]WRDS!$A$1:$O$100,8,FALSE)</f>
        <v>2</v>
      </c>
      <c r="N35">
        <f>VLOOKUP(A35,[32]WRDS!$A$1:$O$100,11,FALSE)</f>
        <v>0</v>
      </c>
    </row>
    <row r="36" spans="1:14" x14ac:dyDescent="0.3">
      <c r="A36" t="s">
        <v>75</v>
      </c>
      <c r="B36" t="str">
        <f>VLOOKUP(A36,[31]WRDS!$A$1:$N$100,2,FALSE)</f>
        <v>TE</v>
      </c>
      <c r="C36" t="str">
        <f>VLOOKUP(A36,[31]WRDS!$A$1:$N$100,3,FALSE)</f>
        <v>TECO ENERGY INC</v>
      </c>
      <c r="D36">
        <f>VLOOKUP(A36,[31]WRDS!$A$1:$N$100,13,FALSE)</f>
        <v>1.27</v>
      </c>
      <c r="E36">
        <f>VLOOKUP(A36,[9]WRDS!$A$1:$N$100,13,FALSE)</f>
        <v>1.1000000000000001</v>
      </c>
      <c r="F36" s="1">
        <f t="shared" si="3"/>
        <v>1.5679455406339857</v>
      </c>
      <c r="G36" s="1">
        <f t="shared" si="4"/>
        <v>1.5436929375000001</v>
      </c>
      <c r="H36" s="2">
        <f t="shared" si="0"/>
        <v>-3.5288976658294557E-2</v>
      </c>
      <c r="I36" s="2">
        <f>VLOOKUP(A36,[32]WRDS!$A$1:$O$100,10,FALSE)/100</f>
        <v>5.4100000000000002E-2</v>
      </c>
      <c r="J36" s="2">
        <f>VLOOKUP(A36,[32]WRDS!$A$1:$O$100,9,FALSE)/100</f>
        <v>0.05</v>
      </c>
      <c r="K36" s="2">
        <f t="shared" si="1"/>
        <v>2.5330566404306309</v>
      </c>
      <c r="L36" s="2">
        <f t="shared" si="2"/>
        <v>2.4168730503055738</v>
      </c>
      <c r="M36">
        <f>VLOOKUP(A36,[32]WRDS!$A$1:$O$100,8,FALSE)</f>
        <v>8</v>
      </c>
      <c r="N36">
        <f>VLOOKUP(A36,[32]WRDS!$A$1:$O$100,11,FALSE)</f>
        <v>1.95</v>
      </c>
    </row>
    <row r="37" spans="1:14" x14ac:dyDescent="0.3">
      <c r="A37" t="s">
        <v>76</v>
      </c>
      <c r="B37" t="str">
        <f>VLOOKUP(A37,[31]WRDS!$A$1:$N$100,2,FALSE)</f>
        <v>SIG</v>
      </c>
      <c r="C37" t="str">
        <f>VLOOKUP(A37,[31]WRDS!$A$1:$N$100,3,FALSE)</f>
        <v>VECTREN CORP</v>
      </c>
      <c r="D37">
        <f>VLOOKUP(A37,[31]WRDS!$A$1:$N$100,13,FALSE)</f>
        <v>1.73</v>
      </c>
      <c r="E37">
        <f>VLOOKUP(A37,[9]WRDS!$A$1:$N$100,13,FALSE)</f>
        <v>2.39</v>
      </c>
      <c r="F37" s="1">
        <f t="shared" si="3"/>
        <v>2.1840851408000006</v>
      </c>
      <c r="G37" s="1">
        <f t="shared" si="4"/>
        <v>2.1840851408000006</v>
      </c>
      <c r="H37" s="2">
        <f t="shared" si="0"/>
        <v>8.4146443484655276E-2</v>
      </c>
      <c r="I37" s="2">
        <f>VLOOKUP(A37,[32]WRDS!$A$1:$O$100,10,FALSE)/100</f>
        <v>0.06</v>
      </c>
      <c r="J37" s="2">
        <f>VLOOKUP(A37,[32]WRDS!$A$1:$O$100,9,FALSE)/100</f>
        <v>0.06</v>
      </c>
      <c r="K37" s="2">
        <f t="shared" si="1"/>
        <v>-0.28695738625077555</v>
      </c>
      <c r="L37" s="2">
        <f t="shared" si="2"/>
        <v>-0.28695738625077555</v>
      </c>
      <c r="M37">
        <f>VLOOKUP(A37,[32]WRDS!$A$1:$O$100,8,FALSE)</f>
        <v>2</v>
      </c>
      <c r="N37">
        <f>VLOOKUP(A37,[32]WRDS!$A$1:$O$100,11,FALSE)</f>
        <v>0</v>
      </c>
    </row>
    <row r="38" spans="1:14" x14ac:dyDescent="0.3">
      <c r="A38" t="s">
        <v>55</v>
      </c>
      <c r="B38" t="str">
        <f>VLOOKUP(A38,[31]WRDS!$A$1:$N$100,2,FALSE)</f>
        <v>WPC</v>
      </c>
      <c r="C38" t="str">
        <f>VLOOKUP(A38,[31]WRDS!$A$1:$N$100,3,FALSE)</f>
        <v>WISCONSIN ENERGY</v>
      </c>
      <c r="D38">
        <f>VLOOKUP(A38,[31]WRDS!$A$1:$N$100,13,FALSE)</f>
        <v>2.1800000000000002</v>
      </c>
      <c r="E38">
        <f>VLOOKUP(A38,[9]WRDS!$A$1:$N$100,13,FALSE)</f>
        <v>2.73</v>
      </c>
      <c r="F38" s="1">
        <f t="shared" si="3"/>
        <v>2.9439575062620809</v>
      </c>
      <c r="G38" s="1">
        <f t="shared" si="4"/>
        <v>2.9768658873717802</v>
      </c>
      <c r="H38" s="2">
        <f t="shared" si="0"/>
        <v>5.7855962748888601E-2</v>
      </c>
      <c r="I38" s="2">
        <f>VLOOKUP(A38,[32]WRDS!$A$1:$O$100,10,FALSE)/100</f>
        <v>7.8E-2</v>
      </c>
      <c r="J38" s="2">
        <f>VLOOKUP(A38,[32]WRDS!$A$1:$O$100,9,FALSE)/100</f>
        <v>8.1000000000000003E-2</v>
      </c>
      <c r="K38" s="2">
        <f t="shared" si="1"/>
        <v>0.34817564679620444</v>
      </c>
      <c r="L38" s="2">
        <f t="shared" si="2"/>
        <v>0.4000285562883662</v>
      </c>
      <c r="M38">
        <f>VLOOKUP(A38,[32]WRDS!$A$1:$O$100,8,FALSE)</f>
        <v>4</v>
      </c>
      <c r="N38">
        <f>VLOOKUP(A38,[32]WRDS!$A$1:$O$100,11,FALSE)</f>
        <v>2.2599999999999998</v>
      </c>
    </row>
    <row r="39" spans="1:14" x14ac:dyDescent="0.3">
      <c r="A39" t="s">
        <v>64</v>
      </c>
      <c r="B39" t="str">
        <f>VLOOKUP(A39,[31]WRDS!$A$1:$N$100,2,FALSE)</f>
        <v>KAN</v>
      </c>
      <c r="C39" t="str">
        <f>VLOOKUP(A39,[31]WRDS!$A$1:$N$100,3,FALSE)</f>
        <v>WESTAR ENERGY</v>
      </c>
      <c r="D39">
        <f>VLOOKUP(A39,[31]WRDS!$A$1:$N$100,13,FALSE)</f>
        <v>1.81</v>
      </c>
      <c r="E39">
        <f>VLOOKUP(A39,[9]WRDS!$A$1:$N$100,13,FALSE)</f>
        <v>2.09</v>
      </c>
      <c r="F39" s="1">
        <f t="shared" si="3"/>
        <v>2.2067789432089646</v>
      </c>
      <c r="G39" s="1">
        <f t="shared" si="4"/>
        <v>2.1502084762137601</v>
      </c>
      <c r="H39" s="2">
        <f t="shared" si="0"/>
        <v>3.661366082077766E-2</v>
      </c>
      <c r="I39" s="2">
        <f>VLOOKUP(A39,[32]WRDS!$A$1:$O$100,10,FALSE)/100</f>
        <v>5.0799999999999998E-2</v>
      </c>
      <c r="J39" s="2">
        <f>VLOOKUP(A39,[32]WRDS!$A$1:$O$100,9,FALSE)/100</f>
        <v>4.4000000000000004E-2</v>
      </c>
      <c r="K39" s="2">
        <f t="shared" si="1"/>
        <v>0.38746027742661066</v>
      </c>
      <c r="L39" s="2">
        <f t="shared" si="2"/>
        <v>0.20173724816478106</v>
      </c>
      <c r="M39">
        <f>VLOOKUP(A39,[32]WRDS!$A$1:$O$100,8,FALSE)</f>
        <v>4</v>
      </c>
      <c r="N39">
        <f>VLOOKUP(A39,[32]WRDS!$A$1:$O$100,11,FALSE)</f>
        <v>2.0499999999999998</v>
      </c>
    </row>
    <row r="40" spans="1:14" x14ac:dyDescent="0.3">
      <c r="A40" t="s">
        <v>56</v>
      </c>
      <c r="B40" t="str">
        <f>VLOOKUP(A40,[31]WRDS!$A$1:$N$100,2,FALSE)</f>
        <v>NSP</v>
      </c>
      <c r="C40" t="str">
        <f>VLOOKUP(A40,[31]WRDS!$A$1:$N$100,3,FALSE)</f>
        <v>XCEL ENERGY INC</v>
      </c>
      <c r="D40">
        <f>VLOOKUP(A40,[31]WRDS!$A$1:$N$100,13,FALSE)</f>
        <v>1.72</v>
      </c>
      <c r="E40">
        <f>VLOOKUP(A40,[9]WRDS!$A$1:$N$100,13,FALSE)</f>
        <v>2.09</v>
      </c>
      <c r="F40" s="1">
        <f t="shared" si="3"/>
        <v>2.1010437923580403</v>
      </c>
      <c r="G40" s="1">
        <f t="shared" si="4"/>
        <v>2.1082477075134438</v>
      </c>
      <c r="H40" s="2">
        <f t="shared" si="0"/>
        <v>4.991577197777497E-2</v>
      </c>
      <c r="I40" s="2">
        <f>VLOOKUP(A40,[32]WRDS!$A$1:$O$100,10,FALSE)/100</f>
        <v>5.1299999999999998E-2</v>
      </c>
      <c r="J40" s="2">
        <f>VLOOKUP(A40,[32]WRDS!$A$1:$O$100,9,FALSE)/100</f>
        <v>5.2199999999999996E-2</v>
      </c>
      <c r="K40" s="2">
        <f t="shared" si="1"/>
        <v>2.773127545420628E-2</v>
      </c>
      <c r="L40" s="2">
        <f t="shared" si="2"/>
        <v>4.5761648707788809E-2</v>
      </c>
      <c r="M40">
        <f>VLOOKUP(A40,[32]WRDS!$A$1:$O$100,8,FALSE)</f>
        <v>8</v>
      </c>
      <c r="N40">
        <f>VLOOKUP(A40,[32]WRDS!$A$1:$O$100,11,FALSE)</f>
        <v>1.44</v>
      </c>
    </row>
    <row r="41" spans="1:14" x14ac:dyDescent="0.3">
      <c r="A41" t="s">
        <v>132</v>
      </c>
      <c r="B41" t="str">
        <f>VLOOKUP(A41,'[5]Ticker List'!$H$4:$I$20,2,FALSE)</f>
        <v>EGAS</v>
      </c>
      <c r="C41" t="str">
        <f>VLOOKUP(A41,[33]WRDS!$B$1:$N$11,2,FALSE)</f>
        <v>ATMOS ENERGY CP</v>
      </c>
      <c r="D41">
        <f>VLOOKUP(A41,[33]WRDS!$B$1:$N$11,12,FALSE)</f>
        <v>2.11</v>
      </c>
      <c r="E41">
        <f>VLOOKUP(A41,[13]WRDS!$B$1:$N$13,12,FALSE)</f>
        <v>3.37</v>
      </c>
      <c r="F41" s="1">
        <f t="shared" si="3"/>
        <v>2.2839318575999998</v>
      </c>
      <c r="G41" s="1">
        <f t="shared" si="4"/>
        <v>2.2839318575999998</v>
      </c>
      <c r="H41" s="2">
        <f t="shared" si="0"/>
        <v>0.12418260609984699</v>
      </c>
      <c r="I41" s="2">
        <f>VLOOKUP(A41,[34]pig4klb7dcygop1y!$B$1:$N$100,9,FALSE)/100</f>
        <v>0.02</v>
      </c>
      <c r="J41" s="2">
        <f>VLOOKUP(A41,[34]pig4klb7dcygop1y!$B$1:$N$100,8,FALSE)/100</f>
        <v>0.02</v>
      </c>
      <c r="K41" s="2">
        <f t="shared" si="1"/>
        <v>-0.83894684909479733</v>
      </c>
      <c r="L41" s="2">
        <f t="shared" si="2"/>
        <v>-0.83894684909479733</v>
      </c>
      <c r="M41">
        <f>VLOOKUP(A41,[34]pig4klb7dcygop1y!$B$1:$N$100,7,FALSE)</f>
        <v>2</v>
      </c>
      <c r="N41">
        <f>VLOOKUP(A41,[34]pig4klb7dcygop1y!$B$1:$N$100,10,FALSE)</f>
        <v>0</v>
      </c>
    </row>
    <row r="42" spans="1:14" x14ac:dyDescent="0.3">
      <c r="A42" t="s">
        <v>133</v>
      </c>
      <c r="B42" t="str">
        <f>VLOOKUP(A42,'[5]Ticker List'!$H$4:$I$20,2,FALSE)</f>
        <v>CHPK</v>
      </c>
      <c r="C42" t="str">
        <f>VLOOKUP(A42,[33]WRDS!$B$1:$N$11,2,FALSE)</f>
        <v>CHESAPEAKE UTIL</v>
      </c>
      <c r="D42">
        <f>VLOOKUP(A42,[33]WRDS!$B$1:$N$11,12,FALSE)</f>
        <v>1.8733</v>
      </c>
      <c r="E42">
        <f>VLOOKUP(A42,[13]WRDS!$B$1:$N$13,12,FALSE)</f>
        <v>2.9</v>
      </c>
      <c r="F42" s="1">
        <f t="shared" si="3"/>
        <v>2.9476738170880008</v>
      </c>
      <c r="G42" s="1">
        <f t="shared" si="4"/>
        <v>2.9476738170880008</v>
      </c>
      <c r="H42" s="2">
        <f t="shared" si="0"/>
        <v>0.11544372889121002</v>
      </c>
      <c r="I42" s="2">
        <f>VLOOKUP(A42,[34]pig4klb7dcygop1y!$B$1:$N$100,9,FALSE)/100</f>
        <v>0.12</v>
      </c>
      <c r="J42" s="2">
        <f>VLOOKUP(A42,[34]pig4klb7dcygop1y!$B$1:$N$100,8,FALSE)/100</f>
        <v>0.12</v>
      </c>
      <c r="K42" s="2">
        <f t="shared" si="1"/>
        <v>3.9467463088303761E-2</v>
      </c>
      <c r="L42" s="2">
        <f t="shared" si="2"/>
        <v>3.9467463088303761E-2</v>
      </c>
      <c r="M42">
        <f>VLOOKUP(A42,[34]pig4klb7dcygop1y!$B$1:$N$100,7,FALSE)</f>
        <v>1</v>
      </c>
      <c r="N42">
        <f>VLOOKUP(A42,[34]pig4klb7dcygop1y!$B$1:$N$100,10,FALSE)</f>
        <v>0</v>
      </c>
    </row>
    <row r="43" spans="1:14" x14ac:dyDescent="0.3">
      <c r="A43" t="s">
        <v>134</v>
      </c>
      <c r="B43" t="str">
        <f>VLOOKUP(A43,'[5]Ticker List'!$H$4:$I$20,2,FALSE)</f>
        <v>NJR</v>
      </c>
      <c r="C43" t="str">
        <f>VLOOKUP(A43,[33]WRDS!$B$1:$N$11,2,FALSE)</f>
        <v>NEW JERSEY RES</v>
      </c>
      <c r="D43">
        <f>VLOOKUP(A43,[33]WRDS!$B$1:$N$11,12,FALSE)</f>
        <v>1.355</v>
      </c>
      <c r="E43">
        <f>VLOOKUP(A43,[13]WRDS!$B$1:$N$13,12,FALSE)</f>
        <v>1.61</v>
      </c>
      <c r="F43" s="1">
        <f t="shared" si="3"/>
        <v>1.5268419880632713</v>
      </c>
      <c r="G43" s="1">
        <f t="shared" si="4"/>
        <v>1.5851583488000003</v>
      </c>
      <c r="H43" s="2">
        <f t="shared" si="0"/>
        <v>4.4050835378402597E-2</v>
      </c>
      <c r="I43" s="2">
        <f>VLOOKUP(A43,[34]pig4klb7dcygop1y!$B$1:$N$100,9,FALSE)/100</f>
        <v>3.0299999999999997E-2</v>
      </c>
      <c r="J43" s="2">
        <f>VLOOKUP(A43,[34]pig4klb7dcygop1y!$B$1:$N$100,8,FALSE)/100</f>
        <v>0.04</v>
      </c>
      <c r="K43" s="2">
        <f t="shared" si="1"/>
        <v>-0.3121583338949438</v>
      </c>
      <c r="L43" s="2">
        <f t="shared" si="2"/>
        <v>-9.1958196560981795E-2</v>
      </c>
      <c r="M43">
        <f>VLOOKUP(A43,[34]pig4klb7dcygop1y!$B$1:$N$100,7,FALSE)</f>
        <v>3</v>
      </c>
      <c r="N43">
        <f>VLOOKUP(A43,[34]pig4klb7dcygop1y!$B$1:$N$100,10,FALSE)</f>
        <v>1.76</v>
      </c>
    </row>
    <row r="44" spans="1:14" x14ac:dyDescent="0.3">
      <c r="A44" t="s">
        <v>135</v>
      </c>
      <c r="B44" t="str">
        <f>VLOOKUP(A44,'[5]Ticker List'!$H$4:$I$20,2,FALSE)</f>
        <v>NI</v>
      </c>
      <c r="C44" t="str">
        <f>VLOOKUP(A44,[33]WRDS!$B$1:$N$11,2,FALSE)</f>
        <v>NISOURCE INC</v>
      </c>
      <c r="D44">
        <f>VLOOKUP(A44,[33]WRDS!$B$1:$N$11,12,FALSE)</f>
        <v>1.35</v>
      </c>
      <c r="E44">
        <f>VLOOKUP(A44,[13]WRDS!$B$1:$N$13,12,FALSE)</f>
        <v>0.94</v>
      </c>
      <c r="F44" s="1">
        <f t="shared" si="3"/>
        <v>2.0163631697528337</v>
      </c>
      <c r="G44" s="1">
        <f t="shared" si="4"/>
        <v>2.0163631697528337</v>
      </c>
      <c r="H44" s="2">
        <f t="shared" si="0"/>
        <v>-8.6521097840943639E-2</v>
      </c>
      <c r="I44" s="2">
        <f>VLOOKUP(A44,[34]pig4klb7dcygop1y!$B$1:$N$100,9,FALSE)/100</f>
        <v>0.10550000000000001</v>
      </c>
      <c r="J44" s="2">
        <f>VLOOKUP(A44,[34]pig4klb7dcygop1y!$B$1:$N$100,8,FALSE)/100</f>
        <v>0.10550000000000001</v>
      </c>
      <c r="K44" s="2">
        <f t="shared" si="1"/>
        <v>2.2193557713974723</v>
      </c>
      <c r="L44" s="2">
        <f t="shared" si="2"/>
        <v>2.2193557713974723</v>
      </c>
      <c r="M44">
        <f>VLOOKUP(A44,[34]pig4klb7dcygop1y!$B$1:$N$100,7,FALSE)</f>
        <v>2</v>
      </c>
      <c r="N44">
        <f>VLOOKUP(A44,[34]pig4klb7dcygop1y!$B$1:$N$100,10,FALSE)</f>
        <v>3.32</v>
      </c>
    </row>
    <row r="45" spans="1:14" x14ac:dyDescent="0.3">
      <c r="A45" t="s">
        <v>136</v>
      </c>
      <c r="B45" t="str">
        <f>VLOOKUP(A45,'[5]Ticker List'!$H$4:$I$20,2,FALSE)</f>
        <v>NWNG</v>
      </c>
      <c r="C45" t="str">
        <f>VLOOKUP(A45,[33]WRDS!$B$1:$N$11,2,FALSE)</f>
        <v>NW NATURAL GAS</v>
      </c>
      <c r="D45">
        <f>VLOOKUP(A45,[33]WRDS!$B$1:$N$11,12,FALSE)</f>
        <v>2.56</v>
      </c>
      <c r="E45">
        <f>VLOOKUP(A45,[13]WRDS!$B$1:$N$13,12,FALSE)</f>
        <v>2.37</v>
      </c>
      <c r="F45" s="1">
        <f t="shared" si="3"/>
        <v>2.9524459645310368</v>
      </c>
      <c r="G45" s="1">
        <f t="shared" si="4"/>
        <v>2.9948379136000005</v>
      </c>
      <c r="H45" s="2">
        <f t="shared" si="0"/>
        <v>-1.9094668229247103E-2</v>
      </c>
      <c r="I45" s="2">
        <f>VLOOKUP(A45,[34]pig4klb7dcygop1y!$B$1:$N$100,9,FALSE)/100</f>
        <v>3.6299999999999999E-2</v>
      </c>
      <c r="J45" s="2">
        <f>VLOOKUP(A45,[34]pig4klb7dcygop1y!$B$1:$N$100,8,FALSE)/100</f>
        <v>0.04</v>
      </c>
      <c r="K45" s="2">
        <f t="shared" si="1"/>
        <v>2.9010542400731358</v>
      </c>
      <c r="L45" s="2">
        <f t="shared" si="2"/>
        <v>3.0948256088960173</v>
      </c>
      <c r="M45">
        <f>VLOOKUP(A45,[34]pig4klb7dcygop1y!$B$1:$N$100,7,FALSE)</f>
        <v>4</v>
      </c>
      <c r="N45">
        <f>VLOOKUP(A45,[34]pig4klb7dcygop1y!$B$1:$N$100,10,FALSE)</f>
        <v>1.1100000000000001</v>
      </c>
    </row>
    <row r="46" spans="1:14" x14ac:dyDescent="0.3">
      <c r="A46" t="s">
        <v>138</v>
      </c>
      <c r="B46" t="str">
        <f>VLOOKUP(A46,'[5]Ticker List'!$H$4:$I$20,2,FALSE)</f>
        <v>SJI</v>
      </c>
      <c r="C46" t="str">
        <f>VLOOKUP(A46,[33]WRDS!$B$1:$N$11,2,FALSE)</f>
        <v>SO JERSEY INDS</v>
      </c>
      <c r="D46">
        <f>VLOOKUP(A46,[33]WRDS!$B$1:$N$11,12,FALSE)</f>
        <v>1.4450000000000001</v>
      </c>
      <c r="E46">
        <f>VLOOKUP(A46,[13]WRDS!$B$1:$N$13,12,FALSE)</f>
        <v>1.44</v>
      </c>
      <c r="F46" s="1">
        <f t="shared" si="3"/>
        <v>2.0151459930711084</v>
      </c>
      <c r="G46" s="1">
        <f t="shared" si="4"/>
        <v>2.0397354264500005</v>
      </c>
      <c r="H46" s="2">
        <f t="shared" si="0"/>
        <v>-8.6617664636956526E-4</v>
      </c>
      <c r="I46" s="2">
        <f>VLOOKUP(A46,[34]pig4klb7dcygop1y!$B$1:$N$100,9,FALSE)/100</f>
        <v>8.6699999999999999E-2</v>
      </c>
      <c r="J46" s="2">
        <f>VLOOKUP(A46,[34]pig4klb7dcygop1y!$B$1:$N$100,8,FALSE)/100</f>
        <v>0.09</v>
      </c>
      <c r="K46" s="2">
        <f t="shared" si="1"/>
        <v>101.09505608744887</v>
      </c>
      <c r="L46" s="2">
        <f t="shared" si="2"/>
        <v>104.9049025129227</v>
      </c>
      <c r="M46">
        <f>VLOOKUP(A46,[34]pig4klb7dcygop1y!$B$1:$N$100,7,FALSE)</f>
        <v>3</v>
      </c>
      <c r="N46">
        <f>VLOOKUP(A46,[34]pig4klb7dcygop1y!$B$1:$N$100,10,FALSE)</f>
        <v>0.57999999999999996</v>
      </c>
    </row>
    <row r="47" spans="1:14" x14ac:dyDescent="0.3">
      <c r="A47" t="s">
        <v>139</v>
      </c>
      <c r="B47" t="str">
        <f>VLOOKUP(A47,'[5]Ticker List'!$H$4:$I$20,2,FALSE)</f>
        <v>SWX</v>
      </c>
      <c r="C47" t="str">
        <f>VLOOKUP(A47,[33]WRDS!$B$1:$N$11,2,FALSE)</f>
        <v>SOUTHWEST GAS</v>
      </c>
      <c r="D47">
        <f>VLOOKUP(A47,[33]WRDS!$B$1:$N$11,12,FALSE)</f>
        <v>2.4300000000000002</v>
      </c>
      <c r="E47">
        <f>VLOOKUP(A47,[13]WRDS!$B$1:$N$13,12,FALSE)</f>
        <v>2.97</v>
      </c>
      <c r="F47" s="1">
        <f t="shared" si="3"/>
        <v>2.6510007878020803</v>
      </c>
      <c r="G47" s="1">
        <f t="shared" si="4"/>
        <v>2.6510007878020803</v>
      </c>
      <c r="H47" s="2">
        <f t="shared" si="0"/>
        <v>5.1447381843301443E-2</v>
      </c>
      <c r="I47" s="2">
        <f>VLOOKUP(A47,[34]pig4klb7dcygop1y!$B$1:$N$100,9,FALSE)/100</f>
        <v>2.2000000000000002E-2</v>
      </c>
      <c r="J47" s="2">
        <f>VLOOKUP(A47,[34]pig4klb7dcygop1y!$B$1:$N$100,8,FALSE)/100</f>
        <v>2.2000000000000002E-2</v>
      </c>
      <c r="K47" s="2">
        <f t="shared" si="1"/>
        <v>-0.57237862818738461</v>
      </c>
      <c r="L47" s="2">
        <f t="shared" si="2"/>
        <v>-0.57237862818738461</v>
      </c>
      <c r="M47">
        <f>VLOOKUP(A47,[34]pig4klb7dcygop1y!$B$1:$N$100,7,FALSE)</f>
        <v>2</v>
      </c>
      <c r="N47">
        <f>VLOOKUP(A47,[34]pig4klb7dcygop1y!$B$1:$N$100,10,FALSE)</f>
        <v>5.37</v>
      </c>
    </row>
    <row r="48" spans="1:14" x14ac:dyDescent="0.3">
      <c r="A48" t="s">
        <v>143</v>
      </c>
      <c r="B48" t="str">
        <f>VLOOKUP(A48,'[5]Ticker List'!$H$4:$I$20,2,FALSE)</f>
        <v>LG</v>
      </c>
      <c r="C48" t="str">
        <f>VLOOKUP(A48,[33]WRDS!$B$1:$N$11,2,FALSE)</f>
        <v>LACLEDE GROUP</v>
      </c>
      <c r="D48">
        <f>VLOOKUP(A48,[33]WRDS!$B$1:$N$11,12,FALSE)</f>
        <v>2.79</v>
      </c>
      <c r="E48">
        <f>VLOOKUP(A48,[13]WRDS!$B$1:$N$13,12,FALSE)</f>
        <v>3.42</v>
      </c>
      <c r="F48" s="1">
        <f t="shared" si="3"/>
        <v>3.4301861417619892</v>
      </c>
      <c r="G48" s="1">
        <f t="shared" si="4"/>
        <v>3.4301861417619892</v>
      </c>
      <c r="H48" s="2">
        <f t="shared" si="0"/>
        <v>5.2217391426944371E-2</v>
      </c>
      <c r="I48" s="2">
        <f>VLOOKUP(A48,[34]pig4klb7dcygop1y!$B$1:$N$100,9,FALSE)/100</f>
        <v>5.2999999999999999E-2</v>
      </c>
      <c r="J48" s="2">
        <f>VLOOKUP(A48,[34]pig4klb7dcygop1y!$B$1:$N$100,8,FALSE)/100</f>
        <v>5.2999999999999999E-2</v>
      </c>
      <c r="K48" s="2">
        <f t="shared" si="1"/>
        <v>1.4987508024994885E-2</v>
      </c>
      <c r="L48" s="2">
        <f t="shared" si="2"/>
        <v>1.4987508024994885E-2</v>
      </c>
      <c r="M48">
        <f>VLOOKUP(A48,[34]pig4klb7dcygop1y!$B$1:$N$100,7,FALSE)</f>
        <v>1</v>
      </c>
      <c r="N48">
        <f>VLOOKUP(A48,[34]pig4klb7dcygop1y!$B$1:$N$100,10,FALSE)</f>
        <v>0</v>
      </c>
    </row>
    <row r="49" spans="1:14" x14ac:dyDescent="0.3">
      <c r="A49" t="s">
        <v>146</v>
      </c>
      <c r="B49" t="str">
        <f>VLOOKUP(A49,'[5]Ticker List'!$H$4:$I$20,2,FALSE)</f>
        <v>PNY</v>
      </c>
      <c r="C49" t="str">
        <f>VLOOKUP(A49,[33]WRDS!$B$1:$N$11,2,FALSE)</f>
        <v>PIEDMONT NAT GAS</v>
      </c>
      <c r="D49">
        <f>VLOOKUP(A49,[33]WRDS!$B$1:$N$11,12,FALSE)</f>
        <v>1.57</v>
      </c>
      <c r="E49">
        <f>VLOOKUP(A49,[13]WRDS!$B$1:$N$13,12,FALSE)</f>
        <v>1.73</v>
      </c>
      <c r="F49" s="1">
        <f t="shared" si="3"/>
        <v>1.9192730297501988</v>
      </c>
      <c r="G49" s="1">
        <f t="shared" si="4"/>
        <v>1.9192730297501988</v>
      </c>
      <c r="H49" s="2">
        <f t="shared" si="0"/>
        <v>2.4558150826282654E-2</v>
      </c>
      <c r="I49" s="2">
        <f>VLOOKUP(A49,[34]pig4klb7dcygop1y!$B$1:$N$100,9,FALSE)/100</f>
        <v>5.1500000000000004E-2</v>
      </c>
      <c r="J49" s="2">
        <f>VLOOKUP(A49,[34]pig4klb7dcygop1y!$B$1:$N$100,8,FALSE)/100</f>
        <v>5.1500000000000004E-2</v>
      </c>
      <c r="K49" s="2">
        <f t="shared" si="1"/>
        <v>1.097063429746657</v>
      </c>
      <c r="L49" s="2">
        <f t="shared" si="2"/>
        <v>1.097063429746657</v>
      </c>
      <c r="M49">
        <f>VLOOKUP(A49,[34]pig4klb7dcygop1y!$B$1:$N$100,7,FALSE)</f>
        <v>2</v>
      </c>
      <c r="N49">
        <f>VLOOKUP(A49,[34]pig4klb7dcygop1y!$B$1:$N$100,10,FALSE)</f>
        <v>1.63</v>
      </c>
    </row>
    <row r="50" spans="1:14" x14ac:dyDescent="0.3">
      <c r="A50" t="s">
        <v>145</v>
      </c>
      <c r="B50" t="str">
        <f>VLOOKUP(A50,'[5]Ticker List'!$H$4:$I$20,2,FALSE)</f>
        <v>WGL</v>
      </c>
      <c r="C50" t="str">
        <f>VLOOKUP(A50,[33]WRDS!$B$1:$N$11,2,FALSE)</f>
        <v>WGL HOLDING INC</v>
      </c>
      <c r="D50">
        <f>VLOOKUP(A50,[33]WRDS!$B$1:$N$11,12,FALSE)</f>
        <v>2.68</v>
      </c>
      <c r="E50">
        <f>VLOOKUP(A50,[13]WRDS!$B$1:$N$13,12,FALSE)</f>
        <v>3.27</v>
      </c>
      <c r="F50" s="1">
        <f t="shared" si="3"/>
        <v>3.2082007215020805</v>
      </c>
      <c r="G50" s="1">
        <f t="shared" si="4"/>
        <v>3.2699842294586801</v>
      </c>
      <c r="H50" s="2">
        <f t="shared" si="0"/>
        <v>5.1001267193339972E-2</v>
      </c>
      <c r="I50" s="2">
        <f>VLOOKUP(A50,[34]pig4klb7dcygop1y!$B$1:$N$100,9,FALSE)/100</f>
        <v>4.5999999999999999E-2</v>
      </c>
      <c r="J50" s="2">
        <f>VLOOKUP(A50,[34]pig4klb7dcygop1y!$B$1:$N$100,8,FALSE)/100</f>
        <v>5.0999999999999997E-2</v>
      </c>
      <c r="K50" s="2">
        <f t="shared" si="1"/>
        <v>-9.8061626084323367E-2</v>
      </c>
      <c r="L50" s="2">
        <f t="shared" si="2"/>
        <v>-2.4846310880304785E-5</v>
      </c>
      <c r="M50">
        <f>VLOOKUP(A50,[34]pig4klb7dcygop1y!$B$1:$N$100,7,FALSE)</f>
        <v>3</v>
      </c>
      <c r="N50">
        <f>VLOOKUP(A50,[34]pig4klb7dcygop1y!$B$1:$N$100,10,FALSE)</f>
        <v>1.23</v>
      </c>
    </row>
  </sheetData>
  <mergeCells count="3">
    <mergeCell ref="P1:Q1"/>
    <mergeCell ref="P7:Q7"/>
    <mergeCell ref="P13:Q1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1A97D-2FC6-4B63-B9CF-955C5EA02BC1}">
  <dimension ref="A1:Q53"/>
  <sheetViews>
    <sheetView topLeftCell="A18" workbookViewId="0">
      <selection activeCell="B53" sqref="B53"/>
    </sheetView>
  </sheetViews>
  <sheetFormatPr defaultRowHeight="14.4" x14ac:dyDescent="0.3"/>
  <cols>
    <col min="1" max="1" width="13.33203125" bestFit="1" customWidth="1"/>
    <col min="2" max="2" width="10.44140625" bestFit="1" customWidth="1"/>
    <col min="3" max="3" width="15.109375" bestFit="1" customWidth="1"/>
    <col min="4" max="5" width="15.44140625" bestFit="1" customWidth="1"/>
    <col min="6" max="6" width="14.33203125" bestFit="1" customWidth="1"/>
    <col min="7" max="7" width="16" bestFit="1" customWidth="1"/>
    <col min="8" max="8" width="18.33203125" bestFit="1" customWidth="1"/>
    <col min="9" max="9" width="21.44140625" bestFit="1" customWidth="1"/>
    <col min="10" max="10" width="23.109375" bestFit="1" customWidth="1"/>
    <col min="11" max="11" width="22" bestFit="1" customWidth="1"/>
    <col min="12" max="12" width="24.109375" bestFit="1" customWidth="1"/>
    <col min="13" max="13" width="19.88671875" bestFit="1" customWidth="1"/>
    <col min="14" max="14" width="8.33203125" bestFit="1" customWidth="1"/>
    <col min="16" max="16" width="51.88671875" bestFit="1" customWidth="1"/>
    <col min="17" max="17" width="12" bestFit="1" customWidth="1"/>
  </cols>
  <sheetData>
    <row r="1" spans="1:17" x14ac:dyDescent="0.3">
      <c r="A1" s="4" t="s">
        <v>0</v>
      </c>
      <c r="B1" s="4" t="s">
        <v>1</v>
      </c>
      <c r="C1" s="4" t="s">
        <v>2</v>
      </c>
      <c r="D1" s="4" t="s">
        <v>77</v>
      </c>
      <c r="E1" s="4" t="s">
        <v>57</v>
      </c>
      <c r="F1" s="4" t="s">
        <v>5</v>
      </c>
      <c r="G1" s="4" t="s">
        <v>6</v>
      </c>
      <c r="H1" s="4" t="s">
        <v>7</v>
      </c>
      <c r="I1" s="4" t="s">
        <v>8</v>
      </c>
      <c r="J1" s="4" t="s">
        <v>9</v>
      </c>
      <c r="K1" s="4" t="s">
        <v>10</v>
      </c>
      <c r="L1" s="4" t="s">
        <v>11</v>
      </c>
      <c r="M1" s="4" t="s">
        <v>12</v>
      </c>
      <c r="N1" s="4" t="s">
        <v>13</v>
      </c>
      <c r="P1" s="111" t="s">
        <v>14</v>
      </c>
      <c r="Q1" s="111"/>
    </row>
    <row r="2" spans="1:17" x14ac:dyDescent="0.3">
      <c r="A2" t="s">
        <v>17</v>
      </c>
      <c r="B2" t="str">
        <f>VLOOKUP(A2,[35]WRDS!$A$1:$N$100,2,FALSE)</f>
        <v>MPL</v>
      </c>
      <c r="C2" t="str">
        <f>VLOOKUP(A2,[35]WRDS!$A$1:$N$100,3,FALSE)</f>
        <v>ALLETE INC</v>
      </c>
      <c r="D2">
        <f>VLOOKUP(A2,[35]WRDS!$A$1:$N$100,13,FALSE)</f>
        <v>2.19</v>
      </c>
      <c r="E2">
        <f>VLOOKUP(A2,[15]WRDS!$A$1:$N$100,13,FALSE)</f>
        <v>2.99</v>
      </c>
      <c r="F2" s="1">
        <f>D2*(1+I2)^4</f>
        <v>2.6955814036047419</v>
      </c>
      <c r="G2" s="1">
        <f>D2*(1+J2)^4</f>
        <v>2.6619586874999999</v>
      </c>
      <c r="H2" s="2">
        <f t="shared" ref="H2:H53" si="0">((E2/D2)^(1/4)-1)</f>
        <v>8.0952893464036002E-2</v>
      </c>
      <c r="I2" s="2">
        <f>VLOOKUP(A2,[36]WRDS!$A$1:$O$100,10,FALSE)/100</f>
        <v>5.33E-2</v>
      </c>
      <c r="J2" s="2">
        <f>VLOOKUP(A2,[36]WRDS!$A$1:$O$100,9,FALSE)/100</f>
        <v>0.05</v>
      </c>
      <c r="K2" s="2">
        <f t="shared" ref="K2:K53" si="1">(I2-H2)/(ABS(H2))</f>
        <v>-0.34159240368994381</v>
      </c>
      <c r="L2" s="2">
        <f t="shared" ref="L2:L53" si="2">(J2-H2)/(ABS(H2))</f>
        <v>-0.3823568514915045</v>
      </c>
      <c r="M2">
        <f>VLOOKUP(A2,[36]WRDS!$A$1:$O$100,8,FALSE)</f>
        <v>3</v>
      </c>
      <c r="N2">
        <f>VLOOKUP(A2,[36]WRDS!$A$1:$O$100,11,FALSE)</f>
        <v>2.52</v>
      </c>
      <c r="P2" t="s">
        <v>16</v>
      </c>
      <c r="Q2" s="3">
        <f>AVERAGE(H2:H999)</f>
        <v>4.5302805339630423E-2</v>
      </c>
    </row>
    <row r="3" spans="1:17" x14ac:dyDescent="0.3">
      <c r="A3" t="s">
        <v>63</v>
      </c>
      <c r="B3" t="str">
        <f>VLOOKUP(A3,[35]WRDS!$A$1:$N$100,2,FALSE)</f>
        <v>WWP</v>
      </c>
      <c r="C3" t="str">
        <f>VLOOKUP(A3,[35]WRDS!$A$1:$N$100,3,FALSE)</f>
        <v>AVISTA CORP</v>
      </c>
      <c r="D3">
        <f>VLOOKUP(A3,[35]WRDS!$A$1:$N$100,13,FALSE)</f>
        <v>1.65</v>
      </c>
      <c r="E3">
        <f>VLOOKUP(A3,[15]WRDS!$A$1:$N$100,13,FALSE)</f>
        <v>2</v>
      </c>
      <c r="F3" s="1">
        <f t="shared" ref="F3:F53" si="3">D3*(1+I3)^4</f>
        <v>1.967655691031249</v>
      </c>
      <c r="G3" s="1">
        <f t="shared" ref="G3:G53" si="4">D3*(1+J3)^4</f>
        <v>1.967655691031249</v>
      </c>
      <c r="H3" s="2">
        <f t="shared" si="0"/>
        <v>4.9268204572291641E-2</v>
      </c>
      <c r="I3" s="2">
        <f>VLOOKUP(A3,[36]WRDS!$A$1:$O$100,10,FALSE)/100</f>
        <v>4.4999999999999998E-2</v>
      </c>
      <c r="J3" s="2">
        <f>VLOOKUP(A3,[36]WRDS!$A$1:$O$100,9,FALSE)/100</f>
        <v>4.4999999999999998E-2</v>
      </c>
      <c r="K3" s="2">
        <f t="shared" si="1"/>
        <v>-8.6632029913508837E-2</v>
      </c>
      <c r="L3" s="2">
        <f t="shared" si="2"/>
        <v>-8.6632029913508837E-2</v>
      </c>
      <c r="M3">
        <f>VLOOKUP(A3,[36]WRDS!$A$1:$O$100,8,FALSE)</f>
        <v>2</v>
      </c>
      <c r="N3">
        <f>VLOOKUP(A3,[36]WRDS!$A$1:$O$100,11,FALSE)</f>
        <v>0.71</v>
      </c>
      <c r="P3" t="s">
        <v>18</v>
      </c>
      <c r="Q3" s="3">
        <f>AVERAGE(I2:I999)</f>
        <v>5.8519230769230775E-2</v>
      </c>
    </row>
    <row r="4" spans="1:17" x14ac:dyDescent="0.3">
      <c r="A4" t="s">
        <v>19</v>
      </c>
      <c r="B4" t="str">
        <f>VLOOKUP(A4,[35]WRDS!$A$1:$N$100,2,FALSE)</f>
        <v>BHP</v>
      </c>
      <c r="C4" t="str">
        <f>VLOOKUP(A4,[35]WRDS!$A$1:$N$100,3,FALSE)</f>
        <v>BLACK HILLS CP</v>
      </c>
      <c r="D4">
        <f>VLOOKUP(A4,[35]WRDS!$A$1:$N$100,13,FALSE)</f>
        <v>1.79</v>
      </c>
      <c r="E4">
        <f>VLOOKUP(A4,[15]WRDS!$A$1:$N$100,13,FALSE)</f>
        <v>2.89</v>
      </c>
      <c r="F4" s="1">
        <f t="shared" si="3"/>
        <v>2.2598337584000006</v>
      </c>
      <c r="G4" s="1">
        <f t="shared" si="4"/>
        <v>2.2598337584000006</v>
      </c>
      <c r="H4" s="2">
        <f t="shared" si="0"/>
        <v>0.12722653343429191</v>
      </c>
      <c r="I4" s="2">
        <f>VLOOKUP(A4,[36]WRDS!$A$1:$O$100,10,FALSE)/100</f>
        <v>0.06</v>
      </c>
      <c r="J4" s="2">
        <f>VLOOKUP(A4,[36]WRDS!$A$1:$O$100,9,FALSE)/100</f>
        <v>0.06</v>
      </c>
      <c r="K4" s="2">
        <f t="shared" si="1"/>
        <v>-0.52840026069728674</v>
      </c>
      <c r="L4" s="2">
        <f t="shared" si="2"/>
        <v>-0.52840026069728674</v>
      </c>
      <c r="M4">
        <f>VLOOKUP(A4,[36]WRDS!$A$1:$O$100,8,FALSE)</f>
        <v>1</v>
      </c>
      <c r="N4">
        <f>VLOOKUP(A4,[36]WRDS!$A$1:$O$100,11,FALSE)</f>
        <v>0</v>
      </c>
      <c r="P4" t="s">
        <v>20</v>
      </c>
      <c r="Q4" s="3">
        <f>(Q3-Q2)/ABS(Q2)</f>
        <v>0.29173525415298646</v>
      </c>
    </row>
    <row r="5" spans="1:17" x14ac:dyDescent="0.3">
      <c r="A5" t="s">
        <v>21</v>
      </c>
      <c r="B5" t="str">
        <f>VLOOKUP(A5,[35]WRDS!$A$1:$N$100,2,FALSE)</f>
        <v>CMS</v>
      </c>
      <c r="C5" t="str">
        <f>VLOOKUP(A5,[35]WRDS!$A$1:$N$100,3,FALSE)</f>
        <v>CMS ENERGY CORP</v>
      </c>
      <c r="D5">
        <f>VLOOKUP(A5,[35]WRDS!$A$1:$N$100,13,FALSE)</f>
        <v>1.36</v>
      </c>
      <c r="E5">
        <f>VLOOKUP(A5,[15]WRDS!$A$1:$N$100,13,FALSE)</f>
        <v>1.77</v>
      </c>
      <c r="F5" s="1">
        <f t="shared" si="3"/>
        <v>1.7169686656000005</v>
      </c>
      <c r="G5" s="1">
        <f t="shared" si="4"/>
        <v>1.7169686656000005</v>
      </c>
      <c r="H5" s="2">
        <f t="shared" si="0"/>
        <v>6.8091821158028809E-2</v>
      </c>
      <c r="I5" s="2">
        <f>VLOOKUP(A5,[36]WRDS!$A$1:$O$100,10,FALSE)/100</f>
        <v>0.06</v>
      </c>
      <c r="J5" s="2">
        <f>VLOOKUP(A5,[36]WRDS!$A$1:$O$100,9,FALSE)/100</f>
        <v>0.06</v>
      </c>
      <c r="K5" s="2">
        <f t="shared" si="1"/>
        <v>-0.11883690317592119</v>
      </c>
      <c r="L5" s="2">
        <f t="shared" si="2"/>
        <v>-0.11883690317592119</v>
      </c>
      <c r="M5">
        <f>VLOOKUP(A5,[36]WRDS!$A$1:$O$100,8,FALSE)</f>
        <v>4</v>
      </c>
      <c r="N5">
        <f>VLOOKUP(A5,[36]WRDS!$A$1:$O$100,11,FALSE)</f>
        <v>0.82</v>
      </c>
      <c r="P5" t="s">
        <v>22</v>
      </c>
      <c r="Q5" s="3">
        <f>AVERAGE(J2:J999)</f>
        <v>5.6540384615384617E-2</v>
      </c>
    </row>
    <row r="6" spans="1:17" x14ac:dyDescent="0.3">
      <c r="A6" t="s">
        <v>71</v>
      </c>
      <c r="B6" t="str">
        <f>VLOOKUP(A6,[35]WRDS!$A$1:$N$100,2,FALSE)</f>
        <v>CNL</v>
      </c>
      <c r="C6" t="str">
        <f>VLOOKUP(A6,[35]WRDS!$A$1:$N$100,3,FALSE)</f>
        <v>CLECO CORP</v>
      </c>
      <c r="D6">
        <f>VLOOKUP(A6,[35]WRDS!$A$1:$N$100,13,FALSE)</f>
        <v>2.2599999999999998</v>
      </c>
      <c r="E6">
        <f>VLOOKUP(A6,[15]WRDS!$A$1:$N$100,13,FALSE)</f>
        <v>2.74</v>
      </c>
      <c r="F6" s="1">
        <f t="shared" si="3"/>
        <v>2.5436499105999997</v>
      </c>
      <c r="G6" s="1">
        <f t="shared" si="4"/>
        <v>2.5436499105999997</v>
      </c>
      <c r="H6" s="2">
        <f t="shared" si="0"/>
        <v>4.9326234503911603E-2</v>
      </c>
      <c r="I6" s="2">
        <f>VLOOKUP(A6,[36]WRDS!$A$1:$O$100,10,FALSE)/100</f>
        <v>0.03</v>
      </c>
      <c r="J6" s="2">
        <f>VLOOKUP(A6,[36]WRDS!$A$1:$O$100,9,FALSE)/100</f>
        <v>0.03</v>
      </c>
      <c r="K6" s="2">
        <f t="shared" si="1"/>
        <v>-0.39180437546634583</v>
      </c>
      <c r="L6" s="2">
        <f t="shared" si="2"/>
        <v>-0.39180437546634583</v>
      </c>
      <c r="M6">
        <f>VLOOKUP(A6,[36]WRDS!$A$1:$O$100,8,FALSE)</f>
        <v>1</v>
      </c>
      <c r="N6">
        <f>VLOOKUP(A6,[36]WRDS!$A$1:$O$100,11,FALSE)</f>
        <v>0</v>
      </c>
      <c r="P6" t="s">
        <v>24</v>
      </c>
      <c r="Q6" s="3">
        <f>(Q5-Q2)/ABS(Q2)</f>
        <v>0.24805482114202931</v>
      </c>
    </row>
    <row r="7" spans="1:17" x14ac:dyDescent="0.3">
      <c r="A7" t="s">
        <v>23</v>
      </c>
      <c r="B7" t="str">
        <f>VLOOKUP(A7,[35]WRDS!$A$1:$N$100,2,FALSE)</f>
        <v>HOU</v>
      </c>
      <c r="C7" t="str">
        <f>VLOOKUP(A7,[35]WRDS!$A$1:$N$100,3,FALSE)</f>
        <v>CENTERPOINT ENER</v>
      </c>
      <c r="D7">
        <f>VLOOKUP(A7,[35]WRDS!$A$1:$N$100,13,FALSE)</f>
        <v>0.97</v>
      </c>
      <c r="E7">
        <f>VLOOKUP(A7,[15]WRDS!$A$1:$N$100,13,FALSE)</f>
        <v>1.27</v>
      </c>
      <c r="F7" s="1">
        <f t="shared" si="3"/>
        <v>1.2638841038514836</v>
      </c>
      <c r="G7" s="1">
        <f t="shared" si="4"/>
        <v>1.2572724870273695</v>
      </c>
      <c r="H7" s="2">
        <f t="shared" si="0"/>
        <v>6.9690149882827734E-2</v>
      </c>
      <c r="I7" s="2">
        <f>VLOOKUP(A7,[36]WRDS!$A$1:$O$100,10,FALSE)/100</f>
        <v>6.8400000000000002E-2</v>
      </c>
      <c r="J7" s="2">
        <f>VLOOKUP(A7,[36]WRDS!$A$1:$O$100,9,FALSE)/100</f>
        <v>6.7000000000000004E-2</v>
      </c>
      <c r="K7" s="2">
        <f t="shared" si="1"/>
        <v>-1.8512657599343695E-2</v>
      </c>
      <c r="L7" s="2">
        <f t="shared" si="2"/>
        <v>-3.8601579812222599E-2</v>
      </c>
      <c r="M7">
        <f>VLOOKUP(A7,[36]WRDS!$A$1:$O$100,8,FALSE)</f>
        <v>5</v>
      </c>
      <c r="N7">
        <f>VLOOKUP(A7,[36]WRDS!$A$1:$O$100,11,FALSE)</f>
        <v>2.56</v>
      </c>
      <c r="P7" s="111" t="s">
        <v>26</v>
      </c>
      <c r="Q7" s="111"/>
    </row>
    <row r="8" spans="1:17" x14ac:dyDescent="0.3">
      <c r="A8" t="s">
        <v>25</v>
      </c>
      <c r="B8" t="str">
        <f>VLOOKUP(A8,[35]WRDS!$A$1:$N$100,2,FALSE)</f>
        <v>D</v>
      </c>
      <c r="C8" t="str">
        <f>VLOOKUP(A8,[35]WRDS!$A$1:$N$100,3,FALSE)</f>
        <v>DOMINION RES INC</v>
      </c>
      <c r="D8">
        <f>VLOOKUP(A8,[35]WRDS!$A$1:$N$100,13,FALSE)</f>
        <v>3.34</v>
      </c>
      <c r="E8">
        <f>VLOOKUP(A8,[15]WRDS!$A$1:$N$100,13,FALSE)</f>
        <v>3.43</v>
      </c>
      <c r="F8" s="1">
        <f t="shared" si="3"/>
        <v>3.8327268220874986</v>
      </c>
      <c r="G8" s="1">
        <f t="shared" si="4"/>
        <v>3.7591994253999994</v>
      </c>
      <c r="H8" s="2">
        <f t="shared" si="0"/>
        <v>6.6695063048374248E-3</v>
      </c>
      <c r="I8" s="2">
        <f>VLOOKUP(A8,[36]WRDS!$A$1:$O$100,10,FALSE)/100</f>
        <v>3.5000000000000003E-2</v>
      </c>
      <c r="J8" s="2">
        <f>VLOOKUP(A8,[36]WRDS!$A$1:$O$100,9,FALSE)/100</f>
        <v>0.03</v>
      </c>
      <c r="K8" s="2">
        <f t="shared" si="1"/>
        <v>4.2477647370412317</v>
      </c>
      <c r="L8" s="2">
        <f t="shared" si="2"/>
        <v>3.4980840603210548</v>
      </c>
      <c r="M8">
        <f>VLOOKUP(A8,[36]WRDS!$A$1:$O$100,8,FALSE)</f>
        <v>4</v>
      </c>
      <c r="N8">
        <f>VLOOKUP(A8,[36]WRDS!$A$1:$O$100,11,FALSE)</f>
        <v>1.91</v>
      </c>
      <c r="P8" t="s">
        <v>28</v>
      </c>
      <c r="Q8" s="2">
        <f>MEDIAN(H2:H99)</f>
        <v>5.9961260802113614E-2</v>
      </c>
    </row>
    <row r="9" spans="1:17" x14ac:dyDescent="0.3">
      <c r="A9" t="s">
        <v>27</v>
      </c>
      <c r="B9" t="str">
        <f>VLOOKUP(A9,[35]WRDS!$A$1:$N$100,2,FALSE)</f>
        <v>DTE</v>
      </c>
      <c r="C9" t="str">
        <f>VLOOKUP(A9,[35]WRDS!$A$1:$N$100,3,FALSE)</f>
        <v>DTE ENERGY</v>
      </c>
      <c r="D9">
        <f>VLOOKUP(A9,[35]WRDS!$A$1:$N$100,13,FALSE)</f>
        <v>3.6</v>
      </c>
      <c r="E9">
        <f>VLOOKUP(A9,[15]WRDS!$A$1:$N$100,13,FALSE)</f>
        <v>4.5999999999999996</v>
      </c>
      <c r="F9" s="1">
        <f t="shared" si="3"/>
        <v>4.3758224999999999</v>
      </c>
      <c r="G9" s="1">
        <f t="shared" si="4"/>
        <v>4.3758224999999999</v>
      </c>
      <c r="H9" s="2">
        <f t="shared" si="0"/>
        <v>6.3197220895953032E-2</v>
      </c>
      <c r="I9" s="2">
        <f>VLOOKUP(A9,[36]WRDS!$A$1:$O$100,10,FALSE)/100</f>
        <v>0.05</v>
      </c>
      <c r="J9" s="2">
        <f>VLOOKUP(A9,[36]WRDS!$A$1:$O$100,9,FALSE)/100</f>
        <v>0.05</v>
      </c>
      <c r="K9" s="2">
        <f t="shared" si="1"/>
        <v>-0.20882596906722747</v>
      </c>
      <c r="L9" s="2">
        <f t="shared" si="2"/>
        <v>-0.20882596906722747</v>
      </c>
      <c r="M9">
        <f>VLOOKUP(A9,[36]WRDS!$A$1:$O$100,8,FALSE)</f>
        <v>1</v>
      </c>
      <c r="N9">
        <f>VLOOKUP(A9,[36]WRDS!$A$1:$O$100,11,FALSE)</f>
        <v>0</v>
      </c>
      <c r="P9" t="s">
        <v>30</v>
      </c>
      <c r="Q9" s="2">
        <f>MEDIAN(I2:I100)</f>
        <v>5.3650000000000003E-2</v>
      </c>
    </row>
    <row r="10" spans="1:17" x14ac:dyDescent="0.3">
      <c r="A10" t="s">
        <v>29</v>
      </c>
      <c r="B10" t="str">
        <f>VLOOKUP(A10,[35]WRDS!$A$1:$N$100,2,FALSE)</f>
        <v>DUK</v>
      </c>
      <c r="C10" t="str">
        <f>VLOOKUP(A10,[35]WRDS!$A$1:$N$100,3,FALSE)</f>
        <v>DUKE ENERGY CORP</v>
      </c>
      <c r="D10">
        <f>VLOOKUP(A10,[35]WRDS!$A$1:$N$100,13,FALSE)</f>
        <v>4.29</v>
      </c>
      <c r="E10">
        <f>VLOOKUP(A10,[15]WRDS!$A$1:$N$100,13,FALSE)</f>
        <v>4.55</v>
      </c>
      <c r="F10" s="1">
        <f t="shared" si="3"/>
        <v>5.0963504767718399</v>
      </c>
      <c r="G10" s="1">
        <f t="shared" si="4"/>
        <v>5.0186932224000014</v>
      </c>
      <c r="H10" s="2">
        <f t="shared" si="0"/>
        <v>1.481885136652572E-2</v>
      </c>
      <c r="I10" s="2">
        <f>VLOOKUP(A10,[36]WRDS!$A$1:$O$100,10,FALSE)/100</f>
        <v>4.4000000000000004E-2</v>
      </c>
      <c r="J10" s="2">
        <f>VLOOKUP(A10,[36]WRDS!$A$1:$O$100,9,FALSE)/100</f>
        <v>0.04</v>
      </c>
      <c r="K10" s="2">
        <f t="shared" si="1"/>
        <v>1.9691909927237365</v>
      </c>
      <c r="L10" s="2">
        <f t="shared" si="2"/>
        <v>1.6992645388397603</v>
      </c>
      <c r="M10">
        <f>VLOOKUP(A10,[36]WRDS!$A$1:$O$100,8,FALSE)</f>
        <v>5</v>
      </c>
      <c r="N10">
        <f>VLOOKUP(A10,[36]WRDS!$A$1:$O$100,11,FALSE)</f>
        <v>0.55000000000000004</v>
      </c>
      <c r="P10" t="s">
        <v>32</v>
      </c>
      <c r="Q10" s="2">
        <f>(Q9-Q8)/ABS(Q8)</f>
        <v>-0.10525563868548843</v>
      </c>
    </row>
    <row r="11" spans="1:17" x14ac:dyDescent="0.3">
      <c r="A11" t="s">
        <v>31</v>
      </c>
      <c r="B11" t="str">
        <f>VLOOKUP(A11,[35]WRDS!$A$1:$N$100,2,FALSE)</f>
        <v>ED</v>
      </c>
      <c r="C11" t="str">
        <f>VLOOKUP(A11,[35]WRDS!$A$1:$N$100,3,FALSE)</f>
        <v>CONSOLIDATED EDI</v>
      </c>
      <c r="D11">
        <f>VLOOKUP(A11,[35]WRDS!$A$1:$N$100,13,FALSE)</f>
        <v>3.45</v>
      </c>
      <c r="E11">
        <f>VLOOKUP(A11,[15]WRDS!$A$1:$N$100,13,FALSE)</f>
        <v>3.89</v>
      </c>
      <c r="F11" s="1">
        <f t="shared" si="3"/>
        <v>4.0780879639985628</v>
      </c>
      <c r="G11" s="1">
        <f t="shared" si="4"/>
        <v>4.0360120320000012</v>
      </c>
      <c r="H11" s="2">
        <f t="shared" si="0"/>
        <v>3.0463531557803458E-2</v>
      </c>
      <c r="I11" s="2">
        <f>VLOOKUP(A11,[36]WRDS!$A$1:$O$100,10,FALSE)/100</f>
        <v>4.2699999999999995E-2</v>
      </c>
      <c r="J11" s="2">
        <f>VLOOKUP(A11,[36]WRDS!$A$1:$O$100,9,FALSE)/100</f>
        <v>0.04</v>
      </c>
      <c r="K11" s="2">
        <f t="shared" si="1"/>
        <v>0.40167596521034593</v>
      </c>
      <c r="L11" s="2">
        <f t="shared" si="2"/>
        <v>0.31304540066542963</v>
      </c>
      <c r="M11">
        <f>VLOOKUP(A11,[36]WRDS!$A$1:$O$100,8,FALSE)</f>
        <v>3</v>
      </c>
      <c r="N11">
        <f>VLOOKUP(A11,[36]WRDS!$A$1:$O$100,11,FALSE)</f>
        <v>0.46</v>
      </c>
      <c r="P11" t="s">
        <v>34</v>
      </c>
      <c r="Q11" s="2">
        <f>MEDIAN(J2:J99)</f>
        <v>0.05</v>
      </c>
    </row>
    <row r="12" spans="1:17" x14ac:dyDescent="0.3">
      <c r="A12" t="s">
        <v>33</v>
      </c>
      <c r="B12" t="str">
        <f>VLOOKUP(A12,[35]WRDS!$A$1:$N$100,2,FALSE)</f>
        <v>SCE</v>
      </c>
      <c r="C12" t="str">
        <f>VLOOKUP(A12,[35]WRDS!$A$1:$N$100,3,FALSE)</f>
        <v>EDISON INTL</v>
      </c>
      <c r="D12">
        <f>VLOOKUP(A12,[35]WRDS!$A$1:$N$100,13,FALSE)</f>
        <v>3.48</v>
      </c>
      <c r="E12">
        <f>VLOOKUP(A12,[15]WRDS!$A$1:$N$100,13,FALSE)</f>
        <v>4.59</v>
      </c>
      <c r="F12" s="1">
        <f t="shared" si="3"/>
        <v>3.9964676075413812</v>
      </c>
      <c r="G12" s="1">
        <f t="shared" si="4"/>
        <v>4.2299617500000002</v>
      </c>
      <c r="H12" s="2">
        <f t="shared" si="0"/>
        <v>7.1663305443069092E-2</v>
      </c>
      <c r="I12" s="2">
        <f>VLOOKUP(A12,[36]WRDS!$A$1:$O$100,10,FALSE)/100</f>
        <v>3.5200000000000002E-2</v>
      </c>
      <c r="J12" s="2">
        <f>VLOOKUP(A12,[36]WRDS!$A$1:$O$100,9,FALSE)/100</f>
        <v>0.05</v>
      </c>
      <c r="K12" s="2">
        <f t="shared" si="1"/>
        <v>-0.50881417229681569</v>
      </c>
      <c r="L12" s="2">
        <f t="shared" si="2"/>
        <v>-0.30229285837615871</v>
      </c>
      <c r="M12">
        <f>VLOOKUP(A12,[36]WRDS!$A$1:$O$100,8,FALSE)</f>
        <v>6</v>
      </c>
      <c r="N12">
        <f>VLOOKUP(A12,[36]WRDS!$A$1:$O$100,11,FALSE)</f>
        <v>4.43</v>
      </c>
      <c r="P12" t="s">
        <v>32</v>
      </c>
      <c r="Q12" s="2">
        <f>(Q11-Q8)/ABS(Q8)</f>
        <v>-0.16612827463698829</v>
      </c>
    </row>
    <row r="13" spans="1:17" x14ac:dyDescent="0.3">
      <c r="A13" t="s">
        <v>59</v>
      </c>
      <c r="B13" t="str">
        <f>VLOOKUP(A13,[35]WRDS!$A$1:$N$100,2,FALSE)</f>
        <v>MSU</v>
      </c>
      <c r="C13" t="str">
        <f>VLOOKUP(A13,[35]WRDS!$A$1:$N$100,3,FALSE)</f>
        <v>ENTERGY CP</v>
      </c>
      <c r="D13">
        <f>VLOOKUP(A13,[35]WRDS!$A$1:$N$100,13,FALSE)</f>
        <v>7.1</v>
      </c>
      <c r="E13">
        <f>VLOOKUP(A13,[15]WRDS!$A$1:$N$100,13,FALSE)</f>
        <v>5.83</v>
      </c>
      <c r="F13" s="1">
        <f t="shared" si="3"/>
        <v>7.5356812094374952</v>
      </c>
      <c r="G13" s="1">
        <f t="shared" si="4"/>
        <v>7.5356812094374952</v>
      </c>
      <c r="H13" s="2">
        <f t="shared" si="0"/>
        <v>-4.8075397061555725E-2</v>
      </c>
      <c r="I13" s="2">
        <f>VLOOKUP(A13,[36]WRDS!$A$1:$O$100,10,FALSE)/100</f>
        <v>1.4999999999999999E-2</v>
      </c>
      <c r="J13" s="2">
        <f>VLOOKUP(A13,[36]WRDS!$A$1:$O$100,9,FALSE)/100</f>
        <v>1.4999999999999999E-2</v>
      </c>
      <c r="K13" s="2">
        <f t="shared" si="1"/>
        <v>1.3120099035436774</v>
      </c>
      <c r="L13" s="2">
        <f t="shared" si="2"/>
        <v>1.3120099035436774</v>
      </c>
      <c r="M13">
        <f>VLOOKUP(A13,[36]WRDS!$A$1:$O$100,8,FALSE)</f>
        <v>2</v>
      </c>
      <c r="N13">
        <f>VLOOKUP(A13,[36]WRDS!$A$1:$O$100,11,FALSE)</f>
        <v>0.71</v>
      </c>
      <c r="P13" s="111" t="s">
        <v>37</v>
      </c>
      <c r="Q13" s="111"/>
    </row>
    <row r="14" spans="1:17" x14ac:dyDescent="0.3">
      <c r="A14" t="s">
        <v>67</v>
      </c>
      <c r="B14" t="str">
        <f>VLOOKUP(A14,[35]WRDS!$A$1:$N$100,2,FALSE)</f>
        <v>OEC</v>
      </c>
      <c r="C14" t="str">
        <f>VLOOKUP(A14,[35]WRDS!$A$1:$N$100,3,FALSE)</f>
        <v>FIRSTENERGY CORP</v>
      </c>
      <c r="D14">
        <f>VLOOKUP(A14,[35]WRDS!$A$1:$N$100,13,FALSE)</f>
        <v>3.62</v>
      </c>
      <c r="E14">
        <f>VLOOKUP(A14,[15]WRDS!$A$1:$N$100,13,FALSE)</f>
        <v>2.56</v>
      </c>
      <c r="F14" s="1">
        <f t="shared" si="3"/>
        <v>4.6570081892624984</v>
      </c>
      <c r="G14" s="1">
        <f t="shared" si="4"/>
        <v>4.6570081892624984</v>
      </c>
      <c r="H14" s="2">
        <f t="shared" si="0"/>
        <v>-8.2971467202781812E-2</v>
      </c>
      <c r="I14" s="2">
        <f>VLOOKUP(A14,[36]WRDS!$A$1:$O$100,10,FALSE)/100</f>
        <v>6.5000000000000002E-2</v>
      </c>
      <c r="J14" s="2">
        <f>VLOOKUP(A14,[36]WRDS!$A$1:$O$100,9,FALSE)/100</f>
        <v>6.5000000000000002E-2</v>
      </c>
      <c r="K14" s="2">
        <f t="shared" si="1"/>
        <v>1.7834018391062116</v>
      </c>
      <c r="L14" s="2">
        <f t="shared" si="2"/>
        <v>1.7834018391062116</v>
      </c>
      <c r="M14">
        <f>VLOOKUP(A14,[36]WRDS!$A$1:$O$100,8,FALSE)</f>
        <v>2</v>
      </c>
      <c r="N14">
        <f>VLOOKUP(A14,[36]WRDS!$A$1:$O$100,11,FALSE)</f>
        <v>7.78</v>
      </c>
      <c r="P14" t="s">
        <v>39</v>
      </c>
      <c r="Q14" s="1">
        <f>AVERAGE(M2:M1002)</f>
        <v>3.4038461538461537</v>
      </c>
    </row>
    <row r="15" spans="1:17" x14ac:dyDescent="0.3">
      <c r="A15" t="s">
        <v>68</v>
      </c>
      <c r="B15" t="str">
        <f>VLOOKUP(A15,[35]WRDS!$A$1:$N$100,2,FALSE)</f>
        <v>KLT</v>
      </c>
      <c r="C15" t="str">
        <f>VLOOKUP(A15,[35]WRDS!$A$1:$N$100,3,FALSE)</f>
        <v>GREAT PLAINS</v>
      </c>
      <c r="D15">
        <f>VLOOKUP(A15,[35]WRDS!$A$1:$N$100,13,FALSE)</f>
        <v>1.53</v>
      </c>
      <c r="E15">
        <f>VLOOKUP(A15,[15]WRDS!$A$1:$N$100,13,FALSE)</f>
        <v>1.57</v>
      </c>
      <c r="F15" s="1">
        <f t="shared" si="3"/>
        <v>2.4946246232999987</v>
      </c>
      <c r="G15" s="1">
        <f t="shared" si="4"/>
        <v>2.4946246232999987</v>
      </c>
      <c r="H15" s="2">
        <f t="shared" si="0"/>
        <v>6.4728297897853615E-3</v>
      </c>
      <c r="I15" s="2">
        <f>VLOOKUP(A15,[36]WRDS!$A$1:$O$100,10,FALSE)/100</f>
        <v>0.13</v>
      </c>
      <c r="J15" s="2">
        <f>VLOOKUP(A15,[36]WRDS!$A$1:$O$100,9,FALSE)/100</f>
        <v>0.13</v>
      </c>
      <c r="K15" s="2">
        <f t="shared" si="1"/>
        <v>19.083951567079719</v>
      </c>
      <c r="L15" s="2">
        <f t="shared" si="2"/>
        <v>19.083951567079719</v>
      </c>
      <c r="M15">
        <f>VLOOKUP(A15,[36]WRDS!$A$1:$O$100,8,FALSE)</f>
        <v>2</v>
      </c>
      <c r="N15">
        <f>VLOOKUP(A15,[36]WRDS!$A$1:$O$100,11,FALSE)</f>
        <v>5.66</v>
      </c>
      <c r="P15" t="s">
        <v>41</v>
      </c>
      <c r="Q15" s="1">
        <f>COUNT(N2:N1002)</f>
        <v>52</v>
      </c>
    </row>
    <row r="16" spans="1:17" x14ac:dyDescent="0.3">
      <c r="A16" t="s">
        <v>36</v>
      </c>
      <c r="B16" t="str">
        <f>VLOOKUP(A16,[35]WRDS!$A$1:$N$100,2,FALSE)</f>
        <v>HE</v>
      </c>
      <c r="C16" t="str">
        <f>VLOOKUP(A16,[35]WRDS!$A$1:$N$100,3,FALSE)</f>
        <v>HAWAIIAN ELEC</v>
      </c>
      <c r="D16">
        <f>VLOOKUP(A16,[35]WRDS!$A$1:$N$100,13,FALSE)</f>
        <v>1.21</v>
      </c>
      <c r="E16">
        <f>VLOOKUP(A16,[15]WRDS!$A$1:$N$100,13,FALSE)</f>
        <v>1.68</v>
      </c>
      <c r="F16" s="1">
        <f t="shared" si="3"/>
        <v>1.6480215056909042</v>
      </c>
      <c r="G16" s="1">
        <f t="shared" si="4"/>
        <v>1.4707625625</v>
      </c>
      <c r="H16" s="2">
        <f t="shared" si="0"/>
        <v>8.5502874533094353E-2</v>
      </c>
      <c r="I16" s="2">
        <f>VLOOKUP(A16,[36]WRDS!$A$1:$O$100,10,FALSE)/100</f>
        <v>8.0299999999999996E-2</v>
      </c>
      <c r="J16" s="2">
        <f>VLOOKUP(A16,[36]WRDS!$A$1:$O$100,9,FALSE)/100</f>
        <v>0.05</v>
      </c>
      <c r="K16" s="2">
        <f t="shared" si="1"/>
        <v>-6.085028791728582E-2</v>
      </c>
      <c r="L16" s="2">
        <f t="shared" si="2"/>
        <v>-0.41522433867826009</v>
      </c>
      <c r="M16">
        <f>VLOOKUP(A16,[36]WRDS!$A$1:$O$100,8,FALSE)</f>
        <v>3</v>
      </c>
      <c r="N16">
        <f>VLOOKUP(A16,[36]WRDS!$A$1:$O$100,11,FALSE)</f>
        <v>7.06</v>
      </c>
    </row>
    <row r="17" spans="1:14" x14ac:dyDescent="0.3">
      <c r="A17" t="s">
        <v>38</v>
      </c>
      <c r="B17" t="str">
        <f>VLOOKUP(A17,[35]WRDS!$A$1:$N$100,2,FALSE)</f>
        <v>IDA</v>
      </c>
      <c r="C17" t="str">
        <f>VLOOKUP(A17,[35]WRDS!$A$1:$N$100,3,FALSE)</f>
        <v>IDACORP INC.</v>
      </c>
      <c r="D17">
        <f>VLOOKUP(A17,[35]WRDS!$A$1:$N$100,13,FALSE)</f>
        <v>2.95</v>
      </c>
      <c r="E17">
        <f>VLOOKUP(A17,[15]WRDS!$A$1:$N$100,13,FALSE)</f>
        <v>3.85</v>
      </c>
      <c r="F17" s="1">
        <f t="shared" si="3"/>
        <v>3.5408775852729164</v>
      </c>
      <c r="G17" s="1">
        <f t="shared" si="4"/>
        <v>3.5857434375000001</v>
      </c>
      <c r="H17" s="2">
        <f t="shared" si="0"/>
        <v>6.8832567566170511E-2</v>
      </c>
      <c r="I17" s="2">
        <f>VLOOKUP(A17,[36]WRDS!$A$1:$O$100,10,FALSE)/100</f>
        <v>4.6699999999999998E-2</v>
      </c>
      <c r="J17" s="2">
        <f>VLOOKUP(A17,[36]WRDS!$A$1:$O$100,9,FALSE)/100</f>
        <v>0.05</v>
      </c>
      <c r="K17" s="2">
        <f t="shared" si="1"/>
        <v>-0.32154208899579267</v>
      </c>
      <c r="L17" s="2">
        <f t="shared" si="2"/>
        <v>-0.27359966701904992</v>
      </c>
      <c r="M17">
        <f>VLOOKUP(A17,[36]WRDS!$A$1:$O$100,8,FALSE)</f>
        <v>3</v>
      </c>
      <c r="N17">
        <f>VLOOKUP(A17,[36]WRDS!$A$1:$O$100,11,FALSE)</f>
        <v>0.57999999999999996</v>
      </c>
    </row>
    <row r="18" spans="1:14" x14ac:dyDescent="0.3">
      <c r="A18" t="s">
        <v>40</v>
      </c>
      <c r="B18" t="str">
        <f>VLOOKUP(A18,[35]WRDS!$A$1:$N$100,2,FALSE)</f>
        <v>WPL</v>
      </c>
      <c r="C18" t="str">
        <f>VLOOKUP(A18,[35]WRDS!$A$1:$N$100,3,FALSE)</f>
        <v>ALLIANT ENER</v>
      </c>
      <c r="D18">
        <f>VLOOKUP(A18,[35]WRDS!$A$1:$N$100,13,FALSE)</f>
        <v>1.375</v>
      </c>
      <c r="E18">
        <f>VLOOKUP(A18,[15]WRDS!$A$1:$N$100,13,FALSE)</f>
        <v>1.74</v>
      </c>
      <c r="F18" s="1">
        <f t="shared" si="3"/>
        <v>1.9818434458777341</v>
      </c>
      <c r="G18" s="1">
        <f t="shared" si="4"/>
        <v>1.7359058200000004</v>
      </c>
      <c r="H18" s="2">
        <f t="shared" si="0"/>
        <v>6.0624457512323593E-2</v>
      </c>
      <c r="I18" s="2">
        <f>VLOOKUP(A18,[36]WRDS!$A$1:$O$100,10,FALSE)/100</f>
        <v>9.5700000000000007E-2</v>
      </c>
      <c r="J18" s="2">
        <f>VLOOKUP(A18,[36]WRDS!$A$1:$O$100,9,FALSE)/100</f>
        <v>0.06</v>
      </c>
      <c r="K18" s="2">
        <f t="shared" si="1"/>
        <v>0.57857082647785085</v>
      </c>
      <c r="L18" s="2">
        <f t="shared" si="2"/>
        <v>-1.0300422270940024E-2</v>
      </c>
      <c r="M18">
        <f>VLOOKUP(A18,[36]WRDS!$A$1:$O$100,8,FALSE)</f>
        <v>3</v>
      </c>
      <c r="N18">
        <f>VLOOKUP(A18,[36]WRDS!$A$1:$O$100,11,FALSE)</f>
        <v>7.06</v>
      </c>
    </row>
    <row r="19" spans="1:14" x14ac:dyDescent="0.3">
      <c r="A19" t="s">
        <v>73</v>
      </c>
      <c r="B19" t="str">
        <f>VLOOKUP(A19,[35]WRDS!$A$1:$N$100,2,FALSE)</f>
        <v>MDSN</v>
      </c>
      <c r="C19" t="str">
        <f>VLOOKUP(A19,[35]WRDS!$A$1:$N$100,3,FALSE)</f>
        <v>MGE ENERGY INC</v>
      </c>
      <c r="D19">
        <f>VLOOKUP(A19,[35]WRDS!$A$1:$N$100,13,FALSE)</f>
        <v>1.6667000000000001</v>
      </c>
      <c r="E19">
        <f>VLOOKUP(A19,[15]WRDS!$A$1:$N$100,13,FALSE)</f>
        <v>2.3199999999999998</v>
      </c>
      <c r="F19" s="1">
        <f t="shared" si="3"/>
        <v>2.0258842668749999</v>
      </c>
      <c r="G19" s="1">
        <f t="shared" si="4"/>
        <v>2.0258842668749999</v>
      </c>
      <c r="H19" s="2">
        <f t="shared" si="0"/>
        <v>8.6194594983890926E-2</v>
      </c>
      <c r="I19" s="2">
        <f>VLOOKUP(A19,[36]WRDS!$A$1:$O$100,10,FALSE)/100</f>
        <v>0.05</v>
      </c>
      <c r="J19" s="2">
        <f>VLOOKUP(A19,[36]WRDS!$A$1:$O$100,9,FALSE)/100</f>
        <v>0.05</v>
      </c>
      <c r="K19" s="2">
        <f t="shared" si="1"/>
        <v>-0.41991722323952446</v>
      </c>
      <c r="L19" s="2">
        <f t="shared" si="2"/>
        <v>-0.41991722323952446</v>
      </c>
      <c r="M19">
        <f>VLOOKUP(A19,[36]WRDS!$A$1:$O$100,8,FALSE)</f>
        <v>1</v>
      </c>
      <c r="N19">
        <f>VLOOKUP(A19,[36]WRDS!$A$1:$O$100,11,FALSE)</f>
        <v>0</v>
      </c>
    </row>
    <row r="20" spans="1:14" x14ac:dyDescent="0.3">
      <c r="A20" t="s">
        <v>42</v>
      </c>
      <c r="B20" t="str">
        <f>VLOOKUP(A20,[35]WRDS!$A$1:$N$100,2,FALSE)</f>
        <v>FPL</v>
      </c>
      <c r="C20" t="str">
        <f>VLOOKUP(A20,[35]WRDS!$A$1:$N$100,3,FALSE)</f>
        <v>NEXTERA ENERGY I</v>
      </c>
      <c r="D20">
        <f>VLOOKUP(A20,[35]WRDS!$A$1:$N$100,13,FALSE)</f>
        <v>1.075</v>
      </c>
      <c r="E20">
        <f>VLOOKUP(A20,[15]WRDS!$A$1:$N$100,13,FALSE)</f>
        <v>1.325</v>
      </c>
      <c r="F20" s="1">
        <f t="shared" si="3"/>
        <v>1.3886737868040258</v>
      </c>
      <c r="G20" s="1">
        <f t="shared" si="4"/>
        <v>1.3571627320000004</v>
      </c>
      <c r="H20" s="2">
        <f t="shared" si="0"/>
        <v>5.3663300100907918E-2</v>
      </c>
      <c r="I20" s="2">
        <f>VLOOKUP(A20,[36]WRDS!$A$1:$O$100,10,FALSE)/100</f>
        <v>6.6100000000000006E-2</v>
      </c>
      <c r="J20" s="2">
        <f>VLOOKUP(A20,[36]WRDS!$A$1:$O$100,9,FALSE)/100</f>
        <v>0.06</v>
      </c>
      <c r="K20" s="2">
        <f t="shared" si="1"/>
        <v>0.23175428785978958</v>
      </c>
      <c r="L20" s="2">
        <f t="shared" si="2"/>
        <v>0.11808256084095861</v>
      </c>
      <c r="M20">
        <f>VLOOKUP(A20,[36]WRDS!$A$1:$O$100,8,FALSE)</f>
        <v>7</v>
      </c>
      <c r="N20">
        <f>VLOOKUP(A20,[36]WRDS!$A$1:$O$100,11,FALSE)</f>
        <v>1.77</v>
      </c>
    </row>
    <row r="21" spans="1:14" x14ac:dyDescent="0.3">
      <c r="A21" t="s">
        <v>60</v>
      </c>
      <c r="B21" t="str">
        <f>VLOOKUP(A21,[35]WRDS!$A$1:$N$100,2,FALSE)</f>
        <v>BSE</v>
      </c>
      <c r="C21" t="str">
        <f>VLOOKUP(A21,[35]WRDS!$A$1:$N$100,3,FALSE)</f>
        <v>NSTAR</v>
      </c>
      <c r="D21">
        <f>VLOOKUP(A21,[35]WRDS!$A$1:$N$100,13,FALSE)</f>
        <v>2.56</v>
      </c>
      <c r="E21">
        <f>VLOOKUP(A21,[15]WRDS!$A$1:$N$100,13,FALSE)</f>
        <v>0.253</v>
      </c>
      <c r="F21" s="1">
        <f t="shared" si="3"/>
        <v>3.1354719836569611</v>
      </c>
      <c r="G21" s="1">
        <f t="shared" si="4"/>
        <v>3.1354719836569611</v>
      </c>
      <c r="H21" s="2">
        <f t="shared" si="0"/>
        <v>-0.43931344897618396</v>
      </c>
      <c r="I21" s="2">
        <f>VLOOKUP(A21,[36]WRDS!$A$1:$O$100,10,FALSE)/100</f>
        <v>5.2000000000000005E-2</v>
      </c>
      <c r="J21" s="2">
        <f>VLOOKUP(A21,[36]WRDS!$A$1:$O$100,9,FALSE)/100</f>
        <v>5.2000000000000005E-2</v>
      </c>
      <c r="K21" s="2">
        <f t="shared" si="1"/>
        <v>1.1183665105659422</v>
      </c>
      <c r="L21" s="2">
        <f t="shared" si="2"/>
        <v>1.1183665105659422</v>
      </c>
      <c r="M21">
        <f>VLOOKUP(A21,[36]WRDS!$A$1:$O$100,8,FALSE)</f>
        <v>2</v>
      </c>
      <c r="N21">
        <f>VLOOKUP(A21,[36]WRDS!$A$1:$O$100,11,FALSE)</f>
        <v>0</v>
      </c>
    </row>
    <row r="22" spans="1:14" x14ac:dyDescent="0.3">
      <c r="A22" t="s">
        <v>78</v>
      </c>
      <c r="B22" t="str">
        <f>VLOOKUP(A22,[35]WRDS!$A$1:$N$100,2,FALSE)</f>
        <v>NU</v>
      </c>
      <c r="C22" t="str">
        <f>VLOOKUP(A22,[35]WRDS!$A$1:$N$100,3,FALSE)</f>
        <v>NORTHEAST UTILS</v>
      </c>
      <c r="D22">
        <f>VLOOKUP(A22,[35]WRDS!$A$1:$N$100,13,FALSE)</f>
        <v>2.19</v>
      </c>
      <c r="E22">
        <f>VLOOKUP(A22,[15]WRDS!$A$1:$N$100,13,FALSE)</f>
        <v>2.75</v>
      </c>
      <c r="F22" s="1">
        <f t="shared" si="3"/>
        <v>2.8481736280876468</v>
      </c>
      <c r="G22" s="1">
        <f t="shared" si="4"/>
        <v>2.8706432618999997</v>
      </c>
      <c r="H22" s="2">
        <f t="shared" si="0"/>
        <v>5.8576246892377171E-2</v>
      </c>
      <c r="I22" s="2">
        <f>VLOOKUP(A22,[36]WRDS!$A$1:$O$100,10,FALSE)/100</f>
        <v>6.7900000000000002E-2</v>
      </c>
      <c r="J22" s="2">
        <f>VLOOKUP(A22,[36]WRDS!$A$1:$O$100,9,FALSE)/100</f>
        <v>7.0000000000000007E-2</v>
      </c>
      <c r="K22" s="2">
        <f t="shared" si="1"/>
        <v>0.15917293446187281</v>
      </c>
      <c r="L22" s="2">
        <f t="shared" si="2"/>
        <v>0.19502364377512668</v>
      </c>
      <c r="M22">
        <f>VLOOKUP(A22,[36]WRDS!$A$1:$O$100,8,FALSE)</f>
        <v>3</v>
      </c>
      <c r="N22">
        <f>VLOOKUP(A22,[36]WRDS!$A$1:$O$100,11,FALSE)</f>
        <v>0.36</v>
      </c>
    </row>
    <row r="23" spans="1:14" x14ac:dyDescent="0.3">
      <c r="A23" t="s">
        <v>43</v>
      </c>
      <c r="B23" t="str">
        <f>VLOOKUP(A23,[35]WRDS!$A$1:$N$100,2,FALSE)</f>
        <v>NWPS</v>
      </c>
      <c r="C23" t="str">
        <f>VLOOKUP(A23,[35]WRDS!$A$1:$N$100,3,FALSE)</f>
        <v>NORTHWESTERN CP</v>
      </c>
      <c r="D23">
        <f>VLOOKUP(A23,[35]WRDS!$A$1:$N$100,13,FALSE)</f>
        <v>2.14</v>
      </c>
      <c r="E23">
        <f>VLOOKUP(A23,[15]WRDS!$A$1:$N$100,13,FALSE)</f>
        <v>2.46</v>
      </c>
      <c r="F23" s="1">
        <f t="shared" si="3"/>
        <v>2.73550195099111</v>
      </c>
      <c r="G23" s="1">
        <f t="shared" si="4"/>
        <v>2.8051034614000003</v>
      </c>
      <c r="H23" s="2">
        <f t="shared" si="0"/>
        <v>3.5452863429282333E-2</v>
      </c>
      <c r="I23" s="2">
        <f>VLOOKUP(A23,[36]WRDS!$A$1:$O$100,10,FALSE)/100</f>
        <v>6.3299999999999995E-2</v>
      </c>
      <c r="J23" s="2">
        <f>VLOOKUP(A23,[36]WRDS!$A$1:$O$100,9,FALSE)/100</f>
        <v>7.0000000000000007E-2</v>
      </c>
      <c r="K23" s="2">
        <f t="shared" si="1"/>
        <v>0.78546932115269674</v>
      </c>
      <c r="L23" s="2">
        <f t="shared" si="2"/>
        <v>0.97445264582446756</v>
      </c>
      <c r="M23">
        <f>VLOOKUP(A23,[36]WRDS!$A$1:$O$100,8,FALSE)</f>
        <v>3</v>
      </c>
      <c r="N23">
        <f>VLOOKUP(A23,[36]WRDS!$A$1:$O$100,11,FALSE)</f>
        <v>1.1499999999999999</v>
      </c>
    </row>
    <row r="24" spans="1:14" x14ac:dyDescent="0.3">
      <c r="A24" t="s">
        <v>44</v>
      </c>
      <c r="B24" t="str">
        <f>VLOOKUP(A24,[35]WRDS!$A$1:$N$100,2,FALSE)</f>
        <v>OGE</v>
      </c>
      <c r="C24" t="str">
        <f>VLOOKUP(A24,[35]WRDS!$A$1:$N$100,3,FALSE)</f>
        <v>OGE ENERGY CORP</v>
      </c>
      <c r="D24">
        <f>VLOOKUP(A24,[35]WRDS!$A$1:$N$100,13,FALSE)</f>
        <v>1.55</v>
      </c>
      <c r="E24">
        <f>VLOOKUP(A24,[15]WRDS!$A$1:$N$100,13,FALSE)</f>
        <v>1.98</v>
      </c>
      <c r="F24" s="1">
        <f t="shared" si="3"/>
        <v>2.0317338155</v>
      </c>
      <c r="G24" s="1">
        <f t="shared" si="4"/>
        <v>2.0317338155</v>
      </c>
      <c r="H24" s="2">
        <f t="shared" si="0"/>
        <v>6.3122655042081144E-2</v>
      </c>
      <c r="I24" s="2">
        <f>VLOOKUP(A24,[36]WRDS!$A$1:$O$100,10,FALSE)/100</f>
        <v>7.0000000000000007E-2</v>
      </c>
      <c r="J24" s="2">
        <f>VLOOKUP(A24,[36]WRDS!$A$1:$O$100,9,FALSE)/100</f>
        <v>7.0000000000000007E-2</v>
      </c>
      <c r="K24" s="2">
        <f t="shared" si="1"/>
        <v>0.10895208627289259</v>
      </c>
      <c r="L24" s="2">
        <f t="shared" si="2"/>
        <v>0.10895208627289259</v>
      </c>
      <c r="M24">
        <f>VLOOKUP(A24,[36]WRDS!$A$1:$O$100,8,FALSE)</f>
        <v>2</v>
      </c>
      <c r="N24">
        <f>VLOOKUP(A24,[36]WRDS!$A$1:$O$100,11,FALSE)</f>
        <v>1.41</v>
      </c>
    </row>
    <row r="25" spans="1:14" x14ac:dyDescent="0.3">
      <c r="A25" t="s">
        <v>69</v>
      </c>
      <c r="B25" t="str">
        <f>VLOOKUP(A25,[35]WRDS!$A$1:$N$100,2,FALSE)</f>
        <v>OTTR</v>
      </c>
      <c r="C25" t="str">
        <f>VLOOKUP(A25,[35]WRDS!$A$1:$N$100,3,FALSE)</f>
        <v>OTTER TAIL CORP.</v>
      </c>
      <c r="D25">
        <f>VLOOKUP(A25,[35]WRDS!$A$1:$N$100,13,FALSE)</f>
        <v>0.38</v>
      </c>
      <c r="E25">
        <f>VLOOKUP(A25,[15]WRDS!$A$1:$N$100,13,FALSE)</f>
        <v>1.55</v>
      </c>
      <c r="F25" s="1">
        <f t="shared" si="3"/>
        <v>0.69998268623750015</v>
      </c>
      <c r="G25" s="1">
        <f t="shared" si="4"/>
        <v>0.69998268623750015</v>
      </c>
      <c r="H25" s="2">
        <f t="shared" si="0"/>
        <v>0.4211405298987998</v>
      </c>
      <c r="I25" s="2">
        <f>VLOOKUP(A25,[36]WRDS!$A$1:$O$100,10,FALSE)/100</f>
        <v>0.16500000000000001</v>
      </c>
      <c r="J25" s="2">
        <f>VLOOKUP(A25,[36]WRDS!$A$1:$O$100,9,FALSE)/100</f>
        <v>0.16500000000000001</v>
      </c>
      <c r="K25" s="2">
        <f t="shared" si="1"/>
        <v>-0.60820679016657553</v>
      </c>
      <c r="L25" s="2">
        <f t="shared" si="2"/>
        <v>-0.60820679016657553</v>
      </c>
      <c r="M25">
        <f>VLOOKUP(A25,[36]WRDS!$A$1:$O$100,8,FALSE)</f>
        <v>2</v>
      </c>
      <c r="N25">
        <f>VLOOKUP(A25,[36]WRDS!$A$1:$O$100,11,FALSE)</f>
        <v>16.260000000000002</v>
      </c>
    </row>
    <row r="26" spans="1:14" x14ac:dyDescent="0.3">
      <c r="A26" t="s">
        <v>45</v>
      </c>
      <c r="B26" t="str">
        <f>VLOOKUP(A26,[35]WRDS!$A$1:$N$100,2,FALSE)</f>
        <v>PCG</v>
      </c>
      <c r="C26" t="str">
        <f>VLOOKUP(A26,[35]WRDS!$A$1:$N$100,3,FALSE)</f>
        <v>P G &amp; E CORP</v>
      </c>
      <c r="D26">
        <f>VLOOKUP(A26,[35]WRDS!$A$1:$N$100,13,FALSE)</f>
        <v>3.42</v>
      </c>
      <c r="E26">
        <f>VLOOKUP(A26,[15]WRDS!$A$1:$N$100,13,FALSE)</f>
        <v>3.5</v>
      </c>
      <c r="F26" s="1">
        <f t="shared" si="3"/>
        <v>4.3980626767789008</v>
      </c>
      <c r="G26" s="1">
        <f t="shared" si="4"/>
        <v>4.3931087417446779</v>
      </c>
      <c r="H26" s="2">
        <f t="shared" si="0"/>
        <v>5.7973442886694038E-3</v>
      </c>
      <c r="I26" s="2">
        <f>VLOOKUP(A26,[36]WRDS!$A$1:$O$100,10,FALSE)/100</f>
        <v>6.4899999999999999E-2</v>
      </c>
      <c r="J26" s="2">
        <f>VLOOKUP(A26,[36]WRDS!$A$1:$O$100,9,FALSE)/100</f>
        <v>6.4600000000000005E-2</v>
      </c>
      <c r="K26" s="2">
        <f t="shared" si="1"/>
        <v>10.194781052911338</v>
      </c>
      <c r="L26" s="2">
        <f t="shared" si="2"/>
        <v>10.14303322061745</v>
      </c>
      <c r="M26">
        <f>VLOOKUP(A26,[36]WRDS!$A$1:$O$100,8,FALSE)</f>
        <v>6</v>
      </c>
      <c r="N26">
        <f>VLOOKUP(A26,[36]WRDS!$A$1:$O$100,11,FALSE)</f>
        <v>1</v>
      </c>
    </row>
    <row r="27" spans="1:14" x14ac:dyDescent="0.3">
      <c r="A27" t="s">
        <v>46</v>
      </c>
      <c r="B27" t="str">
        <f>VLOOKUP(A27,[35]WRDS!$A$1:$N$100,2,FALSE)</f>
        <v>PEG</v>
      </c>
      <c r="C27" t="str">
        <f>VLOOKUP(A27,[35]WRDS!$A$1:$N$100,3,FALSE)</f>
        <v>PUB SVC ENTERS</v>
      </c>
      <c r="D27">
        <f>VLOOKUP(A27,[35]WRDS!$A$1:$N$100,13,FALSE)</f>
        <v>3.12</v>
      </c>
      <c r="E27">
        <f>VLOOKUP(A27,[15]WRDS!$A$1:$N$100,13,FALSE)</f>
        <v>2.76</v>
      </c>
      <c r="F27" s="1">
        <f t="shared" si="3"/>
        <v>3.3798378935213615</v>
      </c>
      <c r="G27" s="1">
        <f t="shared" si="4"/>
        <v>3.3771883391999999</v>
      </c>
      <c r="H27" s="2">
        <f t="shared" si="0"/>
        <v>-3.0185614085891044E-2</v>
      </c>
      <c r="I27" s="2">
        <f>VLOOKUP(A27,[36]WRDS!$A$1:$O$100,10,FALSE)/100</f>
        <v>2.0199999999999999E-2</v>
      </c>
      <c r="J27" s="2">
        <f>VLOOKUP(A27,[36]WRDS!$A$1:$O$100,9,FALSE)/100</f>
        <v>0.02</v>
      </c>
      <c r="K27" s="2">
        <f t="shared" si="1"/>
        <v>1.6691929454382579</v>
      </c>
      <c r="L27" s="2">
        <f t="shared" si="2"/>
        <v>1.6625672727111467</v>
      </c>
      <c r="M27">
        <f>VLOOKUP(A27,[36]WRDS!$A$1:$O$100,8,FALSE)</f>
        <v>5</v>
      </c>
      <c r="N27">
        <f>VLOOKUP(A27,[36]WRDS!$A$1:$O$100,11,FALSE)</f>
        <v>4.3</v>
      </c>
    </row>
    <row r="28" spans="1:14" x14ac:dyDescent="0.3">
      <c r="A28" t="s">
        <v>74</v>
      </c>
      <c r="B28" t="str">
        <f>VLOOKUP(A28,[35]WRDS!$A$1:$N$100,2,FALSE)</f>
        <v>CPL</v>
      </c>
      <c r="C28" t="str">
        <f>VLOOKUP(A28,[35]WRDS!$A$1:$N$100,3,FALSE)</f>
        <v>PROGRESS ENERGY</v>
      </c>
      <c r="D28">
        <f>VLOOKUP(A28,[35]WRDS!$A$1:$N$100,13,FALSE)</f>
        <v>3.06</v>
      </c>
      <c r="E28">
        <f>VLOOKUP(A28,[15]WRDS!$A$1:$N$100,13,FALSE)</f>
        <v>4.07</v>
      </c>
      <c r="F28" s="1">
        <f t="shared" si="3"/>
        <v>3.5318207371735908</v>
      </c>
      <c r="G28" s="1">
        <f t="shared" si="4"/>
        <v>3.5797671936000008</v>
      </c>
      <c r="H28" s="2">
        <f t="shared" si="0"/>
        <v>7.391088831711734E-2</v>
      </c>
      <c r="I28" s="2">
        <f>VLOOKUP(A28,[36]WRDS!$A$1:$O$100,10,FALSE)/100</f>
        <v>3.6499999999999998E-2</v>
      </c>
      <c r="J28" s="2">
        <f>VLOOKUP(A28,[36]WRDS!$A$1:$O$100,9,FALSE)/100</f>
        <v>0.04</v>
      </c>
      <c r="K28" s="2">
        <f t="shared" si="1"/>
        <v>-0.50616207123102852</v>
      </c>
      <c r="L28" s="2">
        <f t="shared" si="2"/>
        <v>-0.45880774929427781</v>
      </c>
      <c r="M28">
        <f>VLOOKUP(A28,[36]WRDS!$A$1:$O$100,8,FALSE)</f>
        <v>6</v>
      </c>
      <c r="N28">
        <f>VLOOKUP(A28,[36]WRDS!$A$1:$O$100,11,FALSE)</f>
        <v>1.05</v>
      </c>
    </row>
    <row r="29" spans="1:14" x14ac:dyDescent="0.3">
      <c r="A29" t="s">
        <v>47</v>
      </c>
      <c r="B29" t="str">
        <f>VLOOKUP(A29,[35]WRDS!$A$1:$N$100,2,FALSE)</f>
        <v>PNM</v>
      </c>
      <c r="C29" t="str">
        <f>VLOOKUP(A29,[35]WRDS!$A$1:$N$100,3,FALSE)</f>
        <v>PNM RESOURCES</v>
      </c>
      <c r="D29">
        <f>VLOOKUP(A29,[35]WRDS!$A$1:$N$100,13,FALSE)</f>
        <v>0.87</v>
      </c>
      <c r="E29">
        <f>VLOOKUP(A29,[15]WRDS!$A$1:$N$100,13,FALSE)</f>
        <v>1.49</v>
      </c>
      <c r="F29" s="1">
        <f t="shared" si="3"/>
        <v>1.5058195255664699</v>
      </c>
      <c r="G29" s="1">
        <f t="shared" si="4"/>
        <v>1.4745579002000702</v>
      </c>
      <c r="H29" s="2">
        <f t="shared" si="0"/>
        <v>0.14397558028232305</v>
      </c>
      <c r="I29" s="2">
        <f>VLOOKUP(A29,[36]WRDS!$A$1:$O$100,10,FALSE)/100</f>
        <v>0.14699999999999999</v>
      </c>
      <c r="J29" s="2">
        <f>VLOOKUP(A29,[36]WRDS!$A$1:$O$100,9,FALSE)/100</f>
        <v>0.14099999999999999</v>
      </c>
      <c r="K29" s="2">
        <f t="shared" si="1"/>
        <v>2.1006477013298597E-2</v>
      </c>
      <c r="L29" s="2">
        <f t="shared" si="2"/>
        <v>-2.066725674234628E-2</v>
      </c>
      <c r="M29">
        <f>VLOOKUP(A29,[36]WRDS!$A$1:$O$100,8,FALSE)</f>
        <v>3</v>
      </c>
      <c r="N29">
        <f>VLOOKUP(A29,[36]WRDS!$A$1:$O$100,11,FALSE)</f>
        <v>10.01</v>
      </c>
    </row>
    <row r="30" spans="1:14" x14ac:dyDescent="0.3">
      <c r="A30" t="s">
        <v>48</v>
      </c>
      <c r="B30" t="str">
        <f>VLOOKUP(A30,[35]WRDS!$A$1:$N$100,2,FALSE)</f>
        <v>AZP</v>
      </c>
      <c r="C30" t="str">
        <f>VLOOKUP(A30,[35]WRDS!$A$1:$N$100,3,FALSE)</f>
        <v>PINNACLE WST CAP</v>
      </c>
      <c r="D30">
        <f>VLOOKUP(A30,[35]WRDS!$A$1:$N$100,13,FALSE)</f>
        <v>3.08</v>
      </c>
      <c r="E30">
        <f>VLOOKUP(A30,[15]WRDS!$A$1:$N$100,13,FALSE)</f>
        <v>3.58</v>
      </c>
      <c r="F30" s="1">
        <f t="shared" si="3"/>
        <v>3.9623163599249986</v>
      </c>
      <c r="G30" s="1">
        <f t="shared" si="4"/>
        <v>3.9623163599249986</v>
      </c>
      <c r="H30" s="2">
        <f t="shared" si="0"/>
        <v>3.8324442419483074E-2</v>
      </c>
      <c r="I30" s="2">
        <f>VLOOKUP(A30,[36]WRDS!$A$1:$O$100,10,FALSE)/100</f>
        <v>6.5000000000000002E-2</v>
      </c>
      <c r="J30" s="2">
        <f>VLOOKUP(A30,[36]WRDS!$A$1:$O$100,9,FALSE)/100</f>
        <v>6.5000000000000002E-2</v>
      </c>
      <c r="K30" s="2">
        <f t="shared" si="1"/>
        <v>0.69604554943128993</v>
      </c>
      <c r="L30" s="2">
        <f t="shared" si="2"/>
        <v>0.69604554943128993</v>
      </c>
      <c r="M30">
        <f>VLOOKUP(A30,[36]WRDS!$A$1:$O$100,8,FALSE)</f>
        <v>4</v>
      </c>
      <c r="N30">
        <f>VLOOKUP(A30,[36]WRDS!$A$1:$O$100,11,FALSE)</f>
        <v>2.38</v>
      </c>
    </row>
    <row r="31" spans="1:14" x14ac:dyDescent="0.3">
      <c r="A31" t="s">
        <v>49</v>
      </c>
      <c r="B31" t="str">
        <f>VLOOKUP(A31,[35]WRDS!$A$1:$N$100,2,FALSE)</f>
        <v>POM</v>
      </c>
      <c r="C31" t="str">
        <f>VLOOKUP(A31,[35]WRDS!$A$1:$N$100,3,FALSE)</f>
        <v>PEPCO HOLDINGS</v>
      </c>
      <c r="D31">
        <f>VLOOKUP(A31,[35]WRDS!$A$1:$N$100,13,FALSE)</f>
        <v>1.24</v>
      </c>
      <c r="E31">
        <f>VLOOKUP(A31,[15]WRDS!$A$1:$N$100,13,FALSE)</f>
        <v>1.27</v>
      </c>
      <c r="F31" s="1">
        <f t="shared" si="3"/>
        <v>1.6253870524</v>
      </c>
      <c r="G31" s="1">
        <f t="shared" si="4"/>
        <v>1.5654714304000004</v>
      </c>
      <c r="H31" s="2">
        <f t="shared" si="0"/>
        <v>5.9942744033496531E-3</v>
      </c>
      <c r="I31" s="2">
        <f>VLOOKUP(A31,[36]WRDS!$A$1:$O$100,10,FALSE)/100</f>
        <v>7.0000000000000007E-2</v>
      </c>
      <c r="J31" s="2">
        <f>VLOOKUP(A31,[36]WRDS!$A$1:$O$100,9,FALSE)/100</f>
        <v>0.06</v>
      </c>
      <c r="K31" s="2">
        <f t="shared" si="1"/>
        <v>10.677810405356718</v>
      </c>
      <c r="L31" s="2">
        <f t="shared" si="2"/>
        <v>9.0095517760200412</v>
      </c>
      <c r="M31">
        <f>VLOOKUP(A31,[36]WRDS!$A$1:$O$100,8,FALSE)</f>
        <v>3</v>
      </c>
      <c r="N31">
        <f>VLOOKUP(A31,[36]WRDS!$A$1:$O$100,11,FALSE)</f>
        <v>2.65</v>
      </c>
    </row>
    <row r="32" spans="1:14" x14ac:dyDescent="0.3">
      <c r="A32" t="s">
        <v>50</v>
      </c>
      <c r="B32" t="str">
        <f>VLOOKUP(A32,[35]WRDS!$A$1:$N$100,2,FALSE)</f>
        <v>PORO</v>
      </c>
      <c r="C32" t="str">
        <f>VLOOKUP(A32,[35]WRDS!$A$1:$N$100,3,FALSE)</f>
        <v>PORTLAND GENERAL</v>
      </c>
      <c r="D32">
        <f>VLOOKUP(A32,[35]WRDS!$A$1:$N$100,13,FALSE)</f>
        <v>1.66</v>
      </c>
      <c r="E32">
        <f>VLOOKUP(A32,[15]WRDS!$A$1:$N$100,13,FALSE)</f>
        <v>2.1800000000000002</v>
      </c>
      <c r="F32" s="1">
        <f t="shared" si="3"/>
        <v>2.0486630360329601</v>
      </c>
      <c r="G32" s="1">
        <f t="shared" si="4"/>
        <v>2.0957117536000003</v>
      </c>
      <c r="H32" s="2">
        <f t="shared" si="0"/>
        <v>7.0501059325077886E-2</v>
      </c>
      <c r="I32" s="2">
        <f>VLOOKUP(A32,[36]WRDS!$A$1:$O$100,10,FALSE)/100</f>
        <v>5.4000000000000006E-2</v>
      </c>
      <c r="J32" s="2">
        <f>VLOOKUP(A32,[36]WRDS!$A$1:$O$100,9,FALSE)/100</f>
        <v>0.06</v>
      </c>
      <c r="K32" s="2">
        <f t="shared" si="1"/>
        <v>-0.23405406220908087</v>
      </c>
      <c r="L32" s="2">
        <f t="shared" si="2"/>
        <v>-0.14894895801008998</v>
      </c>
      <c r="M32">
        <f>VLOOKUP(A32,[36]WRDS!$A$1:$O$100,8,FALSE)</f>
        <v>5</v>
      </c>
      <c r="N32">
        <f>VLOOKUP(A32,[36]WRDS!$A$1:$O$100,11,FALSE)</f>
        <v>1.34</v>
      </c>
    </row>
    <row r="33" spans="1:14" x14ac:dyDescent="0.3">
      <c r="A33" t="s">
        <v>51</v>
      </c>
      <c r="B33" t="str">
        <f>VLOOKUP(A33,[35]WRDS!$A$1:$N$100,2,FALSE)</f>
        <v>PPL</v>
      </c>
      <c r="C33" t="str">
        <f>VLOOKUP(A33,[35]WRDS!$A$1:$N$100,3,FALSE)</f>
        <v>PP&amp;L CORP</v>
      </c>
      <c r="D33">
        <f>VLOOKUP(A33,[35]WRDS!$A$1:$N$100,13,FALSE)</f>
        <v>3.13</v>
      </c>
      <c r="E33">
        <f>VLOOKUP(A33,[15]WRDS!$A$1:$N$100,13,FALSE)</f>
        <v>2.4500000000000002</v>
      </c>
      <c r="F33" s="1">
        <f t="shared" si="3"/>
        <v>3.6056482703180803</v>
      </c>
      <c r="G33" s="1">
        <f t="shared" si="4"/>
        <v>3.6056482703180803</v>
      </c>
      <c r="H33" s="2">
        <f t="shared" si="0"/>
        <v>-5.9398998756790777E-2</v>
      </c>
      <c r="I33" s="2">
        <f>VLOOKUP(A33,[36]WRDS!$A$1:$O$100,10,FALSE)/100</f>
        <v>3.6000000000000004E-2</v>
      </c>
      <c r="J33" s="2">
        <f>VLOOKUP(A33,[36]WRDS!$A$1:$O$100,9,FALSE)/100</f>
        <v>3.6000000000000004E-2</v>
      </c>
      <c r="K33" s="2">
        <f t="shared" si="1"/>
        <v>1.6060708219578248</v>
      </c>
      <c r="L33" s="2">
        <f t="shared" si="2"/>
        <v>1.6060708219578248</v>
      </c>
      <c r="M33">
        <f>VLOOKUP(A33,[36]WRDS!$A$1:$O$100,8,FALSE)</f>
        <v>2</v>
      </c>
      <c r="N33">
        <f>VLOOKUP(A33,[36]WRDS!$A$1:$O$100,11,FALSE)</f>
        <v>12.16</v>
      </c>
    </row>
    <row r="34" spans="1:14" x14ac:dyDescent="0.3">
      <c r="A34" t="s">
        <v>52</v>
      </c>
      <c r="B34" t="str">
        <f>VLOOKUP(A34,[35]WRDS!$A$1:$N$100,2,FALSE)</f>
        <v>SCG</v>
      </c>
      <c r="C34" t="str">
        <f>VLOOKUP(A34,[35]WRDS!$A$1:$N$100,3,FALSE)</f>
        <v>SCANA CP</v>
      </c>
      <c r="D34">
        <f>VLOOKUP(A34,[35]WRDS!$A$1:$N$100,13,FALSE)</f>
        <v>3.01</v>
      </c>
      <c r="E34">
        <f>VLOOKUP(A34,[15]WRDS!$A$1:$N$100,13,FALSE)</f>
        <v>3.79</v>
      </c>
      <c r="F34" s="1">
        <f t="shared" si="3"/>
        <v>3.6281068769244955</v>
      </c>
      <c r="G34" s="1">
        <f t="shared" si="4"/>
        <v>3.6586738124999996</v>
      </c>
      <c r="H34" s="2">
        <f t="shared" si="0"/>
        <v>5.9298064091903635E-2</v>
      </c>
      <c r="I34" s="2">
        <f>VLOOKUP(A34,[36]WRDS!$A$1:$O$100,10,FALSE)/100</f>
        <v>4.7800000000000002E-2</v>
      </c>
      <c r="J34" s="2">
        <f>VLOOKUP(A34,[36]WRDS!$A$1:$O$100,9,FALSE)/100</f>
        <v>0.05</v>
      </c>
      <c r="K34" s="2">
        <f t="shared" si="1"/>
        <v>-0.19390285784175443</v>
      </c>
      <c r="L34" s="2">
        <f t="shared" si="2"/>
        <v>-0.1568021525541364</v>
      </c>
      <c r="M34">
        <f>VLOOKUP(A34,[36]WRDS!$A$1:$O$100,8,FALSE)</f>
        <v>6</v>
      </c>
      <c r="N34">
        <f>VLOOKUP(A34,[36]WRDS!$A$1:$O$100,11,FALSE)</f>
        <v>0.99</v>
      </c>
    </row>
    <row r="35" spans="1:14" x14ac:dyDescent="0.3">
      <c r="A35" t="s">
        <v>53</v>
      </c>
      <c r="B35" t="str">
        <f>VLOOKUP(A35,[35]WRDS!$A$1:$N$100,2,FALSE)</f>
        <v>SO</v>
      </c>
      <c r="C35" t="str">
        <f>VLOOKUP(A35,[35]WRDS!$A$1:$N$100,3,FALSE)</f>
        <v>SOUTHN CO</v>
      </c>
      <c r="D35">
        <f>VLOOKUP(A35,[35]WRDS!$A$1:$N$100,13,FALSE)</f>
        <v>2.37</v>
      </c>
      <c r="E35">
        <f>VLOOKUP(A35,[15]WRDS!$A$1:$N$100,13,FALSE)</f>
        <v>2.8</v>
      </c>
      <c r="F35" s="1">
        <f t="shared" si="3"/>
        <v>2.9171360395174606</v>
      </c>
      <c r="G35" s="1">
        <f t="shared" si="4"/>
        <v>2.9360144219812496</v>
      </c>
      <c r="H35" s="2">
        <f t="shared" si="0"/>
        <v>4.2563272097460914E-2</v>
      </c>
      <c r="I35" s="2">
        <f>VLOOKUP(A35,[36]WRDS!$A$1:$O$100,10,FALSE)/100</f>
        <v>5.33E-2</v>
      </c>
      <c r="J35" s="2">
        <f>VLOOKUP(A35,[36]WRDS!$A$1:$O$100,9,FALSE)/100</f>
        <v>5.5E-2</v>
      </c>
      <c r="K35" s="2">
        <f t="shared" si="1"/>
        <v>0.25225334833173174</v>
      </c>
      <c r="L35" s="2">
        <f t="shared" si="2"/>
        <v>0.29219388664625229</v>
      </c>
      <c r="M35">
        <f>VLOOKUP(A35,[36]WRDS!$A$1:$O$100,8,FALSE)</f>
        <v>7</v>
      </c>
      <c r="N35">
        <f>VLOOKUP(A35,[36]WRDS!$A$1:$O$100,11,FALSE)</f>
        <v>0.67</v>
      </c>
    </row>
    <row r="36" spans="1:14" x14ac:dyDescent="0.3">
      <c r="A36" t="s">
        <v>54</v>
      </c>
      <c r="B36" t="str">
        <f>VLOOKUP(A36,[35]WRDS!$A$1:$N$100,2,FALSE)</f>
        <v>SDO</v>
      </c>
      <c r="C36" t="str">
        <f>VLOOKUP(A36,[35]WRDS!$A$1:$N$100,3,FALSE)</f>
        <v>SEMPRA ENERGY</v>
      </c>
      <c r="D36">
        <f>VLOOKUP(A36,[35]WRDS!$A$1:$N$100,13,FALSE)</f>
        <v>3.61</v>
      </c>
      <c r="E36">
        <f>VLOOKUP(A36,[15]WRDS!$A$1:$N$100,13,FALSE)</f>
        <v>4.71</v>
      </c>
      <c r="F36" s="1">
        <f t="shared" si="3"/>
        <v>4.6668607086736591</v>
      </c>
      <c r="G36" s="1">
        <f t="shared" si="4"/>
        <v>4.7319735960999996</v>
      </c>
      <c r="H36" s="2">
        <f t="shared" si="0"/>
        <v>6.8755656536848786E-2</v>
      </c>
      <c r="I36" s="2">
        <f>VLOOKUP(A36,[36]WRDS!$A$1:$O$100,10,FALSE)/100</f>
        <v>6.6299999999999998E-2</v>
      </c>
      <c r="J36" s="2">
        <f>VLOOKUP(A36,[36]WRDS!$A$1:$O$100,9,FALSE)/100</f>
        <v>7.0000000000000007E-2</v>
      </c>
      <c r="K36" s="2">
        <f t="shared" si="1"/>
        <v>-3.5715701958757499E-2</v>
      </c>
      <c r="L36" s="2">
        <f t="shared" si="2"/>
        <v>1.8098052230572904E-2</v>
      </c>
      <c r="M36">
        <f>VLOOKUP(A36,[36]WRDS!$A$1:$O$100,8,FALSE)</f>
        <v>3</v>
      </c>
      <c r="N36">
        <f>VLOOKUP(A36,[36]WRDS!$A$1:$O$100,11,FALSE)</f>
        <v>3.56</v>
      </c>
    </row>
    <row r="37" spans="1:14" x14ac:dyDescent="0.3">
      <c r="A37" t="s">
        <v>75</v>
      </c>
      <c r="B37" t="str">
        <f>VLOOKUP(A37,[35]WRDS!$A$1:$N$100,2,FALSE)</f>
        <v>TE</v>
      </c>
      <c r="C37" t="str">
        <f>VLOOKUP(A37,[35]WRDS!$A$1:$N$100,3,FALSE)</f>
        <v>TECO ENERGY INC</v>
      </c>
      <c r="D37">
        <f>VLOOKUP(A37,[35]WRDS!$A$1:$N$100,13,FALSE)</f>
        <v>1.28</v>
      </c>
      <c r="E37">
        <f>VLOOKUP(A37,[15]WRDS!$A$1:$N$100,13,FALSE)</f>
        <v>1.03</v>
      </c>
      <c r="F37" s="1">
        <f t="shared" si="3"/>
        <v>1.6840999112716799</v>
      </c>
      <c r="G37" s="1">
        <f t="shared" si="4"/>
        <v>1.6159705088000005</v>
      </c>
      <c r="H37" s="2">
        <f t="shared" si="0"/>
        <v>-5.2876060961155047E-2</v>
      </c>
      <c r="I37" s="2">
        <f>VLOOKUP(A37,[36]WRDS!$A$1:$O$100,10,FALSE)/100</f>
        <v>7.0999999999999994E-2</v>
      </c>
      <c r="J37" s="2">
        <f>VLOOKUP(A37,[36]WRDS!$A$1:$O$100,9,FALSE)/100</f>
        <v>0.06</v>
      </c>
      <c r="K37" s="2">
        <f t="shared" si="1"/>
        <v>2.3427626549594827</v>
      </c>
      <c r="L37" s="2">
        <f t="shared" si="2"/>
        <v>2.134729004191112</v>
      </c>
      <c r="M37">
        <f>VLOOKUP(A37,[36]WRDS!$A$1:$O$100,8,FALSE)</f>
        <v>7</v>
      </c>
      <c r="N37">
        <f>VLOOKUP(A37,[36]WRDS!$A$1:$O$100,11,FALSE)</f>
        <v>2.42</v>
      </c>
    </row>
    <row r="38" spans="1:14" x14ac:dyDescent="0.3">
      <c r="A38" t="s">
        <v>79</v>
      </c>
      <c r="B38" t="str">
        <f>VLOOKUP(A38,[35]WRDS!$A$1:$N$100,2,FALSE)</f>
        <v>UIL</v>
      </c>
      <c r="C38" t="str">
        <f>VLOOKUP(A38,[35]WRDS!$A$1:$N$100,3,FALSE)</f>
        <v>UIL HOLDING CORP</v>
      </c>
      <c r="D38">
        <f>VLOOKUP(A38,[35]WRDS!$A$1:$N$100,13,FALSE)</f>
        <v>2.04</v>
      </c>
      <c r="E38">
        <f>VLOOKUP(A38,[15]WRDS!$A$1:$N$100,13,FALSE)</f>
        <v>2.2599999999999998</v>
      </c>
      <c r="F38" s="1">
        <f t="shared" si="3"/>
        <v>2.3346203466557092</v>
      </c>
      <c r="G38" s="1">
        <f t="shared" si="4"/>
        <v>2.322905025198839</v>
      </c>
      <c r="H38" s="2">
        <f t="shared" si="0"/>
        <v>2.5934342829159629E-2</v>
      </c>
      <c r="I38" s="2">
        <f>VLOOKUP(A38,[36]WRDS!$A$1:$O$100,10,FALSE)/100</f>
        <v>3.4300000000000004E-2</v>
      </c>
      <c r="J38" s="2">
        <f>VLOOKUP(A38,[36]WRDS!$A$1:$O$100,9,FALSE)/100</f>
        <v>3.3000000000000002E-2</v>
      </c>
      <c r="K38" s="2">
        <f t="shared" si="1"/>
        <v>0.32257062482548565</v>
      </c>
      <c r="L38" s="2">
        <f t="shared" si="2"/>
        <v>0.27244404137728934</v>
      </c>
      <c r="M38">
        <f>VLOOKUP(A38,[36]WRDS!$A$1:$O$100,8,FALSE)</f>
        <v>3</v>
      </c>
      <c r="N38">
        <f>VLOOKUP(A38,[36]WRDS!$A$1:$O$100,11,FALSE)</f>
        <v>0.51</v>
      </c>
    </row>
    <row r="39" spans="1:14" x14ac:dyDescent="0.3">
      <c r="A39" t="s">
        <v>76</v>
      </c>
      <c r="B39" t="str">
        <f>VLOOKUP(A39,[35]WRDS!$A$1:$N$100,2,FALSE)</f>
        <v>SIG</v>
      </c>
      <c r="C39" t="str">
        <f>VLOOKUP(A39,[35]WRDS!$A$1:$N$100,3,FALSE)</f>
        <v>VECTREN CORP</v>
      </c>
      <c r="D39">
        <f>VLOOKUP(A39,[35]WRDS!$A$1:$N$100,13,FALSE)</f>
        <v>1.64</v>
      </c>
      <c r="E39">
        <f>VLOOKUP(A39,[15]WRDS!$A$1:$N$100,13,FALSE)</f>
        <v>2.2799999999999998</v>
      </c>
      <c r="F39" s="1">
        <f t="shared" si="3"/>
        <v>1.9782855493222407</v>
      </c>
      <c r="G39" s="1">
        <f t="shared" si="4"/>
        <v>1.9782855493222407</v>
      </c>
      <c r="H39" s="2">
        <f t="shared" si="0"/>
        <v>8.5857285923142124E-2</v>
      </c>
      <c r="I39" s="2">
        <f>VLOOKUP(A39,[36]WRDS!$A$1:$O$100,10,FALSE)/100</f>
        <v>4.8000000000000001E-2</v>
      </c>
      <c r="J39" s="2">
        <f>VLOOKUP(A39,[36]WRDS!$A$1:$O$100,9,FALSE)/100</f>
        <v>4.8000000000000001E-2</v>
      </c>
      <c r="K39" s="2">
        <f t="shared" si="1"/>
        <v>-0.44093271195447842</v>
      </c>
      <c r="L39" s="2">
        <f t="shared" si="2"/>
        <v>-0.44093271195447842</v>
      </c>
      <c r="M39">
        <f>VLOOKUP(A39,[36]WRDS!$A$1:$O$100,8,FALSE)</f>
        <v>2</v>
      </c>
      <c r="N39">
        <f>VLOOKUP(A39,[36]WRDS!$A$1:$O$100,11,FALSE)</f>
        <v>1.7</v>
      </c>
    </row>
    <row r="40" spans="1:14" x14ac:dyDescent="0.3">
      <c r="A40" t="s">
        <v>55</v>
      </c>
      <c r="B40" t="str">
        <f>VLOOKUP(A40,[35]WRDS!$A$1:$N$100,2,FALSE)</f>
        <v>WPC</v>
      </c>
      <c r="C40" t="str">
        <f>VLOOKUP(A40,[35]WRDS!$A$1:$N$100,3,FALSE)</f>
        <v>WISCONSIN ENERGY</v>
      </c>
      <c r="D40">
        <f>VLOOKUP(A40,[35]WRDS!$A$1:$N$100,13,FALSE)</f>
        <v>1.92</v>
      </c>
      <c r="E40">
        <f>VLOOKUP(A40,[15]WRDS!$A$1:$N$100,13,FALSE)</f>
        <v>2.59</v>
      </c>
      <c r="F40" s="1">
        <f t="shared" si="3"/>
        <v>2.8182342891061252</v>
      </c>
      <c r="G40" s="1">
        <f t="shared" si="4"/>
        <v>2.8110720000000007</v>
      </c>
      <c r="H40" s="2">
        <f t="shared" si="0"/>
        <v>7.7704345076698766E-2</v>
      </c>
      <c r="I40" s="2">
        <f>VLOOKUP(A40,[36]WRDS!$A$1:$O$100,10,FALSE)/100</f>
        <v>0.1007</v>
      </c>
      <c r="J40" s="2">
        <f>VLOOKUP(A40,[36]WRDS!$A$1:$O$100,9,FALSE)/100</f>
        <v>0.1</v>
      </c>
      <c r="K40" s="2">
        <f t="shared" si="1"/>
        <v>0.29593782562098897</v>
      </c>
      <c r="L40" s="2">
        <f t="shared" si="2"/>
        <v>0.28692932037834068</v>
      </c>
      <c r="M40">
        <f>VLOOKUP(A40,[36]WRDS!$A$1:$O$100,8,FALSE)</f>
        <v>3</v>
      </c>
      <c r="N40">
        <f>VLOOKUP(A40,[36]WRDS!$A$1:$O$100,11,FALSE)</f>
        <v>1.1000000000000001</v>
      </c>
    </row>
    <row r="41" spans="1:14" x14ac:dyDescent="0.3">
      <c r="A41" t="s">
        <v>64</v>
      </c>
      <c r="B41" t="str">
        <f>VLOOKUP(A41,[35]WRDS!$A$1:$N$100,2,FALSE)</f>
        <v>KAN</v>
      </c>
      <c r="C41" t="str">
        <f>VLOOKUP(A41,[35]WRDS!$A$1:$N$100,3,FALSE)</f>
        <v>WESTAR ENERGY</v>
      </c>
      <c r="D41">
        <f>VLOOKUP(A41,[35]WRDS!$A$1:$N$100,13,FALSE)</f>
        <v>1.81</v>
      </c>
      <c r="E41">
        <f>VLOOKUP(A41,[15]WRDS!$A$1:$N$100,13,FALSE)</f>
        <v>2.35</v>
      </c>
      <c r="F41" s="1">
        <f t="shared" si="3"/>
        <v>2.4442949937313605</v>
      </c>
      <c r="G41" s="1">
        <f t="shared" si="4"/>
        <v>2.2000663125000002</v>
      </c>
      <c r="H41" s="2">
        <f t="shared" si="0"/>
        <v>6.7449459980797322E-2</v>
      </c>
      <c r="I41" s="2">
        <f>VLOOKUP(A41,[36]WRDS!$A$1:$O$100,10,FALSE)/100</f>
        <v>7.8E-2</v>
      </c>
      <c r="J41" s="2">
        <f>VLOOKUP(A41,[36]WRDS!$A$1:$O$100,9,FALSE)/100</f>
        <v>0.05</v>
      </c>
      <c r="K41" s="2">
        <f t="shared" si="1"/>
        <v>0.1564214157119477</v>
      </c>
      <c r="L41" s="2">
        <f t="shared" si="2"/>
        <v>-0.2587042206974694</v>
      </c>
      <c r="M41">
        <f>VLOOKUP(A41,[36]WRDS!$A$1:$O$100,8,FALSE)</f>
        <v>3</v>
      </c>
      <c r="N41">
        <f>VLOOKUP(A41,[36]WRDS!$A$1:$O$100,11,FALSE)</f>
        <v>6.29</v>
      </c>
    </row>
    <row r="42" spans="1:14" x14ac:dyDescent="0.3">
      <c r="A42" t="s">
        <v>56</v>
      </c>
      <c r="B42" t="str">
        <f>VLOOKUP(A42,[35]WRDS!$A$1:$N$100,2,FALSE)</f>
        <v>NSP</v>
      </c>
      <c r="C42" t="str">
        <f>VLOOKUP(A42,[35]WRDS!$A$1:$N$100,3,FALSE)</f>
        <v>XCEL ENERGY INC</v>
      </c>
      <c r="D42">
        <f>VLOOKUP(A42,[35]WRDS!$A$1:$N$100,13,FALSE)</f>
        <v>1.62</v>
      </c>
      <c r="E42">
        <f>VLOOKUP(A42,[15]WRDS!$A$1:$N$100,13,FALSE)</f>
        <v>2.0299999999999998</v>
      </c>
      <c r="F42" s="1">
        <f t="shared" si="3"/>
        <v>2.0966277611499518</v>
      </c>
      <c r="G42" s="1">
        <f t="shared" si="4"/>
        <v>2.1234895362000001</v>
      </c>
      <c r="H42" s="2">
        <f t="shared" si="0"/>
        <v>5.8023358270030689E-2</v>
      </c>
      <c r="I42" s="2">
        <f>VLOOKUP(A42,[36]WRDS!$A$1:$O$100,10,FALSE)/100</f>
        <v>6.6600000000000006E-2</v>
      </c>
      <c r="J42" s="2">
        <f>VLOOKUP(A42,[36]WRDS!$A$1:$O$100,9,FALSE)/100</f>
        <v>7.0000000000000007E-2</v>
      </c>
      <c r="K42" s="2">
        <f t="shared" si="1"/>
        <v>0.14781360448071806</v>
      </c>
      <c r="L42" s="2">
        <f t="shared" si="2"/>
        <v>0.20641069540015411</v>
      </c>
      <c r="M42">
        <f>VLOOKUP(A42,[36]WRDS!$A$1:$O$100,8,FALSE)</f>
        <v>7</v>
      </c>
      <c r="N42">
        <f>VLOOKUP(A42,[36]WRDS!$A$1:$O$100,11,FALSE)</f>
        <v>0.92</v>
      </c>
    </row>
    <row r="43" spans="1:14" x14ac:dyDescent="0.3">
      <c r="A43" t="s">
        <v>132</v>
      </c>
      <c r="B43" t="str">
        <f>VLOOKUP(A43,'[5]Ticker List'!$H$4:$I$20,2,FALSE)</f>
        <v>EGAS</v>
      </c>
      <c r="C43" t="str">
        <f>VLOOKUP(A43,[37]WRDS!$B$1:$N$12,2,FALSE)</f>
        <v>ATMOS ENERGY CP</v>
      </c>
      <c r="D43">
        <f>VLOOKUP(A43,[37]WRDS!$B$1:$N$12,12,FALSE)</f>
        <v>2.34</v>
      </c>
      <c r="E43">
        <f>VLOOKUP(A43,[19]WRDS!$B$1:$N$13,12,FALSE)</f>
        <v>3.1</v>
      </c>
      <c r="F43" s="1">
        <f t="shared" si="3"/>
        <v>2.6955964704614401</v>
      </c>
      <c r="G43" s="1">
        <f t="shared" si="4"/>
        <v>2.7691921455143391</v>
      </c>
      <c r="H43" s="2">
        <f t="shared" si="0"/>
        <v>7.284370949273189E-2</v>
      </c>
      <c r="I43" s="2">
        <f>VLOOKUP(A43,[38]k9u1pe44ad47uwtv!$B$1:$N$20,9,FALSE)/100</f>
        <v>3.6000000000000004E-2</v>
      </c>
      <c r="J43" s="2">
        <f>VLOOKUP(A43,[38]k9u1pe44ad47uwtv!$B$1:$N$20,8,FALSE)/100</f>
        <v>4.2999999999999997E-2</v>
      </c>
      <c r="K43" s="2">
        <f t="shared" si="1"/>
        <v>-0.5057912309697522</v>
      </c>
      <c r="L43" s="2">
        <f t="shared" si="2"/>
        <v>-0.40969508143609301</v>
      </c>
      <c r="M43">
        <f>VLOOKUP(A43,[38]k9u1pe44ad47uwtv!$B$1:$N$20,7,FALSE)</f>
        <v>5</v>
      </c>
      <c r="N43">
        <f>VLOOKUP(A43,[38]k9u1pe44ad47uwtv!$B$1:$N$20,10,FALSE)</f>
        <v>1.63</v>
      </c>
    </row>
    <row r="44" spans="1:14" x14ac:dyDescent="0.3">
      <c r="A44" t="s">
        <v>133</v>
      </c>
      <c r="B44" t="str">
        <f>VLOOKUP(A44,'[5]Ticker List'!$H$4:$I$20,2,FALSE)</f>
        <v>CHPK</v>
      </c>
      <c r="C44" t="str">
        <f>VLOOKUP(A44,[37]WRDS!$B$1:$N$12,2,FALSE)</f>
        <v>CHESAPEAKE UTIL</v>
      </c>
      <c r="D44">
        <f>VLOOKUP(A44,[37]WRDS!$B$1:$N$12,12,FALSE)</f>
        <v>1.82</v>
      </c>
      <c r="E44">
        <f>VLOOKUP(A44,[19]WRDS!$B$1:$N$13,12,FALSE)</f>
        <v>2.75</v>
      </c>
      <c r="F44" s="1">
        <f t="shared" si="3"/>
        <v>2.3413687581374991</v>
      </c>
      <c r="G44" s="1">
        <f t="shared" si="4"/>
        <v>2.3413687581374991</v>
      </c>
      <c r="H44" s="2">
        <f t="shared" si="0"/>
        <v>0.10870326496141614</v>
      </c>
      <c r="I44" s="2">
        <f>VLOOKUP(A44,[38]k9u1pe44ad47uwtv!$B$1:$N$20,9,FALSE)/100</f>
        <v>6.5000000000000002E-2</v>
      </c>
      <c r="J44" s="2">
        <f>VLOOKUP(A44,[38]k9u1pe44ad47uwtv!$B$1:$N$20,8,FALSE)/100</f>
        <v>6.5000000000000002E-2</v>
      </c>
      <c r="K44" s="2">
        <f t="shared" si="1"/>
        <v>-0.40204187957857995</v>
      </c>
      <c r="L44" s="2">
        <f t="shared" si="2"/>
        <v>-0.40204187957857995</v>
      </c>
      <c r="M44">
        <f>VLOOKUP(A44,[38]k9u1pe44ad47uwtv!$B$1:$N$20,7,FALSE)</f>
        <v>1</v>
      </c>
      <c r="N44">
        <f>VLOOKUP(A44,[38]k9u1pe44ad47uwtv!$B$1:$N$20,10,FALSE)</f>
        <v>0</v>
      </c>
    </row>
    <row r="45" spans="1:14" x14ac:dyDescent="0.3">
      <c r="A45" t="s">
        <v>134</v>
      </c>
      <c r="B45" t="str">
        <f>VLOOKUP(A45,'[5]Ticker List'!$H$4:$I$20,2,FALSE)</f>
        <v>NJR</v>
      </c>
      <c r="C45" t="str">
        <f>VLOOKUP(A45,[37]WRDS!$B$1:$N$12,2,FALSE)</f>
        <v>NEW JERSEY RES</v>
      </c>
      <c r="D45">
        <f>VLOOKUP(A45,[37]WRDS!$B$1:$N$12,12,FALSE)</f>
        <v>1.28</v>
      </c>
      <c r="E45">
        <f>VLOOKUP(A45,[19]WRDS!$B$1:$N$13,12,FALSE)</f>
        <v>1.76</v>
      </c>
      <c r="F45" s="1">
        <f t="shared" si="3"/>
        <v>1.4322774480000799</v>
      </c>
      <c r="G45" s="1">
        <f t="shared" si="4"/>
        <v>1.4239401772044795</v>
      </c>
      <c r="H45" s="2">
        <f t="shared" si="0"/>
        <v>8.2868385333996875E-2</v>
      </c>
      <c r="I45" s="2">
        <f>VLOOKUP(A45,[38]k9u1pe44ad47uwtv!$B$1:$N$20,9,FALSE)/100</f>
        <v>2.8500000000000001E-2</v>
      </c>
      <c r="J45" s="2">
        <f>VLOOKUP(A45,[38]k9u1pe44ad47uwtv!$B$1:$N$20,8,FALSE)/100</f>
        <v>2.7000000000000003E-2</v>
      </c>
      <c r="K45" s="2">
        <f t="shared" si="1"/>
        <v>-0.65608114741065393</v>
      </c>
      <c r="L45" s="2">
        <f t="shared" si="2"/>
        <v>-0.67418213965219842</v>
      </c>
      <c r="M45">
        <f>VLOOKUP(A45,[38]k9u1pe44ad47uwtv!$B$1:$N$20,7,FALSE)</f>
        <v>4</v>
      </c>
      <c r="N45">
        <f>VLOOKUP(A45,[38]k9u1pe44ad47uwtv!$B$1:$N$20,10,FALSE)</f>
        <v>1.96</v>
      </c>
    </row>
    <row r="46" spans="1:14" x14ac:dyDescent="0.3">
      <c r="A46" t="s">
        <v>135</v>
      </c>
      <c r="B46" t="str">
        <f>VLOOKUP(A46,'[5]Ticker List'!$H$4:$I$20,2,FALSE)</f>
        <v>NI</v>
      </c>
      <c r="C46" t="str">
        <f>VLOOKUP(A46,[37]WRDS!$B$1:$N$12,2,FALSE)</f>
        <v>NISOURCE INC</v>
      </c>
      <c r="D46">
        <f>VLOOKUP(A46,[37]WRDS!$B$1:$N$12,12,FALSE)</f>
        <v>1.22</v>
      </c>
      <c r="E46">
        <f>VLOOKUP(A46,[19]WRDS!$B$1:$N$13,12,FALSE)</f>
        <v>1.72</v>
      </c>
      <c r="F46" s="1">
        <f t="shared" si="3"/>
        <v>1.6069569797962591</v>
      </c>
      <c r="G46" s="1">
        <f t="shared" si="4"/>
        <v>1.4272274432000003</v>
      </c>
      <c r="H46" s="2">
        <f t="shared" si="0"/>
        <v>8.9662873484853023E-2</v>
      </c>
      <c r="I46" s="2">
        <f>VLOOKUP(A46,[38]k9u1pe44ad47uwtv!$B$1:$N$20,9,FALSE)/100</f>
        <v>7.1300000000000002E-2</v>
      </c>
      <c r="J46" s="2">
        <f>VLOOKUP(A46,[38]k9u1pe44ad47uwtv!$B$1:$N$20,8,FALSE)/100</f>
        <v>0.04</v>
      </c>
      <c r="K46" s="2">
        <f t="shared" si="1"/>
        <v>-0.20479907425624841</v>
      </c>
      <c r="L46" s="2">
        <f t="shared" si="2"/>
        <v>-0.55388447363604398</v>
      </c>
      <c r="M46">
        <f>VLOOKUP(A46,[38]k9u1pe44ad47uwtv!$B$1:$N$20,7,FALSE)</f>
        <v>3</v>
      </c>
      <c r="N46">
        <f>VLOOKUP(A46,[38]k9u1pe44ad47uwtv!$B$1:$N$20,10,FALSE)</f>
        <v>6.31</v>
      </c>
    </row>
    <row r="47" spans="1:14" x14ac:dyDescent="0.3">
      <c r="A47" t="s">
        <v>136</v>
      </c>
      <c r="B47" t="str">
        <f>VLOOKUP(A47,'[5]Ticker List'!$H$4:$I$20,2,FALSE)</f>
        <v>NWNG</v>
      </c>
      <c r="C47" t="str">
        <f>VLOOKUP(A47,[37]WRDS!$B$1:$N$12,2,FALSE)</f>
        <v>NW NATURAL GAS</v>
      </c>
      <c r="D47">
        <f>VLOOKUP(A47,[37]WRDS!$B$1:$N$12,12,FALSE)</f>
        <v>2.73</v>
      </c>
      <c r="E47">
        <f>VLOOKUP(A47,[19]WRDS!$B$1:$N$13,12,FALSE)</f>
        <v>2.16</v>
      </c>
      <c r="F47" s="1">
        <f t="shared" si="3"/>
        <v>3.1789991432406306</v>
      </c>
      <c r="G47" s="1">
        <f t="shared" si="4"/>
        <v>3.22453356235664</v>
      </c>
      <c r="H47" s="2">
        <f t="shared" si="0"/>
        <v>-5.6867358218727793E-2</v>
      </c>
      <c r="I47" s="2">
        <f>VLOOKUP(A47,[38]k9u1pe44ad47uwtv!$B$1:$N$20,9,FALSE)/100</f>
        <v>3.8800000000000001E-2</v>
      </c>
      <c r="J47" s="2">
        <f>VLOOKUP(A47,[38]k9u1pe44ad47uwtv!$B$1:$N$20,8,FALSE)/100</f>
        <v>4.2500000000000003E-2</v>
      </c>
      <c r="K47" s="2">
        <f t="shared" si="1"/>
        <v>1.6822894752867599</v>
      </c>
      <c r="L47" s="2">
        <f t="shared" si="2"/>
        <v>1.7473531623630749</v>
      </c>
      <c r="M47">
        <f>VLOOKUP(A47,[38]k9u1pe44ad47uwtv!$B$1:$N$20,7,FALSE)</f>
        <v>4</v>
      </c>
      <c r="N47">
        <f>VLOOKUP(A47,[38]k9u1pe44ad47uwtv!$B$1:$N$20,10,FALSE)</f>
        <v>1.31</v>
      </c>
    </row>
    <row r="48" spans="1:14" x14ac:dyDescent="0.3">
      <c r="A48" t="s">
        <v>138</v>
      </c>
      <c r="B48" t="str">
        <f>VLOOKUP(A48,'[5]Ticker List'!$H$4:$I$20,2,FALSE)</f>
        <v>SJI</v>
      </c>
      <c r="C48" t="str">
        <f>VLOOKUP(A48,[37]WRDS!$B$1:$N$12,2,FALSE)</f>
        <v>SO JERSEY INDS</v>
      </c>
      <c r="D48">
        <f>VLOOKUP(A48,[37]WRDS!$B$1:$N$12,12,FALSE)</f>
        <v>1.35</v>
      </c>
      <c r="E48">
        <f>VLOOKUP(A48,[19]WRDS!$B$1:$N$13,12,FALSE)</f>
        <v>1.5649999999999999</v>
      </c>
      <c r="F48" s="1">
        <f t="shared" si="3"/>
        <v>1.7256671186158872</v>
      </c>
      <c r="G48" s="1">
        <f t="shared" si="4"/>
        <v>1.7043438960000006</v>
      </c>
      <c r="H48" s="2">
        <f t="shared" si="0"/>
        <v>3.7636268764547731E-2</v>
      </c>
      <c r="I48" s="2">
        <f>VLOOKUP(A48,[38]k9u1pe44ad47uwtv!$B$1:$N$20,9,FALSE)/100</f>
        <v>6.3299999999999995E-2</v>
      </c>
      <c r="J48" s="2">
        <f>VLOOKUP(A48,[38]k9u1pe44ad47uwtv!$B$1:$N$20,8,FALSE)/100</f>
        <v>0.06</v>
      </c>
      <c r="K48" s="2">
        <f t="shared" si="1"/>
        <v>0.68188829758880753</v>
      </c>
      <c r="L48" s="2">
        <f t="shared" si="2"/>
        <v>0.59420691714578922</v>
      </c>
      <c r="M48">
        <f>VLOOKUP(A48,[38]k9u1pe44ad47uwtv!$B$1:$N$20,7,FALSE)</f>
        <v>3</v>
      </c>
      <c r="N48">
        <f>VLOOKUP(A48,[38]k9u1pe44ad47uwtv!$B$1:$N$20,10,FALSE)</f>
        <v>0.57999999999999996</v>
      </c>
    </row>
    <row r="49" spans="1:14" x14ac:dyDescent="0.3">
      <c r="A49" t="s">
        <v>139</v>
      </c>
      <c r="B49" t="str">
        <f>VLOOKUP(A49,'[5]Ticker List'!$H$4:$I$20,2,FALSE)</f>
        <v>SWX</v>
      </c>
      <c r="C49" t="str">
        <f>VLOOKUP(A49,[37]WRDS!$B$1:$N$12,2,FALSE)</f>
        <v>SOUTHWEST GAS</v>
      </c>
      <c r="D49">
        <f>VLOOKUP(A49,[37]WRDS!$B$1:$N$12,12,FALSE)</f>
        <v>2.27</v>
      </c>
      <c r="E49">
        <f>VLOOKUP(A49,[19]WRDS!$B$1:$N$13,12,FALSE)</f>
        <v>2.9</v>
      </c>
      <c r="F49" s="1">
        <f t="shared" si="3"/>
        <v>2.8658226992000007</v>
      </c>
      <c r="G49" s="1">
        <f t="shared" si="4"/>
        <v>2.8658226992000007</v>
      </c>
      <c r="H49" s="2">
        <f t="shared" si="0"/>
        <v>6.3146307584618588E-2</v>
      </c>
      <c r="I49" s="2">
        <f>VLOOKUP(A49,[38]k9u1pe44ad47uwtv!$B$1:$N$20,9,FALSE)/100</f>
        <v>0.06</v>
      </c>
      <c r="J49" s="2">
        <f>VLOOKUP(A49,[38]k9u1pe44ad47uwtv!$B$1:$N$20,8,FALSE)/100</f>
        <v>0.06</v>
      </c>
      <c r="K49" s="2">
        <f t="shared" si="1"/>
        <v>-4.9825677936946859E-2</v>
      </c>
      <c r="L49" s="2">
        <f t="shared" si="2"/>
        <v>-4.9825677936946859E-2</v>
      </c>
      <c r="M49">
        <f>VLOOKUP(A49,[38]k9u1pe44ad47uwtv!$B$1:$N$20,7,FALSE)</f>
        <v>1</v>
      </c>
      <c r="N49">
        <f>VLOOKUP(A49,[38]k9u1pe44ad47uwtv!$B$1:$N$20,10,FALSE)</f>
        <v>0</v>
      </c>
    </row>
    <row r="50" spans="1:14" x14ac:dyDescent="0.3">
      <c r="A50" t="s">
        <v>143</v>
      </c>
      <c r="B50" t="str">
        <f>VLOOKUP(A50,'[5]Ticker List'!$H$4:$I$20,2,FALSE)</f>
        <v>LG</v>
      </c>
      <c r="C50" t="str">
        <f>VLOOKUP(A50,[37]WRDS!$B$1:$N$12,2,FALSE)</f>
        <v>LACLEDE GROUP</v>
      </c>
      <c r="D50">
        <f>VLOOKUP(A50,[37]WRDS!$B$1:$N$12,12,FALSE)</f>
        <v>2.86</v>
      </c>
      <c r="E50">
        <f>VLOOKUP(A50,[19]WRDS!$B$1:$N$13,12,FALSE)</f>
        <v>3.19</v>
      </c>
      <c r="F50" s="1">
        <f t="shared" si="3"/>
        <v>3.4106031977874984</v>
      </c>
      <c r="G50" s="1">
        <f t="shared" si="4"/>
        <v>3.4106031977874984</v>
      </c>
      <c r="H50" s="2">
        <f t="shared" si="0"/>
        <v>2.7675877432852491E-2</v>
      </c>
      <c r="I50" s="2">
        <f>VLOOKUP(A50,[38]k9u1pe44ad47uwtv!$B$1:$N$20,9,FALSE)/100</f>
        <v>4.4999999999999998E-2</v>
      </c>
      <c r="J50" s="2">
        <f>VLOOKUP(A50,[38]k9u1pe44ad47uwtv!$B$1:$N$20,8,FALSE)/100</f>
        <v>4.4999999999999998E-2</v>
      </c>
      <c r="K50" s="2">
        <f t="shared" si="1"/>
        <v>0.62596470912907742</v>
      </c>
      <c r="L50" s="2">
        <f t="shared" si="2"/>
        <v>0.62596470912907742</v>
      </c>
      <c r="M50">
        <f>VLOOKUP(A50,[38]k9u1pe44ad47uwtv!$B$1:$N$20,7,FALSE)</f>
        <v>1</v>
      </c>
      <c r="N50">
        <f>VLOOKUP(A50,[38]k9u1pe44ad47uwtv!$B$1:$N$20,10,FALSE)</f>
        <v>0</v>
      </c>
    </row>
    <row r="51" spans="1:14" x14ac:dyDescent="0.3">
      <c r="A51" t="s">
        <v>144</v>
      </c>
      <c r="B51" t="str">
        <f>VLOOKUP(A51,'[5]Ticker List'!$H$4:$I$20,2,FALSE)</f>
        <v>GAS</v>
      </c>
      <c r="C51" t="s">
        <v>147</v>
      </c>
      <c r="D51">
        <f>VLOOKUP(A51,[37]WRDS!$B$1:$N$12,12,FALSE)</f>
        <v>3.08</v>
      </c>
      <c r="E51">
        <f>VLOOKUP(A51,[19]WRDS!$B$1:$N$13,12,FALSE)</f>
        <v>4.71</v>
      </c>
      <c r="F51" s="1">
        <f t="shared" si="3"/>
        <v>3.2050603508000002</v>
      </c>
      <c r="G51" s="1">
        <f t="shared" si="4"/>
        <v>3.3864958135500802</v>
      </c>
      <c r="H51" s="2">
        <f t="shared" si="0"/>
        <v>0.11203267318873844</v>
      </c>
      <c r="I51" s="2">
        <f>VLOOKUP(A51,[38]k9u1pe44ad47uwtv!$B$1:$N$20,9,FALSE)/100</f>
        <v>0.01</v>
      </c>
      <c r="J51" s="2">
        <f>VLOOKUP(A51,[38]k9u1pe44ad47uwtv!$B$1:$N$20,8,FALSE)/100</f>
        <v>2.4E-2</v>
      </c>
      <c r="K51" s="2">
        <f t="shared" si="1"/>
        <v>-0.91074032498400481</v>
      </c>
      <c r="L51" s="2">
        <f t="shared" si="2"/>
        <v>-0.78577677996161144</v>
      </c>
      <c r="M51">
        <f>VLOOKUP(A51,[38]k9u1pe44ad47uwtv!$B$1:$N$20,7,FALSE)</f>
        <v>3</v>
      </c>
      <c r="N51">
        <f>VLOOKUP(A51,[38]k9u1pe44ad47uwtv!$B$1:$N$20,10,FALSE)</f>
        <v>3.7</v>
      </c>
    </row>
    <row r="52" spans="1:14" x14ac:dyDescent="0.3">
      <c r="A52" t="s">
        <v>146</v>
      </c>
      <c r="B52" t="str">
        <f>VLOOKUP(A52,'[5]Ticker List'!$H$4:$I$20,2,FALSE)</f>
        <v>PNY</v>
      </c>
      <c r="C52" t="str">
        <f>VLOOKUP(A52,[37]WRDS!$B$1:$N$12,2,FALSE)</f>
        <v>PIEDMONT NAT GAS</v>
      </c>
      <c r="D52">
        <f>VLOOKUP(A52,[37]WRDS!$B$1:$N$12,12,FALSE)</f>
        <v>1.53</v>
      </c>
      <c r="E52">
        <f>VLOOKUP(A52,[19]WRDS!$B$1:$N$13,12,FALSE)</f>
        <v>1.84</v>
      </c>
      <c r="F52" s="1">
        <f t="shared" si="3"/>
        <v>1.784382614014169</v>
      </c>
      <c r="G52" s="1">
        <f t="shared" si="4"/>
        <v>1.7693202838263296</v>
      </c>
      <c r="H52" s="2">
        <f t="shared" si="0"/>
        <v>4.720473695769356E-2</v>
      </c>
      <c r="I52" s="2">
        <f>VLOOKUP(A52,[38]k9u1pe44ad47uwtv!$B$1:$N$20,9,FALSE)/100</f>
        <v>3.9199999999999999E-2</v>
      </c>
      <c r="J52" s="2">
        <f>VLOOKUP(A52,[38]k9u1pe44ad47uwtv!$B$1:$N$20,8,FALSE)/100</f>
        <v>3.7000000000000005E-2</v>
      </c>
      <c r="K52" s="2">
        <f t="shared" si="1"/>
        <v>-0.16957486628656931</v>
      </c>
      <c r="L52" s="2">
        <f t="shared" si="2"/>
        <v>-0.21618035848477191</v>
      </c>
      <c r="M52">
        <f>VLOOKUP(A52,[38]k9u1pe44ad47uwtv!$B$1:$N$20,7,FALSE)</f>
        <v>4</v>
      </c>
      <c r="N52">
        <f>VLOOKUP(A52,[38]k9u1pe44ad47uwtv!$B$1:$N$20,10,FALSE)</f>
        <v>1.55</v>
      </c>
    </row>
    <row r="53" spans="1:14" x14ac:dyDescent="0.3">
      <c r="A53" t="s">
        <v>145</v>
      </c>
      <c r="B53" t="str">
        <f>VLOOKUP(A53,'[5]Ticker List'!$H$4:$I$20,2,FALSE)</f>
        <v>WGL</v>
      </c>
      <c r="C53" t="str">
        <f>VLOOKUP(A53,[37]WRDS!$B$1:$N$12,2,FALSE)</f>
        <v>WGL HOLDING INC</v>
      </c>
      <c r="D53">
        <f>VLOOKUP(A53,[37]WRDS!$B$1:$N$12,12,FALSE)</f>
        <v>2.25</v>
      </c>
      <c r="E53">
        <f>VLOOKUP(A53,[19]WRDS!$B$1:$N$13,12,FALSE)</f>
        <v>3.16</v>
      </c>
      <c r="F53" s="1">
        <f t="shared" si="3"/>
        <v>2.5889187633677104</v>
      </c>
      <c r="G53" s="1">
        <f t="shared" si="4"/>
        <v>2.683166851406249</v>
      </c>
      <c r="H53" s="2">
        <f t="shared" si="0"/>
        <v>8.8619579548067762E-2</v>
      </c>
      <c r="I53" s="2">
        <f>VLOOKUP(A53,[38]k9u1pe44ad47uwtv!$B$1:$N$20,9,FALSE)/100</f>
        <v>3.5699999999999996E-2</v>
      </c>
      <c r="J53" s="2">
        <f>VLOOKUP(A53,[38]k9u1pe44ad47uwtv!$B$1:$N$20,8,FALSE)/100</f>
        <v>4.4999999999999998E-2</v>
      </c>
      <c r="K53" s="2">
        <f t="shared" si="1"/>
        <v>-0.59715448682944705</v>
      </c>
      <c r="L53" s="2">
        <f t="shared" si="2"/>
        <v>-0.49221153802031137</v>
      </c>
      <c r="M53">
        <f>VLOOKUP(A53,[38]k9u1pe44ad47uwtv!$B$1:$N$20,7,FALSE)</f>
        <v>3</v>
      </c>
      <c r="N53">
        <f>VLOOKUP(A53,[38]k9u1pe44ad47uwtv!$B$1:$N$20,10,FALSE)</f>
        <v>2.5299999999999998</v>
      </c>
    </row>
  </sheetData>
  <mergeCells count="3">
    <mergeCell ref="P1:Q1"/>
    <mergeCell ref="P7:Q7"/>
    <mergeCell ref="P13:Q1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79BA69-30A0-45AB-B03C-0E1B7254378A}">
  <dimension ref="A1:Q53"/>
  <sheetViews>
    <sheetView topLeftCell="A18" workbookViewId="0">
      <selection activeCell="A55" sqref="A55"/>
    </sheetView>
  </sheetViews>
  <sheetFormatPr defaultRowHeight="14.4" x14ac:dyDescent="0.3"/>
  <cols>
    <col min="1" max="1" width="13.33203125" bestFit="1" customWidth="1"/>
    <col min="2" max="2" width="10.44140625" bestFit="1" customWidth="1"/>
    <col min="3" max="3" width="15.109375" bestFit="1" customWidth="1"/>
    <col min="4" max="5" width="15.44140625" bestFit="1" customWidth="1"/>
    <col min="6" max="6" width="14.33203125" bestFit="1" customWidth="1"/>
    <col min="7" max="7" width="16" bestFit="1" customWidth="1"/>
    <col min="8" max="8" width="18.33203125" bestFit="1" customWidth="1"/>
    <col min="9" max="9" width="21.44140625" bestFit="1" customWidth="1"/>
    <col min="10" max="10" width="23.109375" bestFit="1" customWidth="1"/>
    <col min="11" max="11" width="22" bestFit="1" customWidth="1"/>
    <col min="12" max="12" width="24.109375" bestFit="1" customWidth="1"/>
    <col min="13" max="13" width="19.88671875" bestFit="1" customWidth="1"/>
    <col min="14" max="14" width="8.33203125" bestFit="1" customWidth="1"/>
    <col min="16" max="16" width="51.88671875" bestFit="1" customWidth="1"/>
    <col min="17" max="17" width="12" bestFit="1" customWidth="1"/>
  </cols>
  <sheetData>
    <row r="1" spans="1:17" x14ac:dyDescent="0.3">
      <c r="A1" s="4" t="s">
        <v>0</v>
      </c>
      <c r="B1" s="4" t="s">
        <v>1</v>
      </c>
      <c r="C1" s="4" t="s">
        <v>2</v>
      </c>
      <c r="D1" s="4" t="s">
        <v>80</v>
      </c>
      <c r="E1" s="4" t="s">
        <v>61</v>
      </c>
      <c r="F1" s="4" t="s">
        <v>5</v>
      </c>
      <c r="G1" s="4" t="s">
        <v>6</v>
      </c>
      <c r="H1" s="4" t="s">
        <v>7</v>
      </c>
      <c r="I1" s="4" t="s">
        <v>8</v>
      </c>
      <c r="J1" s="4" t="s">
        <v>9</v>
      </c>
      <c r="K1" s="4" t="s">
        <v>10</v>
      </c>
      <c r="L1" s="4" t="s">
        <v>11</v>
      </c>
      <c r="M1" s="4" t="s">
        <v>12</v>
      </c>
      <c r="N1" s="4" t="s">
        <v>13</v>
      </c>
      <c r="P1" s="111" t="s">
        <v>14</v>
      </c>
      <c r="Q1" s="111"/>
    </row>
    <row r="2" spans="1:17" x14ac:dyDescent="0.3">
      <c r="A2" t="s">
        <v>15</v>
      </c>
      <c r="B2" t="str">
        <f>VLOOKUP(A2,[39]WRDS!$A$1:$N$100,2,FALSE)</f>
        <v>UEP</v>
      </c>
      <c r="C2" t="str">
        <f>VLOOKUP(A2,[39]WRDS!$A$1:$N$100,3,FALSE)</f>
        <v>AMEREN CP</v>
      </c>
      <c r="D2">
        <f>VLOOKUP(A2,[39]WRDS!$A$1:$N$100,13,FALSE)</f>
        <v>2.79</v>
      </c>
      <c r="E2">
        <f>VLOOKUP(A2,[21]WRDS!$A$1:$N$100,13,FALSE)</f>
        <v>2.1</v>
      </c>
      <c r="F2" s="1">
        <f>D2*(1+I2)^4</f>
        <v>3.1401695798999998</v>
      </c>
      <c r="G2" s="1">
        <f>D2*(1+J2)^4</f>
        <v>3.1401695798999998</v>
      </c>
      <c r="H2" s="2">
        <f t="shared" ref="H2:H53" si="0">((E2/D2)^(1/4)-1)</f>
        <v>-6.8562384038677426E-2</v>
      </c>
      <c r="I2" s="2">
        <f>VLOOKUP(A2,[40]WRDS!$A$1:$O$100,10,FALSE)/100</f>
        <v>0.03</v>
      </c>
      <c r="J2" s="2">
        <f>VLOOKUP(A2,[40]WRDS!$A$1:$O$100,9,FALSE)/100</f>
        <v>0.03</v>
      </c>
      <c r="K2" s="2">
        <f t="shared" ref="K2:K53" si="1">(I2-H2)/(ABS(H2))</f>
        <v>1.4375577136156232</v>
      </c>
      <c r="L2" s="2">
        <f t="shared" ref="L2:L53" si="2">(J2-H2)/(ABS(H2))</f>
        <v>1.4375577136156232</v>
      </c>
      <c r="M2">
        <f>VLOOKUP(A2,[40]WRDS!$A$1:$O$100,8,FALSE)</f>
        <v>1</v>
      </c>
      <c r="N2">
        <f>VLOOKUP(A2,[40]WRDS!$A$1:$O$100,11,FALSE)</f>
        <v>0</v>
      </c>
      <c r="P2" t="s">
        <v>16</v>
      </c>
      <c r="Q2" s="3">
        <f>AVERAGE(H2:H999)</f>
        <v>3.1323446658706115E-2</v>
      </c>
    </row>
    <row r="3" spans="1:17" x14ac:dyDescent="0.3">
      <c r="A3" t="s">
        <v>17</v>
      </c>
      <c r="B3" t="str">
        <f>VLOOKUP(A3,[39]WRDS!$A$1:$N$100,2,FALSE)</f>
        <v>MPL</v>
      </c>
      <c r="C3" t="str">
        <f>VLOOKUP(A3,[39]WRDS!$A$1:$N$100,3,FALSE)</f>
        <v>ALLETE INC</v>
      </c>
      <c r="D3">
        <f>VLOOKUP(A3,[39]WRDS!$A$1:$N$100,13,FALSE)</f>
        <v>2.04</v>
      </c>
      <c r="E3">
        <f>VLOOKUP(A3,[21]WRDS!$A$1:$N$100,13,FALSE)</f>
        <v>2.63</v>
      </c>
      <c r="F3" s="1">
        <f t="shared" ref="F3:F53" si="3">D3*(1+I3)^4</f>
        <v>2.4796327499999999</v>
      </c>
      <c r="G3" s="1">
        <f t="shared" ref="G3:G53" si="4">D3*(1+J3)^4</f>
        <v>2.4796327499999999</v>
      </c>
      <c r="H3" s="2">
        <f t="shared" si="0"/>
        <v>6.5568553307345345E-2</v>
      </c>
      <c r="I3" s="2">
        <f>VLOOKUP(A3,[40]WRDS!$A$1:$O$100,10,FALSE)/100</f>
        <v>0.05</v>
      </c>
      <c r="J3" s="2">
        <f>VLOOKUP(A3,[40]WRDS!$A$1:$O$100,9,FALSE)/100</f>
        <v>0.05</v>
      </c>
      <c r="K3" s="2">
        <f t="shared" si="1"/>
        <v>-0.23743932909987309</v>
      </c>
      <c r="L3" s="2">
        <f t="shared" si="2"/>
        <v>-0.23743932909987309</v>
      </c>
      <c r="M3">
        <f>VLOOKUP(A3,[40]WRDS!$A$1:$O$100,8,FALSE)</f>
        <v>1</v>
      </c>
      <c r="N3">
        <f>VLOOKUP(A3,[40]WRDS!$A$1:$O$100,11,FALSE)</f>
        <v>0</v>
      </c>
      <c r="P3" t="s">
        <v>18</v>
      </c>
      <c r="Q3" s="3">
        <f>AVERAGE(I2:I999)</f>
        <v>6.0336538461538462E-2</v>
      </c>
    </row>
    <row r="4" spans="1:17" x14ac:dyDescent="0.3">
      <c r="A4" t="s">
        <v>63</v>
      </c>
      <c r="B4" t="str">
        <f>VLOOKUP(A4,[39]WRDS!$A$1:$N$100,2,FALSE)</f>
        <v>WWP</v>
      </c>
      <c r="C4" t="str">
        <f>VLOOKUP(A4,[39]WRDS!$A$1:$N$100,3,FALSE)</f>
        <v>AVISTA CORP</v>
      </c>
      <c r="D4">
        <f>VLOOKUP(A4,[39]WRDS!$A$1:$N$100,13,FALSE)</f>
        <v>1.58</v>
      </c>
      <c r="E4">
        <f>VLOOKUP(A4,[21]WRDS!$A$1:$N$100,13,FALSE)</f>
        <v>1.85</v>
      </c>
      <c r="F4" s="1">
        <f t="shared" si="3"/>
        <v>1.9204998750000002</v>
      </c>
      <c r="G4" s="1">
        <f t="shared" si="4"/>
        <v>1.9204998750000002</v>
      </c>
      <c r="H4" s="2">
        <f t="shared" si="0"/>
        <v>4.0228289306047271E-2</v>
      </c>
      <c r="I4" s="2">
        <f>VLOOKUP(A4,[40]WRDS!$A$1:$O$100,10,FALSE)/100</f>
        <v>0.05</v>
      </c>
      <c r="J4" s="2">
        <f>VLOOKUP(A4,[40]WRDS!$A$1:$O$100,9,FALSE)/100</f>
        <v>0.05</v>
      </c>
      <c r="K4" s="2">
        <f t="shared" si="1"/>
        <v>0.24290644376179851</v>
      </c>
      <c r="L4" s="2">
        <f t="shared" si="2"/>
        <v>0.24290644376179851</v>
      </c>
      <c r="M4">
        <f>VLOOKUP(A4,[40]WRDS!$A$1:$O$100,8,FALSE)</f>
        <v>1</v>
      </c>
      <c r="N4">
        <f>VLOOKUP(A4,[40]WRDS!$A$1:$O$100,11,FALSE)</f>
        <v>0</v>
      </c>
      <c r="P4" t="s">
        <v>20</v>
      </c>
      <c r="Q4" s="3">
        <f>(Q3-Q2)/ABS(Q2)</f>
        <v>0.92624199753472458</v>
      </c>
    </row>
    <row r="5" spans="1:17" x14ac:dyDescent="0.3">
      <c r="A5" t="s">
        <v>21</v>
      </c>
      <c r="B5" t="str">
        <f>VLOOKUP(A5,[39]WRDS!$A$1:$N$100,2,FALSE)</f>
        <v>CMS</v>
      </c>
      <c r="C5" t="str">
        <f>VLOOKUP(A5,[39]WRDS!$A$1:$N$100,3,FALSE)</f>
        <v>CMS ENERGY CORP</v>
      </c>
      <c r="D5">
        <f>VLOOKUP(A5,[39]WRDS!$A$1:$N$100,13,FALSE)</f>
        <v>1.26</v>
      </c>
      <c r="E5">
        <f>VLOOKUP(A5,[21]WRDS!$A$1:$N$100,13,FALSE)</f>
        <v>1.66</v>
      </c>
      <c r="F5" s="1">
        <f t="shared" si="3"/>
        <v>1.5461761258617188</v>
      </c>
      <c r="G5" s="1">
        <f t="shared" si="4"/>
        <v>1.5315378749999999</v>
      </c>
      <c r="H5" s="2">
        <f t="shared" si="0"/>
        <v>7.1357429716594423E-2</v>
      </c>
      <c r="I5" s="2">
        <f>VLOOKUP(A5,[40]WRDS!$A$1:$O$100,10,FALSE)/100</f>
        <v>5.2499999999999998E-2</v>
      </c>
      <c r="J5" s="2">
        <f>VLOOKUP(A5,[40]WRDS!$A$1:$O$100,9,FALSE)/100</f>
        <v>0.05</v>
      </c>
      <c r="K5" s="2">
        <f t="shared" si="1"/>
        <v>-0.26426722194856556</v>
      </c>
      <c r="L5" s="2">
        <f t="shared" si="2"/>
        <v>-0.29930211614149094</v>
      </c>
      <c r="M5">
        <f>VLOOKUP(A5,[40]WRDS!$A$1:$O$100,8,FALSE)</f>
        <v>4</v>
      </c>
      <c r="N5">
        <f>VLOOKUP(A5,[40]WRDS!$A$1:$O$100,11,FALSE)</f>
        <v>1.26</v>
      </c>
      <c r="P5" t="s">
        <v>22</v>
      </c>
      <c r="Q5" s="3">
        <f>AVERAGE(J2:J999)</f>
        <v>5.7205769230769227E-2</v>
      </c>
    </row>
    <row r="6" spans="1:17" x14ac:dyDescent="0.3">
      <c r="A6" t="s">
        <v>71</v>
      </c>
      <c r="B6" t="str">
        <f>VLOOKUP(A6,[39]WRDS!$A$1:$N$100,2,FALSE)</f>
        <v>CNL</v>
      </c>
      <c r="C6" t="str">
        <f>VLOOKUP(A6,[39]WRDS!$A$1:$N$100,3,FALSE)</f>
        <v>CLECO CORP</v>
      </c>
      <c r="D6">
        <f>VLOOKUP(A6,[39]WRDS!$A$1:$N$100,13,FALSE)</f>
        <v>1.73</v>
      </c>
      <c r="E6">
        <f>VLOOKUP(A6,[21]WRDS!$A$1:$N$100,13,FALSE)</f>
        <v>2.5299999999999998</v>
      </c>
      <c r="F6" s="1">
        <f t="shared" si="3"/>
        <v>2.4420361853000006</v>
      </c>
      <c r="G6" s="1">
        <f t="shared" si="4"/>
        <v>2.4420361853000006</v>
      </c>
      <c r="H6" s="2">
        <f t="shared" si="0"/>
        <v>9.9685768019578846E-2</v>
      </c>
      <c r="I6" s="2">
        <f>VLOOKUP(A6,[40]WRDS!$A$1:$O$100,10,FALSE)/100</f>
        <v>0.09</v>
      </c>
      <c r="J6" s="2">
        <f>VLOOKUP(A6,[40]WRDS!$A$1:$O$100,9,FALSE)/100</f>
        <v>0.09</v>
      </c>
      <c r="K6" s="2">
        <f t="shared" si="1"/>
        <v>-9.7162997406776364E-2</v>
      </c>
      <c r="L6" s="2">
        <f t="shared" si="2"/>
        <v>-9.7162997406776364E-2</v>
      </c>
      <c r="M6">
        <f>VLOOKUP(A6,[40]WRDS!$A$1:$O$100,8,FALSE)</f>
        <v>1</v>
      </c>
      <c r="N6">
        <f>VLOOKUP(A6,[40]WRDS!$A$1:$O$100,11,FALSE)</f>
        <v>0</v>
      </c>
      <c r="P6" t="s">
        <v>24</v>
      </c>
      <c r="Q6" s="3">
        <f>(Q5-Q2)/ABS(Q2)</f>
        <v>0.82629229324830111</v>
      </c>
    </row>
    <row r="7" spans="1:17" x14ac:dyDescent="0.3">
      <c r="A7" t="s">
        <v>23</v>
      </c>
      <c r="B7" t="str">
        <f>VLOOKUP(A7,[39]WRDS!$A$1:$N$100,2,FALSE)</f>
        <v>HOU</v>
      </c>
      <c r="C7" t="str">
        <f>VLOOKUP(A7,[39]WRDS!$A$1:$N$100,3,FALSE)</f>
        <v>CENTERPOINT ENER</v>
      </c>
      <c r="D7">
        <f>VLOOKUP(A7,[39]WRDS!$A$1:$N$100,13,FALSE)</f>
        <v>1.01</v>
      </c>
      <c r="E7">
        <f>VLOOKUP(A7,[21]WRDS!$A$1:$N$100,13,FALSE)</f>
        <v>1.2</v>
      </c>
      <c r="F7" s="1">
        <f t="shared" si="3"/>
        <v>2.2892837455394091</v>
      </c>
      <c r="G7" s="1">
        <f t="shared" si="4"/>
        <v>2.2892837455394091</v>
      </c>
      <c r="H7" s="2">
        <f t="shared" si="0"/>
        <v>4.4034783553277723E-2</v>
      </c>
      <c r="I7" s="2">
        <f>VLOOKUP(A7,[40]WRDS!$A$1:$O$100,10,FALSE)/100</f>
        <v>0.22699999999999998</v>
      </c>
      <c r="J7" s="2">
        <f>VLOOKUP(A7,[40]WRDS!$A$1:$O$100,9,FALSE)/100</f>
        <v>0.22699999999999998</v>
      </c>
      <c r="K7" s="2">
        <f t="shared" si="1"/>
        <v>4.1550156872090103</v>
      </c>
      <c r="L7" s="2">
        <f t="shared" si="2"/>
        <v>4.1550156872090103</v>
      </c>
      <c r="M7">
        <f>VLOOKUP(A7,[40]WRDS!$A$1:$O$100,8,FALSE)</f>
        <v>2</v>
      </c>
      <c r="N7">
        <f>VLOOKUP(A7,[40]WRDS!$A$1:$O$100,11,FALSE)</f>
        <v>3.25</v>
      </c>
      <c r="P7" s="111" t="s">
        <v>26</v>
      </c>
      <c r="Q7" s="111"/>
    </row>
    <row r="8" spans="1:17" x14ac:dyDescent="0.3">
      <c r="A8" t="s">
        <v>25</v>
      </c>
      <c r="B8" t="str">
        <f>VLOOKUP(A8,[39]WRDS!$A$1:$N$100,2,FALSE)</f>
        <v>D</v>
      </c>
      <c r="C8" t="str">
        <f>VLOOKUP(A8,[39]WRDS!$A$1:$N$100,3,FALSE)</f>
        <v>DOMINION RES INC</v>
      </c>
      <c r="D8">
        <f>VLOOKUP(A8,[39]WRDS!$A$1:$N$100,13,FALSE)</f>
        <v>3.27</v>
      </c>
      <c r="E8">
        <f>VLOOKUP(A8,[21]WRDS!$A$1:$N$100,13,FALSE)</f>
        <v>3.25</v>
      </c>
      <c r="F8" s="1">
        <f t="shared" si="3"/>
        <v>4.0663375360819209</v>
      </c>
      <c r="G8" s="1">
        <f t="shared" si="4"/>
        <v>3.9747054374999999</v>
      </c>
      <c r="H8" s="2">
        <f t="shared" si="0"/>
        <v>-1.5325715528269335E-3</v>
      </c>
      <c r="I8" s="2">
        <f>VLOOKUP(A8,[40]WRDS!$A$1:$O$100,10,FALSE)/100</f>
        <v>5.5999999999999994E-2</v>
      </c>
      <c r="J8" s="2">
        <f>VLOOKUP(A8,[40]WRDS!$A$1:$O$100,9,FALSE)/100</f>
        <v>0.05</v>
      </c>
      <c r="K8" s="2">
        <f t="shared" si="1"/>
        <v>37.539892637772212</v>
      </c>
      <c r="L8" s="2">
        <f t="shared" si="2"/>
        <v>33.624904140868054</v>
      </c>
      <c r="M8">
        <f>VLOOKUP(A8,[40]WRDS!$A$1:$O$100,8,FALSE)</f>
        <v>3</v>
      </c>
      <c r="N8">
        <f>VLOOKUP(A8,[40]WRDS!$A$1:$O$100,11,FALSE)</f>
        <v>5.92</v>
      </c>
      <c r="P8" t="s">
        <v>28</v>
      </c>
      <c r="Q8" s="2">
        <f>MEDIAN(H2:H99)</f>
        <v>5.6536470546824424E-2</v>
      </c>
    </row>
    <row r="9" spans="1:17" x14ac:dyDescent="0.3">
      <c r="A9" t="s">
        <v>27</v>
      </c>
      <c r="B9" t="str">
        <f>VLOOKUP(A9,[39]WRDS!$A$1:$N$100,2,FALSE)</f>
        <v>DTE</v>
      </c>
      <c r="C9" t="str">
        <f>VLOOKUP(A9,[39]WRDS!$A$1:$N$100,3,FALSE)</f>
        <v>DTE ENERGY</v>
      </c>
      <c r="D9">
        <f>VLOOKUP(A9,[39]WRDS!$A$1:$N$100,13,FALSE)</f>
        <v>3.3</v>
      </c>
      <c r="E9">
        <f>VLOOKUP(A9,[21]WRDS!$A$1:$N$100,13,FALSE)</f>
        <v>4.09</v>
      </c>
      <c r="F9" s="1">
        <f t="shared" si="3"/>
        <v>3.7141790729999995</v>
      </c>
      <c r="G9" s="1">
        <f t="shared" si="4"/>
        <v>3.7141790729999995</v>
      </c>
      <c r="H9" s="2">
        <f t="shared" si="0"/>
        <v>5.512118264254684E-2</v>
      </c>
      <c r="I9" s="2">
        <f>VLOOKUP(A9,[40]WRDS!$A$1:$O$100,10,FALSE)/100</f>
        <v>0.03</v>
      </c>
      <c r="J9" s="2">
        <f>VLOOKUP(A9,[40]WRDS!$A$1:$O$100,9,FALSE)/100</f>
        <v>0.03</v>
      </c>
      <c r="K9" s="2">
        <f t="shared" si="1"/>
        <v>-0.45574462372213959</v>
      </c>
      <c r="L9" s="2">
        <f t="shared" si="2"/>
        <v>-0.45574462372213959</v>
      </c>
      <c r="M9">
        <f>VLOOKUP(A9,[40]WRDS!$A$1:$O$100,8,FALSE)</f>
        <v>2</v>
      </c>
      <c r="N9">
        <f>VLOOKUP(A9,[40]WRDS!$A$1:$O$100,11,FALSE)</f>
        <v>2.83</v>
      </c>
      <c r="P9" t="s">
        <v>30</v>
      </c>
      <c r="Q9" s="2">
        <f>MEDIAN(I2:I100)</f>
        <v>5.4150000000000004E-2</v>
      </c>
    </row>
    <row r="10" spans="1:17" x14ac:dyDescent="0.3">
      <c r="A10" t="s">
        <v>29</v>
      </c>
      <c r="B10" t="str">
        <f>VLOOKUP(A10,[39]WRDS!$A$1:$N$100,2,FALSE)</f>
        <v>DUK</v>
      </c>
      <c r="C10" t="str">
        <f>VLOOKUP(A10,[39]WRDS!$A$1:$N$100,3,FALSE)</f>
        <v>DUKE ENERGY CORP</v>
      </c>
      <c r="D10">
        <f>VLOOKUP(A10,[39]WRDS!$A$1:$N$100,13,FALSE)</f>
        <v>3.66</v>
      </c>
      <c r="E10">
        <f>VLOOKUP(A10,[21]WRDS!$A$1:$N$100,13,FALSE)</f>
        <v>4.3499999999999996</v>
      </c>
      <c r="F10" s="1">
        <f t="shared" si="3"/>
        <v>4.1999341822874987</v>
      </c>
      <c r="G10" s="1">
        <f t="shared" si="4"/>
        <v>4.2816823296000006</v>
      </c>
      <c r="H10" s="2">
        <f t="shared" si="0"/>
        <v>4.4123914452928847E-2</v>
      </c>
      <c r="I10" s="2">
        <f>VLOOKUP(A10,[40]WRDS!$A$1:$O$100,10,FALSE)/100</f>
        <v>3.5000000000000003E-2</v>
      </c>
      <c r="J10" s="2">
        <f>VLOOKUP(A10,[40]WRDS!$A$1:$O$100,9,FALSE)/100</f>
        <v>0.04</v>
      </c>
      <c r="K10" s="2">
        <f t="shared" si="1"/>
        <v>-0.20677935233199191</v>
      </c>
      <c r="L10" s="2">
        <f t="shared" si="2"/>
        <v>-9.3462116950847968E-2</v>
      </c>
      <c r="M10">
        <f>VLOOKUP(A10,[40]WRDS!$A$1:$O$100,8,FALSE)</f>
        <v>4</v>
      </c>
      <c r="N10">
        <f>VLOOKUP(A10,[40]WRDS!$A$1:$O$100,11,FALSE)</f>
        <v>1.73</v>
      </c>
      <c r="P10" t="s">
        <v>32</v>
      </c>
      <c r="Q10" s="2">
        <f>(Q9-Q8)/ABS(Q8)</f>
        <v>-4.221116959977024E-2</v>
      </c>
    </row>
    <row r="11" spans="1:17" x14ac:dyDescent="0.3">
      <c r="A11" t="s">
        <v>31</v>
      </c>
      <c r="B11" t="str">
        <f>VLOOKUP(A11,[39]WRDS!$A$1:$N$100,2,FALSE)</f>
        <v>ED</v>
      </c>
      <c r="C11" t="str">
        <f>VLOOKUP(A11,[39]WRDS!$A$1:$N$100,3,FALSE)</f>
        <v>CONSOLIDATED EDI</v>
      </c>
      <c r="D11">
        <f>VLOOKUP(A11,[39]WRDS!$A$1:$N$100,13,FALSE)</f>
        <v>3.07</v>
      </c>
      <c r="E11">
        <f>VLOOKUP(A11,[21]WRDS!$A$1:$N$100,13,FALSE)</f>
        <v>3.8</v>
      </c>
      <c r="F11" s="1">
        <f t="shared" si="3"/>
        <v>3.5543147763985035</v>
      </c>
      <c r="G11" s="1">
        <f t="shared" si="4"/>
        <v>3.5914657792000004</v>
      </c>
      <c r="H11" s="2">
        <f t="shared" si="0"/>
        <v>5.4778588606722023E-2</v>
      </c>
      <c r="I11" s="2">
        <f>VLOOKUP(A11,[40]WRDS!$A$1:$O$100,10,FALSE)/100</f>
        <v>3.73E-2</v>
      </c>
      <c r="J11" s="2">
        <f>VLOOKUP(A11,[40]WRDS!$A$1:$O$100,9,FALSE)/100</f>
        <v>0.04</v>
      </c>
      <c r="K11" s="2">
        <f t="shared" si="1"/>
        <v>-0.31907701624457663</v>
      </c>
      <c r="L11" s="2">
        <f t="shared" si="2"/>
        <v>-0.26978768498077921</v>
      </c>
      <c r="M11">
        <f>VLOOKUP(A11,[40]WRDS!$A$1:$O$100,8,FALSE)</f>
        <v>4</v>
      </c>
      <c r="N11">
        <f>VLOOKUP(A11,[40]WRDS!$A$1:$O$100,11,FALSE)</f>
        <v>1.23</v>
      </c>
      <c r="P11" t="s">
        <v>34</v>
      </c>
      <c r="Q11" s="2">
        <f>MEDIAN(J2:J99)</f>
        <v>0.05</v>
      </c>
    </row>
    <row r="12" spans="1:17" x14ac:dyDescent="0.3">
      <c r="A12" t="s">
        <v>33</v>
      </c>
      <c r="B12" t="str">
        <f>VLOOKUP(A12,[39]WRDS!$A$1:$N$100,2,FALSE)</f>
        <v>SCE</v>
      </c>
      <c r="C12" t="str">
        <f>VLOOKUP(A12,[39]WRDS!$A$1:$N$100,3,FALSE)</f>
        <v>EDISON INTL</v>
      </c>
      <c r="D12">
        <f>VLOOKUP(A12,[39]WRDS!$A$1:$N$100,13,FALSE)</f>
        <v>3.25</v>
      </c>
      <c r="E12">
        <f>VLOOKUP(A12,[21]WRDS!$A$1:$N$100,13,FALSE)</f>
        <v>3.8</v>
      </c>
      <c r="F12" s="1">
        <f t="shared" si="3"/>
        <v>3.3859829970300366</v>
      </c>
      <c r="G12" s="1">
        <f t="shared" si="4"/>
        <v>3.3819630324999999</v>
      </c>
      <c r="H12" s="2">
        <f t="shared" si="0"/>
        <v>3.9860445986141579E-2</v>
      </c>
      <c r="I12" s="2">
        <f>VLOOKUP(A12,[40]WRDS!$A$1:$O$100,10,FALSE)/100</f>
        <v>1.03E-2</v>
      </c>
      <c r="J12" s="2">
        <f>VLOOKUP(A12,[40]WRDS!$A$1:$O$100,9,FALSE)/100</f>
        <v>0.01</v>
      </c>
      <c r="K12" s="2">
        <f t="shared" si="1"/>
        <v>-0.74159847575260351</v>
      </c>
      <c r="L12" s="2">
        <f t="shared" si="2"/>
        <v>-0.74912473374039179</v>
      </c>
      <c r="M12">
        <f>VLOOKUP(A12,[40]WRDS!$A$1:$O$100,8,FALSE)</f>
        <v>3</v>
      </c>
      <c r="N12">
        <f>VLOOKUP(A12,[40]WRDS!$A$1:$O$100,11,FALSE)</f>
        <v>3.95</v>
      </c>
      <c r="P12" t="s">
        <v>32</v>
      </c>
      <c r="Q12" s="2">
        <f>(Q11-Q8)/ABS(Q8)</f>
        <v>-0.11561511505057272</v>
      </c>
    </row>
    <row r="13" spans="1:17" x14ac:dyDescent="0.3">
      <c r="A13" t="s">
        <v>59</v>
      </c>
      <c r="B13" t="str">
        <f>VLOOKUP(A13,[39]WRDS!$A$1:$N$100,2,FALSE)</f>
        <v>MSU</v>
      </c>
      <c r="C13" t="str">
        <f>VLOOKUP(A13,[39]WRDS!$A$1:$N$100,3,FALSE)</f>
        <v>ENTERGY CP</v>
      </c>
      <c r="D13">
        <f>VLOOKUP(A13,[39]WRDS!$A$1:$N$100,13,FALSE)</f>
        <v>6.67</v>
      </c>
      <c r="E13">
        <f>VLOOKUP(A13,[21]WRDS!$A$1:$N$100,13,FALSE)</f>
        <v>5.36</v>
      </c>
      <c r="F13" s="1">
        <f t="shared" si="3"/>
        <v>8.6713257224197271</v>
      </c>
      <c r="G13" s="1">
        <f t="shared" si="4"/>
        <v>8.1074266875000003</v>
      </c>
      <c r="H13" s="2">
        <f t="shared" si="0"/>
        <v>-5.3196752346301945E-2</v>
      </c>
      <c r="I13" s="2">
        <f>VLOOKUP(A13,[40]WRDS!$A$1:$O$100,10,FALSE)/100</f>
        <v>6.7799999999999999E-2</v>
      </c>
      <c r="J13" s="2">
        <f>VLOOKUP(A13,[40]WRDS!$A$1:$O$100,9,FALSE)/100</f>
        <v>0.05</v>
      </c>
      <c r="K13" s="2">
        <f t="shared" si="1"/>
        <v>2.2745138943564327</v>
      </c>
      <c r="L13" s="2">
        <f t="shared" si="2"/>
        <v>1.9399070017377824</v>
      </c>
      <c r="M13">
        <f>VLOOKUP(A13,[40]WRDS!$A$1:$O$100,8,FALSE)</f>
        <v>4</v>
      </c>
      <c r="N13">
        <f>VLOOKUP(A13,[40]WRDS!$A$1:$O$100,11,FALSE)</f>
        <v>5.79</v>
      </c>
      <c r="P13" s="111" t="s">
        <v>37</v>
      </c>
      <c r="Q13" s="111"/>
    </row>
    <row r="14" spans="1:17" x14ac:dyDescent="0.3">
      <c r="A14" t="s">
        <v>35</v>
      </c>
      <c r="B14" t="str">
        <f>VLOOKUP(A14,[39]WRDS!$A$1:$N$100,2,FALSE)</f>
        <v>PE</v>
      </c>
      <c r="C14" t="str">
        <f>VLOOKUP(A14,[39]WRDS!$A$1:$N$100,3,FALSE)</f>
        <v>EXELON CORP</v>
      </c>
      <c r="D14">
        <f>VLOOKUP(A14,[39]WRDS!$A$1:$N$100,13,FALSE)</f>
        <v>4.12</v>
      </c>
      <c r="E14">
        <f>VLOOKUP(A14,[21]WRDS!$A$1:$N$100,13,FALSE)</f>
        <v>2.5</v>
      </c>
      <c r="F14" s="1">
        <f t="shared" si="3"/>
        <v>4.4947009241747207</v>
      </c>
      <c r="G14" s="1">
        <f t="shared" si="4"/>
        <v>4.2872885211999998</v>
      </c>
      <c r="H14" s="2">
        <f t="shared" si="0"/>
        <v>-0.11740655392066568</v>
      </c>
      <c r="I14" s="2">
        <f>VLOOKUP(A14,[40]WRDS!$A$1:$O$100,10,FALSE)/100</f>
        <v>2.2000000000000002E-2</v>
      </c>
      <c r="J14" s="2">
        <f>VLOOKUP(A14,[40]WRDS!$A$1:$O$100,9,FALSE)/100</f>
        <v>0.01</v>
      </c>
      <c r="K14" s="2">
        <f t="shared" si="1"/>
        <v>1.1873830656410025</v>
      </c>
      <c r="L14" s="2">
        <f t="shared" si="2"/>
        <v>1.0851741207459102</v>
      </c>
      <c r="M14">
        <f>VLOOKUP(A14,[40]WRDS!$A$1:$O$100,8,FALSE)</f>
        <v>4</v>
      </c>
      <c r="N14">
        <f>VLOOKUP(A14,[40]WRDS!$A$1:$O$100,11,FALSE)</f>
        <v>6.41</v>
      </c>
      <c r="P14" t="s">
        <v>39</v>
      </c>
      <c r="Q14" s="1">
        <f>AVERAGE(M2:M1002)</f>
        <v>2.6538461538461537</v>
      </c>
    </row>
    <row r="15" spans="1:17" x14ac:dyDescent="0.3">
      <c r="A15" t="s">
        <v>67</v>
      </c>
      <c r="B15" t="str">
        <f>VLOOKUP(A15,[39]WRDS!$A$1:$N$100,2,FALSE)</f>
        <v>OEC</v>
      </c>
      <c r="C15" t="str">
        <f>VLOOKUP(A15,[39]WRDS!$A$1:$N$100,3,FALSE)</f>
        <v>FIRSTENERGY CORP</v>
      </c>
      <c r="D15">
        <f>VLOOKUP(A15,[39]WRDS!$A$1:$N$100,13,FALSE)</f>
        <v>3.77</v>
      </c>
      <c r="E15">
        <f>VLOOKUP(A15,[21]WRDS!$A$1:$N$100,13,FALSE)</f>
        <v>3.04</v>
      </c>
      <c r="F15" s="1">
        <f t="shared" si="3"/>
        <v>4.2978085721695729</v>
      </c>
      <c r="G15" s="1">
        <f t="shared" si="4"/>
        <v>4.2431682136999997</v>
      </c>
      <c r="H15" s="2">
        <f t="shared" si="0"/>
        <v>-5.2382530655717741E-2</v>
      </c>
      <c r="I15" s="2">
        <f>VLOOKUP(A15,[40]WRDS!$A$1:$O$100,10,FALSE)/100</f>
        <v>3.3300000000000003E-2</v>
      </c>
      <c r="J15" s="2">
        <f>VLOOKUP(A15,[40]WRDS!$A$1:$O$100,9,FALSE)/100</f>
        <v>0.03</v>
      </c>
      <c r="K15" s="2">
        <f t="shared" si="1"/>
        <v>1.6357081183966278</v>
      </c>
      <c r="L15" s="2">
        <f t="shared" si="2"/>
        <v>1.5727100165735386</v>
      </c>
      <c r="M15">
        <f>VLOOKUP(A15,[40]WRDS!$A$1:$O$100,8,FALSE)</f>
        <v>3</v>
      </c>
      <c r="N15">
        <f>VLOOKUP(A15,[40]WRDS!$A$1:$O$100,11,FALSE)</f>
        <v>2.52</v>
      </c>
      <c r="P15" t="s">
        <v>41</v>
      </c>
      <c r="Q15" s="1">
        <f>COUNT(N2:N1002)</f>
        <v>52</v>
      </c>
    </row>
    <row r="16" spans="1:17" x14ac:dyDescent="0.3">
      <c r="A16" t="s">
        <v>68</v>
      </c>
      <c r="B16" t="str">
        <f>VLOOKUP(A16,[39]WRDS!$A$1:$N$100,2,FALSE)</f>
        <v>KLT</v>
      </c>
      <c r="C16" t="str">
        <f>VLOOKUP(A16,[39]WRDS!$A$1:$N$100,3,FALSE)</f>
        <v>GREAT PLAINS</v>
      </c>
      <c r="D16">
        <f>VLOOKUP(A16,[39]WRDS!$A$1:$N$100,13,FALSE)</f>
        <v>1.1299999999999999</v>
      </c>
      <c r="E16">
        <f>VLOOKUP(A16,[21]WRDS!$A$1:$N$100,13,FALSE)</f>
        <v>1.62</v>
      </c>
      <c r="F16" s="1">
        <f t="shared" si="3"/>
        <v>1.3735220625</v>
      </c>
      <c r="G16" s="1">
        <f t="shared" si="4"/>
        <v>1.3735220625</v>
      </c>
      <c r="H16" s="2">
        <f t="shared" si="0"/>
        <v>9.4231323545405976E-2</v>
      </c>
      <c r="I16" s="2">
        <f>VLOOKUP(A16,[40]WRDS!$A$1:$O$100,10,FALSE)/100</f>
        <v>0.05</v>
      </c>
      <c r="J16" s="2">
        <f>VLOOKUP(A16,[40]WRDS!$A$1:$O$100,9,FALSE)/100</f>
        <v>0.05</v>
      </c>
      <c r="K16" s="2">
        <f t="shared" si="1"/>
        <v>-0.46939087642224214</v>
      </c>
      <c r="L16" s="2">
        <f t="shared" si="2"/>
        <v>-0.46939087642224214</v>
      </c>
      <c r="M16">
        <f>VLOOKUP(A16,[40]WRDS!$A$1:$O$100,8,FALSE)</f>
        <v>2</v>
      </c>
      <c r="N16">
        <f>VLOOKUP(A16,[40]WRDS!$A$1:$O$100,11,FALSE)</f>
        <v>4.24</v>
      </c>
    </row>
    <row r="17" spans="1:14" x14ac:dyDescent="0.3">
      <c r="A17" t="s">
        <v>36</v>
      </c>
      <c r="B17" t="str">
        <f>VLOOKUP(A17,[39]WRDS!$A$1:$N$100,2,FALSE)</f>
        <v>HE</v>
      </c>
      <c r="C17" t="str">
        <f>VLOOKUP(A17,[39]WRDS!$A$1:$N$100,3,FALSE)</f>
        <v>HAWAIIAN ELEC</v>
      </c>
      <c r="D17">
        <f>VLOOKUP(A17,[39]WRDS!$A$1:$N$100,13,FALSE)</f>
        <v>1.1200000000000001</v>
      </c>
      <c r="E17">
        <f>VLOOKUP(A17,[21]WRDS!$A$1:$N$100,13,FALSE)</f>
        <v>1.62</v>
      </c>
      <c r="F17" s="1">
        <f t="shared" si="3"/>
        <v>1.6716244039575894</v>
      </c>
      <c r="G17" s="1">
        <f t="shared" si="4"/>
        <v>1.5867811220363202</v>
      </c>
      <c r="H17" s="2">
        <f t="shared" si="0"/>
        <v>9.6665668563536977E-2</v>
      </c>
      <c r="I17" s="2">
        <f>VLOOKUP(A17,[40]WRDS!$A$1:$O$100,10,FALSE)/100</f>
        <v>0.10529999999999999</v>
      </c>
      <c r="J17" s="2">
        <f>VLOOKUP(A17,[40]WRDS!$A$1:$O$100,9,FALSE)/100</f>
        <v>9.0999999999999998E-2</v>
      </c>
      <c r="K17" s="2">
        <f t="shared" si="1"/>
        <v>8.9321592296108615E-2</v>
      </c>
      <c r="L17" s="2">
        <f t="shared" si="2"/>
        <v>-5.8610969620646818E-2</v>
      </c>
      <c r="M17">
        <f>VLOOKUP(A17,[40]WRDS!$A$1:$O$100,8,FALSE)</f>
        <v>3</v>
      </c>
      <c r="N17">
        <f>VLOOKUP(A17,[40]WRDS!$A$1:$O$100,11,FALSE)</f>
        <v>8.34</v>
      </c>
    </row>
    <row r="18" spans="1:14" x14ac:dyDescent="0.3">
      <c r="A18" t="s">
        <v>38</v>
      </c>
      <c r="B18" t="str">
        <f>VLOOKUP(A18,[39]WRDS!$A$1:$N$100,2,FALSE)</f>
        <v>IDA</v>
      </c>
      <c r="C18" t="str">
        <f>VLOOKUP(A18,[39]WRDS!$A$1:$N$100,3,FALSE)</f>
        <v>IDACORP INC.</v>
      </c>
      <c r="D18">
        <f>VLOOKUP(A18,[39]WRDS!$A$1:$N$100,13,FALSE)</f>
        <v>2.64</v>
      </c>
      <c r="E18">
        <f>VLOOKUP(A18,[21]WRDS!$A$1:$N$100,13,FALSE)</f>
        <v>3.64</v>
      </c>
      <c r="F18" s="1">
        <f t="shared" si="3"/>
        <v>3.2089365000000001</v>
      </c>
      <c r="G18" s="1">
        <f t="shared" si="4"/>
        <v>3.2089365000000001</v>
      </c>
      <c r="H18" s="2">
        <f t="shared" si="0"/>
        <v>8.3613393263694435E-2</v>
      </c>
      <c r="I18" s="2">
        <f>VLOOKUP(A18,[40]WRDS!$A$1:$O$100,10,FALSE)/100</f>
        <v>0.05</v>
      </c>
      <c r="J18" s="2">
        <f>VLOOKUP(A18,[40]WRDS!$A$1:$O$100,9,FALSE)/100</f>
        <v>0.05</v>
      </c>
      <c r="K18" s="2">
        <f t="shared" si="1"/>
        <v>-0.4020096775367879</v>
      </c>
      <c r="L18" s="2">
        <f t="shared" si="2"/>
        <v>-0.4020096775367879</v>
      </c>
      <c r="M18">
        <f>VLOOKUP(A18,[40]WRDS!$A$1:$O$100,8,FALSE)</f>
        <v>1</v>
      </c>
      <c r="N18">
        <f>VLOOKUP(A18,[40]WRDS!$A$1:$O$100,11,FALSE)</f>
        <v>0</v>
      </c>
    </row>
    <row r="19" spans="1:14" x14ac:dyDescent="0.3">
      <c r="A19" t="s">
        <v>40</v>
      </c>
      <c r="B19" t="str">
        <f>VLOOKUP(A19,[39]WRDS!$A$1:$N$100,2,FALSE)</f>
        <v>WPL</v>
      </c>
      <c r="C19" t="str">
        <f>VLOOKUP(A19,[39]WRDS!$A$1:$N$100,3,FALSE)</f>
        <v>ALLIANT ENER</v>
      </c>
      <c r="D19">
        <f>VLOOKUP(A19,[39]WRDS!$A$1:$N$100,13,FALSE)</f>
        <v>0.98</v>
      </c>
      <c r="E19">
        <f>VLOOKUP(A19,[21]WRDS!$A$1:$N$100,13,FALSE)</f>
        <v>1.655</v>
      </c>
      <c r="F19" s="1">
        <f t="shared" si="3"/>
        <v>1.1597471378649795</v>
      </c>
      <c r="G19" s="1">
        <f t="shared" si="4"/>
        <v>1.1464613888000001</v>
      </c>
      <c r="H19" s="2">
        <f t="shared" si="0"/>
        <v>0.13996884038431556</v>
      </c>
      <c r="I19" s="2">
        <f>VLOOKUP(A19,[40]WRDS!$A$1:$O$100,10,FALSE)/100</f>
        <v>4.2999999999999997E-2</v>
      </c>
      <c r="J19" s="2">
        <f>VLOOKUP(A19,[40]WRDS!$A$1:$O$100,9,FALSE)/100</f>
        <v>0.04</v>
      </c>
      <c r="K19" s="2">
        <f t="shared" si="1"/>
        <v>-0.69278876725752714</v>
      </c>
      <c r="L19" s="2">
        <f t="shared" si="2"/>
        <v>-0.71422210907676942</v>
      </c>
      <c r="M19">
        <f>VLOOKUP(A19,[40]WRDS!$A$1:$O$100,8,FALSE)</f>
        <v>3</v>
      </c>
      <c r="N19">
        <f>VLOOKUP(A19,[40]WRDS!$A$1:$O$100,11,FALSE)</f>
        <v>2.46</v>
      </c>
    </row>
    <row r="20" spans="1:14" x14ac:dyDescent="0.3">
      <c r="A20" t="s">
        <v>73</v>
      </c>
      <c r="B20" t="str">
        <f>VLOOKUP(A20,[39]WRDS!$A$1:$N$100,2,FALSE)</f>
        <v>MDSN</v>
      </c>
      <c r="C20" t="str">
        <f>VLOOKUP(A20,[39]WRDS!$A$1:$N$100,3,FALSE)</f>
        <v>MGE ENERGY INC</v>
      </c>
      <c r="D20">
        <f>VLOOKUP(A20,[39]WRDS!$A$1:$N$100,13,FALSE)</f>
        <v>1.4733000000000001</v>
      </c>
      <c r="E20">
        <f>VLOOKUP(A20,[21]WRDS!$A$1:$N$100,13,FALSE)</f>
        <v>2.16</v>
      </c>
      <c r="F20" s="1">
        <f t="shared" si="3"/>
        <v>1.7908053581250001</v>
      </c>
      <c r="G20" s="1">
        <f t="shared" si="4"/>
        <v>1.7908053581250001</v>
      </c>
      <c r="H20" s="2">
        <f t="shared" si="0"/>
        <v>0.10037481177239105</v>
      </c>
      <c r="I20" s="2">
        <f>VLOOKUP(A20,[40]WRDS!$A$1:$O$100,10,FALSE)/100</f>
        <v>0.05</v>
      </c>
      <c r="J20" s="2">
        <f>VLOOKUP(A20,[40]WRDS!$A$1:$O$100,9,FALSE)/100</f>
        <v>0.05</v>
      </c>
      <c r="K20" s="2">
        <f t="shared" si="1"/>
        <v>-0.50186706089791211</v>
      </c>
      <c r="L20" s="2">
        <f t="shared" si="2"/>
        <v>-0.50186706089791211</v>
      </c>
      <c r="M20">
        <f>VLOOKUP(A20,[40]WRDS!$A$1:$O$100,8,FALSE)</f>
        <v>1</v>
      </c>
      <c r="N20">
        <f>VLOOKUP(A20,[40]WRDS!$A$1:$O$100,11,FALSE)</f>
        <v>0</v>
      </c>
    </row>
    <row r="21" spans="1:14" x14ac:dyDescent="0.3">
      <c r="A21" t="s">
        <v>60</v>
      </c>
      <c r="B21" t="str">
        <f>VLOOKUP(A21,[39]WRDS!$A$1:$N$100,2,FALSE)</f>
        <v>BSE</v>
      </c>
      <c r="C21" t="str">
        <f>VLOOKUP(A21,[39]WRDS!$A$1:$N$100,3,FALSE)</f>
        <v>NSTAR</v>
      </c>
      <c r="D21">
        <f>VLOOKUP(A21,[39]WRDS!$A$1:$N$100,13,FALSE)</f>
        <v>2.35</v>
      </c>
      <c r="E21">
        <f>VLOOKUP(A21,[21]WRDS!$A$1:$N$100,13,FALSE)</f>
        <v>0.08</v>
      </c>
      <c r="F21" s="1">
        <f t="shared" si="3"/>
        <v>2.9112379289687498</v>
      </c>
      <c r="G21" s="1">
        <f t="shared" si="4"/>
        <v>2.9112379289687498</v>
      </c>
      <c r="H21" s="2">
        <f t="shared" si="0"/>
        <v>-0.57045810261887486</v>
      </c>
      <c r="I21" s="2">
        <f>VLOOKUP(A21,[40]WRDS!$A$1:$O$100,10,FALSE)/100</f>
        <v>5.5E-2</v>
      </c>
      <c r="J21" s="2">
        <f>VLOOKUP(A21,[40]WRDS!$A$1:$O$100,9,FALSE)/100</f>
        <v>5.5E-2</v>
      </c>
      <c r="K21" s="2">
        <f t="shared" si="1"/>
        <v>1.0964137414255395</v>
      </c>
      <c r="L21" s="2">
        <f t="shared" si="2"/>
        <v>1.0964137414255395</v>
      </c>
      <c r="M21">
        <f>VLOOKUP(A21,[40]WRDS!$A$1:$O$100,8,FALSE)</f>
        <v>3</v>
      </c>
      <c r="N21">
        <f>VLOOKUP(A21,[40]WRDS!$A$1:$O$100,11,FALSE)</f>
        <v>0.5</v>
      </c>
    </row>
    <row r="22" spans="1:14" x14ac:dyDescent="0.3">
      <c r="A22" t="s">
        <v>78</v>
      </c>
      <c r="B22" t="str">
        <f>VLOOKUP(A22,[39]WRDS!$A$1:$N$100,2,FALSE)</f>
        <v>NU</v>
      </c>
      <c r="C22" t="str">
        <f>VLOOKUP(A22,[39]WRDS!$A$1:$N$100,3,FALSE)</f>
        <v>NORTHEAST UTILS</v>
      </c>
      <c r="D22">
        <f>VLOOKUP(A22,[39]WRDS!$A$1:$N$100,13,FALSE)</f>
        <v>1.91</v>
      </c>
      <c r="E22">
        <f>VLOOKUP(A22,[21]WRDS!$A$1:$N$100,13,FALSE)</f>
        <v>2.4900000000000002</v>
      </c>
      <c r="F22" s="1">
        <f t="shared" si="3"/>
        <v>2.7299182726037894</v>
      </c>
      <c r="G22" s="1">
        <f t="shared" si="4"/>
        <v>2.6961208751000005</v>
      </c>
      <c r="H22" s="2">
        <f t="shared" si="0"/>
        <v>6.8541748528964774E-2</v>
      </c>
      <c r="I22" s="2">
        <f>VLOOKUP(A22,[40]WRDS!$A$1:$O$100,10,FALSE)/100</f>
        <v>9.3399999999999997E-2</v>
      </c>
      <c r="J22" s="2">
        <f>VLOOKUP(A22,[40]WRDS!$A$1:$O$100,9,FALSE)/100</f>
        <v>0.09</v>
      </c>
      <c r="K22" s="2">
        <f t="shared" si="1"/>
        <v>0.36267314453658089</v>
      </c>
      <c r="L22" s="2">
        <f t="shared" si="2"/>
        <v>0.31306834055987454</v>
      </c>
      <c r="M22">
        <f>VLOOKUP(A22,[40]WRDS!$A$1:$O$100,8,FALSE)</f>
        <v>5</v>
      </c>
      <c r="N22">
        <f>VLOOKUP(A22,[40]WRDS!$A$1:$O$100,11,FALSE)</f>
        <v>1.65</v>
      </c>
    </row>
    <row r="23" spans="1:14" x14ac:dyDescent="0.3">
      <c r="A23" t="s">
        <v>43</v>
      </c>
      <c r="B23" t="str">
        <f>VLOOKUP(A23,[39]WRDS!$A$1:$N$100,2,FALSE)</f>
        <v>NWPS</v>
      </c>
      <c r="C23" t="str">
        <f>VLOOKUP(A23,[39]WRDS!$A$1:$N$100,3,FALSE)</f>
        <v>NORTHWESTERN CP</v>
      </c>
      <c r="D23">
        <f>VLOOKUP(A23,[39]WRDS!$A$1:$N$100,13,FALSE)</f>
        <v>2.02</v>
      </c>
      <c r="E23">
        <f>VLOOKUP(A23,[21]WRDS!$A$1:$N$100,13,FALSE)</f>
        <v>2.46</v>
      </c>
      <c r="F23" s="1">
        <f t="shared" si="3"/>
        <v>2.6478079401999999</v>
      </c>
      <c r="G23" s="1">
        <f t="shared" si="4"/>
        <v>2.6478079401999999</v>
      </c>
      <c r="H23" s="2">
        <f t="shared" si="0"/>
        <v>5.0499704105571697E-2</v>
      </c>
      <c r="I23" s="2">
        <f>VLOOKUP(A23,[40]WRDS!$A$1:$O$100,10,FALSE)/100</f>
        <v>7.0000000000000007E-2</v>
      </c>
      <c r="J23" s="2">
        <f>VLOOKUP(A23,[40]WRDS!$A$1:$O$100,9,FALSE)/100</f>
        <v>7.0000000000000007E-2</v>
      </c>
      <c r="K23" s="2">
        <f t="shared" si="1"/>
        <v>0.38614673570486957</v>
      </c>
      <c r="L23" s="2">
        <f t="shared" si="2"/>
        <v>0.38614673570486957</v>
      </c>
      <c r="M23">
        <f>VLOOKUP(A23,[40]WRDS!$A$1:$O$100,8,FALSE)</f>
        <v>3</v>
      </c>
      <c r="N23">
        <f>VLOOKUP(A23,[40]WRDS!$A$1:$O$100,11,FALSE)</f>
        <v>0</v>
      </c>
    </row>
    <row r="24" spans="1:14" x14ac:dyDescent="0.3">
      <c r="A24" t="s">
        <v>44</v>
      </c>
      <c r="B24" t="str">
        <f>VLOOKUP(A24,[39]WRDS!$A$1:$N$100,2,FALSE)</f>
        <v>OGE</v>
      </c>
      <c r="C24" t="str">
        <f>VLOOKUP(A24,[39]WRDS!$A$1:$N$100,3,FALSE)</f>
        <v>OGE ENERGY CORP</v>
      </c>
      <c r="D24">
        <f>VLOOKUP(A24,[39]WRDS!$A$1:$N$100,13,FALSE)</f>
        <v>1.33</v>
      </c>
      <c r="E24">
        <f>VLOOKUP(A24,[21]WRDS!$A$1:$N$100,13,FALSE)</f>
        <v>1.94</v>
      </c>
      <c r="F24" s="1">
        <f t="shared" si="3"/>
        <v>1.6790943568000005</v>
      </c>
      <c r="G24" s="1">
        <f t="shared" si="4"/>
        <v>1.6790943568000005</v>
      </c>
      <c r="H24" s="2">
        <f t="shared" si="0"/>
        <v>9.8974264236848741E-2</v>
      </c>
      <c r="I24" s="2">
        <f>VLOOKUP(A24,[40]WRDS!$A$1:$O$100,10,FALSE)/100</f>
        <v>0.06</v>
      </c>
      <c r="J24" s="2">
        <f>VLOOKUP(A24,[40]WRDS!$A$1:$O$100,9,FALSE)/100</f>
        <v>0.06</v>
      </c>
      <c r="K24" s="2">
        <f t="shared" si="1"/>
        <v>-0.39378180315220146</v>
      </c>
      <c r="L24" s="2">
        <f t="shared" si="2"/>
        <v>-0.39378180315220146</v>
      </c>
      <c r="M24">
        <f>VLOOKUP(A24,[40]WRDS!$A$1:$O$100,8,FALSE)</f>
        <v>1</v>
      </c>
      <c r="N24">
        <f>VLOOKUP(A24,[40]WRDS!$A$1:$O$100,11,FALSE)</f>
        <v>0</v>
      </c>
    </row>
    <row r="25" spans="1:14" x14ac:dyDescent="0.3">
      <c r="A25" t="s">
        <v>69</v>
      </c>
      <c r="B25" t="str">
        <f>VLOOKUP(A25,[39]WRDS!$A$1:$N$100,2,FALSE)</f>
        <v>OTTR</v>
      </c>
      <c r="C25" t="str">
        <f>VLOOKUP(A25,[39]WRDS!$A$1:$N$100,3,FALSE)</f>
        <v>OTTER TAIL CORP.</v>
      </c>
      <c r="D25">
        <f>VLOOKUP(A25,[39]WRDS!$A$1:$N$100,13,FALSE)</f>
        <v>0.71</v>
      </c>
      <c r="E25">
        <f>VLOOKUP(A25,[21]WRDS!$A$1:$N$100,13,FALSE)</f>
        <v>1.56</v>
      </c>
      <c r="F25" s="1">
        <f t="shared" si="3"/>
        <v>0.72142834194175998</v>
      </c>
      <c r="G25" s="1">
        <f t="shared" si="4"/>
        <v>0.72142834194175998</v>
      </c>
      <c r="H25" s="2">
        <f t="shared" si="0"/>
        <v>0.21749325090174909</v>
      </c>
      <c r="I25" s="2">
        <f>VLOOKUP(A25,[40]WRDS!$A$1:$O$100,10,FALSE)/100</f>
        <v>4.0000000000000001E-3</v>
      </c>
      <c r="J25" s="2">
        <f>VLOOKUP(A25,[40]WRDS!$A$1:$O$100,9,FALSE)/100</f>
        <v>4.0000000000000001E-3</v>
      </c>
      <c r="K25" s="2">
        <f t="shared" si="1"/>
        <v>-0.98160862471172972</v>
      </c>
      <c r="L25" s="2">
        <f t="shared" si="2"/>
        <v>-0.98160862471172972</v>
      </c>
      <c r="M25">
        <f>VLOOKUP(A25,[40]WRDS!$A$1:$O$100,8,FALSE)</f>
        <v>1</v>
      </c>
      <c r="N25">
        <f>VLOOKUP(A25,[40]WRDS!$A$1:$O$100,11,FALSE)</f>
        <v>0</v>
      </c>
    </row>
    <row r="26" spans="1:14" x14ac:dyDescent="0.3">
      <c r="A26" t="s">
        <v>45</v>
      </c>
      <c r="B26" t="str">
        <f>VLOOKUP(A26,[39]WRDS!$A$1:$N$100,2,FALSE)</f>
        <v>PCG</v>
      </c>
      <c r="C26" t="str">
        <f>VLOOKUP(A26,[39]WRDS!$A$1:$N$100,3,FALSE)</f>
        <v>P G &amp; E CORP</v>
      </c>
      <c r="D26">
        <f>VLOOKUP(A26,[39]WRDS!$A$1:$N$100,13,FALSE)</f>
        <v>3.21</v>
      </c>
      <c r="E26">
        <f>VLOOKUP(A26,[21]WRDS!$A$1:$N$100,13,FALSE)</f>
        <v>2.72</v>
      </c>
      <c r="F26" s="1">
        <f t="shared" si="3"/>
        <v>4.2328789817686037</v>
      </c>
      <c r="G26" s="1">
        <f t="shared" si="4"/>
        <v>4.2582160093393506</v>
      </c>
      <c r="H26" s="2">
        <f t="shared" si="0"/>
        <v>-4.0564093106065013E-2</v>
      </c>
      <c r="I26" s="2">
        <f>VLOOKUP(A26,[40]WRDS!$A$1:$O$100,10,FALSE)/100</f>
        <v>7.1599999999999997E-2</v>
      </c>
      <c r="J26" s="2">
        <f>VLOOKUP(A26,[40]WRDS!$A$1:$O$100,9,FALSE)/100</f>
        <v>7.3200000000000001E-2</v>
      </c>
      <c r="K26" s="2">
        <f t="shared" si="1"/>
        <v>2.765107870470167</v>
      </c>
      <c r="L26" s="2">
        <f t="shared" si="2"/>
        <v>2.8045516217655897</v>
      </c>
      <c r="M26">
        <f>VLOOKUP(A26,[40]WRDS!$A$1:$O$100,8,FALSE)</f>
        <v>4</v>
      </c>
      <c r="N26">
        <f>VLOOKUP(A26,[40]WRDS!$A$1:$O$100,11,FALSE)</f>
        <v>0.88</v>
      </c>
    </row>
    <row r="27" spans="1:14" x14ac:dyDescent="0.3">
      <c r="A27" t="s">
        <v>46</v>
      </c>
      <c r="B27" t="str">
        <f>VLOOKUP(A27,[39]WRDS!$A$1:$N$100,2,FALSE)</f>
        <v>PEG</v>
      </c>
      <c r="C27" t="str">
        <f>VLOOKUP(A27,[39]WRDS!$A$1:$N$100,3,FALSE)</f>
        <v>PUB SVC ENTERS</v>
      </c>
      <c r="D27">
        <f>VLOOKUP(A27,[39]WRDS!$A$1:$N$100,13,FALSE)</f>
        <v>3.12</v>
      </c>
      <c r="E27">
        <f>VLOOKUP(A27,[21]WRDS!$A$1:$N$100,13,FALSE)</f>
        <v>2.58</v>
      </c>
      <c r="F27" s="1">
        <f t="shared" si="3"/>
        <v>3.8402803558204548</v>
      </c>
      <c r="G27" s="1">
        <f t="shared" si="4"/>
        <v>3.6499587072000006</v>
      </c>
      <c r="H27" s="2">
        <f t="shared" si="0"/>
        <v>-4.6399921853348847E-2</v>
      </c>
      <c r="I27" s="2">
        <f>VLOOKUP(A27,[40]WRDS!$A$1:$O$100,10,FALSE)/100</f>
        <v>5.33E-2</v>
      </c>
      <c r="J27" s="2">
        <f>VLOOKUP(A27,[40]WRDS!$A$1:$O$100,9,FALSE)/100</f>
        <v>0.04</v>
      </c>
      <c r="K27" s="2">
        <f t="shared" si="1"/>
        <v>2.1487088312014722</v>
      </c>
      <c r="L27" s="2">
        <f t="shared" si="2"/>
        <v>1.8620704174119869</v>
      </c>
      <c r="M27">
        <f>VLOOKUP(A27,[40]WRDS!$A$1:$O$100,8,FALSE)</f>
        <v>3</v>
      </c>
      <c r="N27">
        <f>VLOOKUP(A27,[40]WRDS!$A$1:$O$100,11,FALSE)</f>
        <v>3.21</v>
      </c>
    </row>
    <row r="28" spans="1:14" x14ac:dyDescent="0.3">
      <c r="A28" t="s">
        <v>74</v>
      </c>
      <c r="B28" t="str">
        <f>VLOOKUP(A28,[39]WRDS!$A$1:$N$100,2,FALSE)</f>
        <v>CPL</v>
      </c>
      <c r="C28" t="str">
        <f>VLOOKUP(A28,[39]WRDS!$A$1:$N$100,3,FALSE)</f>
        <v>PROGRESS ENERGY</v>
      </c>
      <c r="D28">
        <f>VLOOKUP(A28,[39]WRDS!$A$1:$N$100,13,FALSE)</f>
        <v>3.02</v>
      </c>
      <c r="E28">
        <f>VLOOKUP(A28,[21]WRDS!$A$1:$N$100,13,FALSE)</f>
        <v>0.33</v>
      </c>
      <c r="F28" s="1">
        <f t="shared" si="3"/>
        <v>3.6014061738874985</v>
      </c>
      <c r="G28" s="1">
        <f t="shared" si="4"/>
        <v>3.6014061738874985</v>
      </c>
      <c r="H28" s="2">
        <f t="shared" si="0"/>
        <v>-0.42505440725637322</v>
      </c>
      <c r="I28" s="2">
        <f>VLOOKUP(A28,[40]WRDS!$A$1:$O$100,10,FALSE)/100</f>
        <v>4.4999999999999998E-2</v>
      </c>
      <c r="J28" s="2">
        <f>VLOOKUP(A28,[40]WRDS!$A$1:$O$100,9,FALSE)/100</f>
        <v>4.4999999999999998E-2</v>
      </c>
      <c r="K28" s="2">
        <f t="shared" si="1"/>
        <v>1.105868799927201</v>
      </c>
      <c r="L28" s="2">
        <f t="shared" si="2"/>
        <v>1.105868799927201</v>
      </c>
      <c r="M28">
        <f>VLOOKUP(A28,[40]WRDS!$A$1:$O$100,8,FALSE)</f>
        <v>6</v>
      </c>
      <c r="N28">
        <f>VLOOKUP(A28,[40]WRDS!$A$1:$O$100,11,FALSE)</f>
        <v>0.55000000000000004</v>
      </c>
    </row>
    <row r="29" spans="1:14" x14ac:dyDescent="0.3">
      <c r="A29" t="s">
        <v>47</v>
      </c>
      <c r="B29" t="str">
        <f>VLOOKUP(A29,[39]WRDS!$A$1:$N$100,2,FALSE)</f>
        <v>PNM</v>
      </c>
      <c r="C29" t="str">
        <f>VLOOKUP(A29,[39]WRDS!$A$1:$N$100,3,FALSE)</f>
        <v>PNM RESOURCES</v>
      </c>
      <c r="D29">
        <f>VLOOKUP(A29,[39]WRDS!$A$1:$N$100,13,FALSE)</f>
        <v>0.94</v>
      </c>
      <c r="E29">
        <f>VLOOKUP(A29,[21]WRDS!$A$1:$N$100,13,FALSE)</f>
        <v>1.41</v>
      </c>
      <c r="F29" s="1">
        <f t="shared" si="3"/>
        <v>1.2321482494</v>
      </c>
      <c r="G29" s="1">
        <f t="shared" si="4"/>
        <v>1.2321482494</v>
      </c>
      <c r="H29" s="2">
        <f t="shared" si="0"/>
        <v>0.1066819197003217</v>
      </c>
      <c r="I29" s="2">
        <f>VLOOKUP(A29,[40]WRDS!$A$1:$O$100,10,FALSE)/100</f>
        <v>7.0000000000000007E-2</v>
      </c>
      <c r="J29" s="2">
        <f>VLOOKUP(A29,[40]WRDS!$A$1:$O$100,9,FALSE)/100</f>
        <v>7.0000000000000007E-2</v>
      </c>
      <c r="K29" s="2">
        <f t="shared" si="1"/>
        <v>-0.34384382848906569</v>
      </c>
      <c r="L29" s="2">
        <f t="shared" si="2"/>
        <v>-0.34384382848906569</v>
      </c>
      <c r="M29">
        <f>VLOOKUP(A29,[40]WRDS!$A$1:$O$100,8,FALSE)</f>
        <v>2</v>
      </c>
      <c r="N29">
        <f>VLOOKUP(A29,[40]WRDS!$A$1:$O$100,11,FALSE)</f>
        <v>25.46</v>
      </c>
    </row>
    <row r="30" spans="1:14" x14ac:dyDescent="0.3">
      <c r="A30" t="s">
        <v>48</v>
      </c>
      <c r="B30" t="str">
        <f>VLOOKUP(A30,[39]WRDS!$A$1:$N$100,2,FALSE)</f>
        <v>AZP</v>
      </c>
      <c r="C30" t="str">
        <f>VLOOKUP(A30,[39]WRDS!$A$1:$N$100,3,FALSE)</f>
        <v>PINNACLE WST CAP</v>
      </c>
      <c r="D30">
        <f>VLOOKUP(A30,[39]WRDS!$A$1:$N$100,13,FALSE)</f>
        <v>2.2799999999999998</v>
      </c>
      <c r="E30">
        <f>VLOOKUP(A30,[21]WRDS!$A$1:$N$100,13,FALSE)</f>
        <v>3.66</v>
      </c>
      <c r="F30" s="1">
        <f t="shared" si="3"/>
        <v>3.1019148288000005</v>
      </c>
      <c r="G30" s="1">
        <f t="shared" si="4"/>
        <v>3.1019148288000005</v>
      </c>
      <c r="H30" s="2">
        <f t="shared" si="0"/>
        <v>0.12560641514325743</v>
      </c>
      <c r="I30" s="2">
        <f>VLOOKUP(A30,[40]WRDS!$A$1:$O$100,10,FALSE)/100</f>
        <v>0.08</v>
      </c>
      <c r="J30" s="2">
        <f>VLOOKUP(A30,[40]WRDS!$A$1:$O$100,9,FALSE)/100</f>
        <v>0.08</v>
      </c>
      <c r="K30" s="2">
        <f t="shared" si="1"/>
        <v>-0.36308985565141805</v>
      </c>
      <c r="L30" s="2">
        <f t="shared" si="2"/>
        <v>-0.36308985565141805</v>
      </c>
      <c r="M30">
        <f>VLOOKUP(A30,[40]WRDS!$A$1:$O$100,8,FALSE)</f>
        <v>2</v>
      </c>
      <c r="N30">
        <f>VLOOKUP(A30,[40]WRDS!$A$1:$O$100,11,FALSE)</f>
        <v>0</v>
      </c>
    </row>
    <row r="31" spans="1:14" x14ac:dyDescent="0.3">
      <c r="A31" t="s">
        <v>49</v>
      </c>
      <c r="B31" t="str">
        <f>VLOOKUP(A31,[39]WRDS!$A$1:$N$100,2,FALSE)</f>
        <v>POM</v>
      </c>
      <c r="C31" t="str">
        <f>VLOOKUP(A31,[39]WRDS!$A$1:$N$100,3,FALSE)</f>
        <v>PEPCO HOLDINGS</v>
      </c>
      <c r="D31">
        <f>VLOOKUP(A31,[39]WRDS!$A$1:$N$100,13,FALSE)</f>
        <v>0.91</v>
      </c>
      <c r="E31">
        <f>VLOOKUP(A31,[21]WRDS!$A$1:$N$100,13,FALSE)</f>
        <v>1.1399999999999999</v>
      </c>
      <c r="F31" s="1">
        <f t="shared" si="3"/>
        <v>1.1273304320687498</v>
      </c>
      <c r="G31" s="1">
        <f t="shared" si="4"/>
        <v>1.1273304320687498</v>
      </c>
      <c r="H31" s="2">
        <f t="shared" si="0"/>
        <v>5.7951758451102009E-2</v>
      </c>
      <c r="I31" s="2">
        <f>VLOOKUP(A31,[40]WRDS!$A$1:$O$100,10,FALSE)/100</f>
        <v>5.5E-2</v>
      </c>
      <c r="J31" s="2">
        <f>VLOOKUP(A31,[40]WRDS!$A$1:$O$100,9,FALSE)/100</f>
        <v>5.5E-2</v>
      </c>
      <c r="K31" s="2">
        <f t="shared" si="1"/>
        <v>-5.0934752110975472E-2</v>
      </c>
      <c r="L31" s="2">
        <f t="shared" si="2"/>
        <v>-5.0934752110975472E-2</v>
      </c>
      <c r="M31">
        <f>VLOOKUP(A31,[40]WRDS!$A$1:$O$100,8,FALSE)</f>
        <v>2</v>
      </c>
      <c r="N31">
        <f>VLOOKUP(A31,[40]WRDS!$A$1:$O$100,11,FALSE)</f>
        <v>4.95</v>
      </c>
    </row>
    <row r="32" spans="1:14" x14ac:dyDescent="0.3">
      <c r="A32" t="s">
        <v>50</v>
      </c>
      <c r="B32" t="str">
        <f>VLOOKUP(A32,[39]WRDS!$A$1:$N$100,2,FALSE)</f>
        <v>PORO</v>
      </c>
      <c r="C32" t="str">
        <f>VLOOKUP(A32,[39]WRDS!$A$1:$N$100,3,FALSE)</f>
        <v>PORTLAND GENERAL</v>
      </c>
      <c r="D32">
        <f>VLOOKUP(A32,[39]WRDS!$A$1:$N$100,13,FALSE)</f>
        <v>1.31</v>
      </c>
      <c r="E32">
        <f>VLOOKUP(A32,[21]WRDS!$A$1:$N$100,13,FALSE)</f>
        <v>1.84</v>
      </c>
      <c r="F32" s="1">
        <f t="shared" si="3"/>
        <v>1.7171427731000002</v>
      </c>
      <c r="G32" s="1">
        <f t="shared" si="4"/>
        <v>1.6852709193187496</v>
      </c>
      <c r="H32" s="2">
        <f t="shared" si="0"/>
        <v>8.8645876294981107E-2</v>
      </c>
      <c r="I32" s="2">
        <f>VLOOKUP(A32,[40]WRDS!$A$1:$O$100,10,FALSE)/100</f>
        <v>7.0000000000000007E-2</v>
      </c>
      <c r="J32" s="2">
        <f>VLOOKUP(A32,[40]WRDS!$A$1:$O$100,9,FALSE)/100</f>
        <v>6.5000000000000002E-2</v>
      </c>
      <c r="K32" s="2">
        <f t="shared" si="1"/>
        <v>-0.21034115826137736</v>
      </c>
      <c r="L32" s="2">
        <f t="shared" si="2"/>
        <v>-0.26674536124270759</v>
      </c>
      <c r="M32">
        <f>VLOOKUP(A32,[40]WRDS!$A$1:$O$100,8,FALSE)</f>
        <v>4</v>
      </c>
      <c r="N32">
        <f>VLOOKUP(A32,[40]WRDS!$A$1:$O$100,11,FALSE)</f>
        <v>2.94</v>
      </c>
    </row>
    <row r="33" spans="1:14" x14ac:dyDescent="0.3">
      <c r="A33" t="s">
        <v>51</v>
      </c>
      <c r="B33" t="str">
        <f>VLOOKUP(A33,[39]WRDS!$A$1:$N$100,2,FALSE)</f>
        <v>PPL</v>
      </c>
      <c r="C33" t="str">
        <f>VLOOKUP(A33,[39]WRDS!$A$1:$N$100,3,FALSE)</f>
        <v>PP&amp;L CORP</v>
      </c>
      <c r="D33">
        <f>VLOOKUP(A33,[39]WRDS!$A$1:$N$100,13,FALSE)</f>
        <v>1.95</v>
      </c>
      <c r="E33">
        <f>VLOOKUP(A33,[21]WRDS!$A$1:$N$100,13,FALSE)</f>
        <v>2.4500000000000002</v>
      </c>
      <c r="F33" s="1">
        <f t="shared" si="3"/>
        <v>3.0085338526523722</v>
      </c>
      <c r="G33" s="1">
        <f t="shared" si="4"/>
        <v>3.0085338526523722</v>
      </c>
      <c r="H33" s="2">
        <f t="shared" si="0"/>
        <v>5.8724268464461993E-2</v>
      </c>
      <c r="I33" s="2">
        <f>VLOOKUP(A33,[40]WRDS!$A$1:$O$100,10,FALSE)/100</f>
        <v>0.11449999999999999</v>
      </c>
      <c r="J33" s="2">
        <f>VLOOKUP(A33,[40]WRDS!$A$1:$O$100,9,FALSE)/100</f>
        <v>0.11449999999999999</v>
      </c>
      <c r="K33" s="2">
        <f t="shared" si="1"/>
        <v>0.94979014628835512</v>
      </c>
      <c r="L33" s="2">
        <f t="shared" si="2"/>
        <v>0.94979014628835512</v>
      </c>
      <c r="M33">
        <f>VLOOKUP(A33,[40]WRDS!$A$1:$O$100,8,FALSE)</f>
        <v>2</v>
      </c>
      <c r="N33">
        <f>VLOOKUP(A33,[40]WRDS!$A$1:$O$100,11,FALSE)</f>
        <v>2.0499999999999998</v>
      </c>
    </row>
    <row r="34" spans="1:14" x14ac:dyDescent="0.3">
      <c r="A34" t="s">
        <v>52</v>
      </c>
      <c r="B34" t="str">
        <f>VLOOKUP(A34,[39]WRDS!$A$1:$N$100,2,FALSE)</f>
        <v>SCG</v>
      </c>
      <c r="C34" t="str">
        <f>VLOOKUP(A34,[39]WRDS!$A$1:$N$100,3,FALSE)</f>
        <v>SCANA CP</v>
      </c>
      <c r="D34">
        <f>VLOOKUP(A34,[39]WRDS!$A$1:$N$100,13,FALSE)</f>
        <v>2.85</v>
      </c>
      <c r="E34">
        <f>VLOOKUP(A34,[21]WRDS!$A$1:$N$100,13,FALSE)</f>
        <v>3.39</v>
      </c>
      <c r="F34" s="1">
        <f t="shared" si="3"/>
        <v>3.5709809288136003</v>
      </c>
      <c r="G34" s="1">
        <f t="shared" si="4"/>
        <v>3.5306502542812495</v>
      </c>
      <c r="H34" s="2">
        <f t="shared" si="0"/>
        <v>4.4332297852287761E-2</v>
      </c>
      <c r="I34" s="2">
        <f>VLOOKUP(A34,[40]WRDS!$A$1:$O$100,10,FALSE)/100</f>
        <v>5.7999999999999996E-2</v>
      </c>
      <c r="J34" s="2">
        <f>VLOOKUP(A34,[40]WRDS!$A$1:$O$100,9,FALSE)/100</f>
        <v>5.5E-2</v>
      </c>
      <c r="K34" s="2">
        <f t="shared" si="1"/>
        <v>0.30830123431120354</v>
      </c>
      <c r="L34" s="2">
        <f t="shared" si="2"/>
        <v>0.24063048081234828</v>
      </c>
      <c r="M34">
        <f>VLOOKUP(A34,[40]WRDS!$A$1:$O$100,8,FALSE)</f>
        <v>4</v>
      </c>
      <c r="N34">
        <f>VLOOKUP(A34,[40]WRDS!$A$1:$O$100,11,FALSE)</f>
        <v>1.05</v>
      </c>
    </row>
    <row r="35" spans="1:14" x14ac:dyDescent="0.3">
      <c r="A35" t="s">
        <v>53</v>
      </c>
      <c r="B35" t="str">
        <f>VLOOKUP(A35,[39]WRDS!$A$1:$N$100,2,FALSE)</f>
        <v>SO</v>
      </c>
      <c r="C35" t="str">
        <f>VLOOKUP(A35,[39]WRDS!$A$1:$N$100,3,FALSE)</f>
        <v>SOUTHN CO</v>
      </c>
      <c r="D35">
        <f>VLOOKUP(A35,[39]WRDS!$A$1:$N$100,13,FALSE)</f>
        <v>2.3199999999999998</v>
      </c>
      <c r="E35">
        <f>VLOOKUP(A35,[21]WRDS!$A$1:$N$100,13,FALSE)</f>
        <v>2.73</v>
      </c>
      <c r="F35" s="1">
        <f t="shared" si="3"/>
        <v>2.7687617658951034</v>
      </c>
      <c r="G35" s="1">
        <f t="shared" si="4"/>
        <v>2.7297638743765456</v>
      </c>
      <c r="H35" s="2">
        <f t="shared" si="0"/>
        <v>4.1522521806951485E-2</v>
      </c>
      <c r="I35" s="2">
        <f>VLOOKUP(A35,[40]WRDS!$A$1:$O$100,10,FALSE)/100</f>
        <v>4.5199999999999997E-2</v>
      </c>
      <c r="J35" s="2">
        <f>VLOOKUP(A35,[40]WRDS!$A$1:$O$100,9,FALSE)/100</f>
        <v>4.1500000000000002E-2</v>
      </c>
      <c r="K35" s="2">
        <f t="shared" si="1"/>
        <v>8.8565868184645E-2</v>
      </c>
      <c r="L35" s="2">
        <f t="shared" si="2"/>
        <v>-5.4239978622184473E-4</v>
      </c>
      <c r="M35">
        <f>VLOOKUP(A35,[40]WRDS!$A$1:$O$100,8,FALSE)</f>
        <v>6</v>
      </c>
      <c r="N35">
        <f>VLOOKUP(A35,[40]WRDS!$A$1:$O$100,11,FALSE)</f>
        <v>1.1599999999999999</v>
      </c>
    </row>
    <row r="36" spans="1:14" x14ac:dyDescent="0.3">
      <c r="A36" t="s">
        <v>54</v>
      </c>
      <c r="B36" t="str">
        <f>VLOOKUP(A36,[39]WRDS!$A$1:$N$100,2,FALSE)</f>
        <v>SDO</v>
      </c>
      <c r="C36" t="str">
        <f>VLOOKUP(A36,[39]WRDS!$A$1:$N$100,3,FALSE)</f>
        <v>SEMPRA ENERGY</v>
      </c>
      <c r="D36">
        <f>VLOOKUP(A36,[39]WRDS!$A$1:$N$100,13,FALSE)</f>
        <v>4.5199999999999996</v>
      </c>
      <c r="E36">
        <f>VLOOKUP(A36,[21]WRDS!$A$1:$N$100,13,FALSE)</f>
        <v>4.49</v>
      </c>
      <c r="F36" s="1">
        <f t="shared" si="3"/>
        <v>5.9247979651999998</v>
      </c>
      <c r="G36" s="1">
        <f t="shared" si="4"/>
        <v>5.9247979651999998</v>
      </c>
      <c r="H36" s="2">
        <f t="shared" si="0"/>
        <v>-1.6634379733732052E-3</v>
      </c>
      <c r="I36" s="2">
        <f>VLOOKUP(A36,[40]WRDS!$A$1:$O$100,10,FALSE)/100</f>
        <v>7.0000000000000007E-2</v>
      </c>
      <c r="J36" s="2">
        <f>VLOOKUP(A36,[40]WRDS!$A$1:$O$100,9,FALSE)/100</f>
        <v>7.0000000000000007E-2</v>
      </c>
      <c r="K36" s="2">
        <f t="shared" si="1"/>
        <v>43.081520994768681</v>
      </c>
      <c r="L36" s="2">
        <f t="shared" si="2"/>
        <v>43.081520994768681</v>
      </c>
      <c r="M36">
        <f>VLOOKUP(A36,[40]WRDS!$A$1:$O$100,8,FALSE)</f>
        <v>2</v>
      </c>
      <c r="N36">
        <f>VLOOKUP(A36,[40]WRDS!$A$1:$O$100,11,FALSE)</f>
        <v>0</v>
      </c>
    </row>
    <row r="37" spans="1:14" x14ac:dyDescent="0.3">
      <c r="A37" t="s">
        <v>75</v>
      </c>
      <c r="B37" t="str">
        <f>VLOOKUP(A37,[39]WRDS!$A$1:$N$100,2,FALSE)</f>
        <v>TE</v>
      </c>
      <c r="C37" t="str">
        <f>VLOOKUP(A37,[39]WRDS!$A$1:$N$100,3,FALSE)</f>
        <v>TECO ENERGY INC</v>
      </c>
      <c r="D37">
        <f>VLOOKUP(A37,[39]WRDS!$A$1:$N$100,13,FALSE)</f>
        <v>1.08</v>
      </c>
      <c r="E37">
        <f>VLOOKUP(A37,[21]WRDS!$A$1:$N$100,13,FALSE)</f>
        <v>0.95</v>
      </c>
      <c r="F37" s="1">
        <f t="shared" si="3"/>
        <v>1.6265566693407296</v>
      </c>
      <c r="G37" s="1">
        <f t="shared" si="4"/>
        <v>1.4423066718749999</v>
      </c>
      <c r="H37" s="2">
        <f t="shared" si="0"/>
        <v>-3.1554997370236371E-2</v>
      </c>
      <c r="I37" s="2">
        <f>VLOOKUP(A37,[40]WRDS!$A$1:$O$100,10,FALSE)/100</f>
        <v>0.10779999999999999</v>
      </c>
      <c r="J37" s="2">
        <f>VLOOKUP(A37,[40]WRDS!$A$1:$O$100,9,FALSE)/100</f>
        <v>7.4999999999999997E-2</v>
      </c>
      <c r="K37" s="2">
        <f t="shared" si="1"/>
        <v>4.416257613181747</v>
      </c>
      <c r="L37" s="2">
        <f t="shared" si="2"/>
        <v>3.3768026065735715</v>
      </c>
      <c r="M37">
        <f>VLOOKUP(A37,[40]WRDS!$A$1:$O$100,8,FALSE)</f>
        <v>4</v>
      </c>
      <c r="N37">
        <f>VLOOKUP(A37,[40]WRDS!$A$1:$O$100,11,FALSE)</f>
        <v>9.26</v>
      </c>
    </row>
    <row r="38" spans="1:14" x14ac:dyDescent="0.3">
      <c r="A38" t="s">
        <v>79</v>
      </c>
      <c r="B38" t="str">
        <f>VLOOKUP(A38,[39]WRDS!$A$1:$N$100,2,FALSE)</f>
        <v>UIL</v>
      </c>
      <c r="C38" t="str">
        <f>VLOOKUP(A38,[39]WRDS!$A$1:$N$100,3,FALSE)</f>
        <v>UIL HOLDING CORP</v>
      </c>
      <c r="D38">
        <f>VLOOKUP(A38,[39]WRDS!$A$1:$N$100,13,FALSE)</f>
        <v>1.93</v>
      </c>
      <c r="E38">
        <f>VLOOKUP(A38,[21]WRDS!$A$1:$N$100,13,FALSE)</f>
        <v>2.2799999999999998</v>
      </c>
      <c r="F38" s="1">
        <f t="shared" si="3"/>
        <v>2.2989190963514008</v>
      </c>
      <c r="G38" s="1">
        <f t="shared" si="4"/>
        <v>2.29276373430528</v>
      </c>
      <c r="H38" s="2">
        <f t="shared" si="0"/>
        <v>4.2543979125366338E-2</v>
      </c>
      <c r="I38" s="2">
        <f>VLOOKUP(A38,[40]WRDS!$A$1:$O$100,10,FALSE)/100</f>
        <v>4.4699999999999997E-2</v>
      </c>
      <c r="J38" s="2">
        <f>VLOOKUP(A38,[40]WRDS!$A$1:$O$100,9,FALSE)/100</f>
        <v>4.4000000000000004E-2</v>
      </c>
      <c r="K38" s="2">
        <f t="shared" si="1"/>
        <v>5.0677461745654087E-2</v>
      </c>
      <c r="L38" s="2">
        <f t="shared" si="2"/>
        <v>3.4223899704894582E-2</v>
      </c>
      <c r="M38">
        <f>VLOOKUP(A38,[40]WRDS!$A$1:$O$100,8,FALSE)</f>
        <v>3</v>
      </c>
      <c r="N38">
        <f>VLOOKUP(A38,[40]WRDS!$A$1:$O$100,11,FALSE)</f>
        <v>0.5</v>
      </c>
    </row>
    <row r="39" spans="1:14" x14ac:dyDescent="0.3">
      <c r="A39" t="s">
        <v>76</v>
      </c>
      <c r="B39" t="str">
        <f>VLOOKUP(A39,[39]WRDS!$A$1:$N$100,2,FALSE)</f>
        <v>SIG</v>
      </c>
      <c r="C39" t="str">
        <f>VLOOKUP(A39,[39]WRDS!$A$1:$N$100,3,FALSE)</f>
        <v>VECTREN CORP</v>
      </c>
      <c r="D39">
        <f>VLOOKUP(A39,[39]WRDS!$A$1:$N$100,13,FALSE)</f>
        <v>1.8</v>
      </c>
      <c r="E39">
        <f>VLOOKUP(A39,[21]WRDS!$A$1:$N$100,13,FALSE)</f>
        <v>2.12</v>
      </c>
      <c r="F39" s="1">
        <f t="shared" si="3"/>
        <v>2.3112938739241127</v>
      </c>
      <c r="G39" s="1">
        <f t="shared" si="4"/>
        <v>2.3112938739241127</v>
      </c>
      <c r="H39" s="2">
        <f t="shared" si="0"/>
        <v>4.1755588613110017E-2</v>
      </c>
      <c r="I39" s="2">
        <f>VLOOKUP(A39,[40]WRDS!$A$1:$O$100,10,FALSE)/100</f>
        <v>6.4500000000000002E-2</v>
      </c>
      <c r="J39" s="2">
        <f>VLOOKUP(A39,[40]WRDS!$A$1:$O$100,9,FALSE)/100</f>
        <v>6.4500000000000002E-2</v>
      </c>
      <c r="K39" s="2">
        <f t="shared" si="1"/>
        <v>0.54470340719251442</v>
      </c>
      <c r="L39" s="2">
        <f t="shared" si="2"/>
        <v>0.54470340719251442</v>
      </c>
      <c r="M39">
        <f>VLOOKUP(A39,[40]WRDS!$A$1:$O$100,8,FALSE)</f>
        <v>2</v>
      </c>
      <c r="N39">
        <f>VLOOKUP(A39,[40]WRDS!$A$1:$O$100,11,FALSE)</f>
        <v>3.46</v>
      </c>
    </row>
    <row r="40" spans="1:14" x14ac:dyDescent="0.3">
      <c r="A40" t="s">
        <v>55</v>
      </c>
      <c r="B40" t="str">
        <f>VLOOKUP(A40,[39]WRDS!$A$1:$N$100,2,FALSE)</f>
        <v>WPC</v>
      </c>
      <c r="C40" t="str">
        <f>VLOOKUP(A40,[39]WRDS!$A$1:$N$100,3,FALSE)</f>
        <v>WISCONSIN ENERGY</v>
      </c>
      <c r="D40">
        <f>VLOOKUP(A40,[39]WRDS!$A$1:$N$100,13,FALSE)</f>
        <v>1.6</v>
      </c>
      <c r="E40">
        <f>VLOOKUP(A40,[21]WRDS!$A$1:$N$100,13,FALSE)</f>
        <v>2.5099999999999998</v>
      </c>
      <c r="F40" s="1">
        <f t="shared" si="3"/>
        <v>2.3340532089616</v>
      </c>
      <c r="G40" s="1">
        <f t="shared" si="4"/>
        <v>2.3425600000000006</v>
      </c>
      <c r="H40" s="2">
        <f t="shared" si="0"/>
        <v>0.11915034959005166</v>
      </c>
      <c r="I40" s="2">
        <f>VLOOKUP(A40,[40]WRDS!$A$1:$O$100,10,FALSE)/100</f>
        <v>9.9000000000000005E-2</v>
      </c>
      <c r="J40" s="2">
        <f>VLOOKUP(A40,[40]WRDS!$A$1:$O$100,9,FALSE)/100</f>
        <v>0.1</v>
      </c>
      <c r="K40" s="2">
        <f t="shared" si="1"/>
        <v>-0.16911699931541024</v>
      </c>
      <c r="L40" s="2">
        <f t="shared" si="2"/>
        <v>-0.16072424173273761</v>
      </c>
      <c r="M40">
        <f>VLOOKUP(A40,[40]WRDS!$A$1:$O$100,8,FALSE)</f>
        <v>4</v>
      </c>
      <c r="N40">
        <f>VLOOKUP(A40,[40]WRDS!$A$1:$O$100,11,FALSE)</f>
        <v>0.66</v>
      </c>
    </row>
    <row r="41" spans="1:14" x14ac:dyDescent="0.3">
      <c r="A41" t="s">
        <v>64</v>
      </c>
      <c r="B41" t="str">
        <f>VLOOKUP(A41,[39]WRDS!$A$1:$N$100,2,FALSE)</f>
        <v>KAN</v>
      </c>
      <c r="C41" t="str">
        <f>VLOOKUP(A41,[39]WRDS!$A$1:$N$100,3,FALSE)</f>
        <v>WESTAR ENERGY</v>
      </c>
      <c r="D41">
        <f>VLOOKUP(A41,[39]WRDS!$A$1:$N$100,13,FALSE)</f>
        <v>1.28</v>
      </c>
      <c r="E41">
        <f>VLOOKUP(A41,[21]WRDS!$A$1:$N$100,13,FALSE)</f>
        <v>2.29</v>
      </c>
      <c r="F41" s="1">
        <f t="shared" si="3"/>
        <v>1.4785035232827801</v>
      </c>
      <c r="G41" s="1">
        <f t="shared" si="4"/>
        <v>1.4406512767999999</v>
      </c>
      <c r="H41" s="2">
        <f t="shared" si="0"/>
        <v>0.15652860316532746</v>
      </c>
      <c r="I41" s="2">
        <f>VLOOKUP(A41,[40]WRDS!$A$1:$O$100,10,FALSE)/100</f>
        <v>3.6699999999999997E-2</v>
      </c>
      <c r="J41" s="2">
        <f>VLOOKUP(A41,[40]WRDS!$A$1:$O$100,9,FALSE)/100</f>
        <v>0.03</v>
      </c>
      <c r="K41" s="2">
        <f t="shared" si="1"/>
        <v>-0.76553805976766431</v>
      </c>
      <c r="L41" s="2">
        <f t="shared" si="2"/>
        <v>-0.80834173822969835</v>
      </c>
      <c r="M41">
        <f>VLOOKUP(A41,[40]WRDS!$A$1:$O$100,8,FALSE)</f>
        <v>3</v>
      </c>
      <c r="N41">
        <f>VLOOKUP(A41,[40]WRDS!$A$1:$O$100,11,FALSE)</f>
        <v>2.08</v>
      </c>
    </row>
    <row r="42" spans="1:14" x14ac:dyDescent="0.3">
      <c r="A42" t="s">
        <v>56</v>
      </c>
      <c r="B42" t="str">
        <f>VLOOKUP(A42,[39]WRDS!$A$1:$N$100,2,FALSE)</f>
        <v>NSP</v>
      </c>
      <c r="C42" t="str">
        <f>VLOOKUP(A42,[39]WRDS!$A$1:$N$100,3,FALSE)</f>
        <v>XCEL ENERGY INC</v>
      </c>
      <c r="D42">
        <f>VLOOKUP(A42,[39]WRDS!$A$1:$N$100,13,FALSE)</f>
        <v>1.49</v>
      </c>
      <c r="E42">
        <f>VLOOKUP(A42,[21]WRDS!$A$1:$N$100,13,FALSE)</f>
        <v>1.95</v>
      </c>
      <c r="F42" s="1">
        <f t="shared" si="3"/>
        <v>1.9736099581509179</v>
      </c>
      <c r="G42" s="1">
        <f t="shared" si="4"/>
        <v>1.9567392426887431</v>
      </c>
      <c r="H42" s="2">
        <f t="shared" si="0"/>
        <v>6.9577074812550377E-2</v>
      </c>
      <c r="I42" s="2">
        <f>VLOOKUP(A42,[40]WRDS!$A$1:$O$100,10,FALSE)/100</f>
        <v>7.2800000000000004E-2</v>
      </c>
      <c r="J42" s="2">
        <f>VLOOKUP(A42,[40]WRDS!$A$1:$O$100,9,FALSE)/100</f>
        <v>7.0499999999999993E-2</v>
      </c>
      <c r="K42" s="2">
        <f t="shared" si="1"/>
        <v>4.632165402372266E-2</v>
      </c>
      <c r="L42" s="2">
        <f t="shared" si="2"/>
        <v>1.3264788580665342E-2</v>
      </c>
      <c r="M42">
        <f>VLOOKUP(A42,[40]WRDS!$A$1:$O$100,8,FALSE)</f>
        <v>6</v>
      </c>
      <c r="N42">
        <f>VLOOKUP(A42,[40]WRDS!$A$1:$O$100,11,FALSE)</f>
        <v>1.41</v>
      </c>
    </row>
    <row r="43" spans="1:14" x14ac:dyDescent="0.3">
      <c r="A43" t="s">
        <v>132</v>
      </c>
      <c r="B43" t="str">
        <f>VLOOKUP(A43,'[5]Ticker List'!$H$4:$I$20,2,FALSE)</f>
        <v>EGAS</v>
      </c>
      <c r="C43" t="str">
        <f>VLOOKUP(A43,[41]WRDS!$B$1:$N$13,2,FALSE)</f>
        <v>ATMOS ENERGY CP</v>
      </c>
      <c r="D43">
        <f>VLOOKUP(A43,[41]WRDS!$B$1:$N$13,12,FALSE)</f>
        <v>2.25</v>
      </c>
      <c r="E43">
        <f>VLOOKUP(A43,[24]WRDS!$B$1:$N$12,12,FALSE)</f>
        <v>2.9</v>
      </c>
      <c r="F43" s="1">
        <f t="shared" si="3"/>
        <v>2.7348890625000002</v>
      </c>
      <c r="G43" s="1">
        <f t="shared" si="4"/>
        <v>2.7348890625000002</v>
      </c>
      <c r="H43" s="2">
        <f t="shared" si="0"/>
        <v>6.5501020363234241E-2</v>
      </c>
      <c r="I43" s="2">
        <f>VLOOKUP(A43,[42]a6jsisubxejru4pv!$B$1:$N$100,9,FALSE)/100</f>
        <v>0.05</v>
      </c>
      <c r="J43" s="2">
        <f>VLOOKUP(A43,[42]a6jsisubxejru4pv!$B$1:$N$100,8,FALSE)/100</f>
        <v>0.05</v>
      </c>
      <c r="K43" s="2">
        <f t="shared" si="1"/>
        <v>-0.23665311284120041</v>
      </c>
      <c r="L43" s="2">
        <f t="shared" si="2"/>
        <v>-0.23665311284120041</v>
      </c>
      <c r="M43">
        <f>VLOOKUP(A43,[42]a6jsisubxejru4pv!$B$1:$N$100,7,FALSE)</f>
        <v>3</v>
      </c>
      <c r="N43">
        <f>VLOOKUP(A43,[42]a6jsisubxejru4pv!$B$1:$N$100,10,FALSE)</f>
        <v>0</v>
      </c>
    </row>
    <row r="44" spans="1:14" x14ac:dyDescent="0.3">
      <c r="A44" t="s">
        <v>133</v>
      </c>
      <c r="B44" t="str">
        <f>VLOOKUP(A44,'[5]Ticker List'!$H$4:$I$20,2,FALSE)</f>
        <v>CHPK</v>
      </c>
      <c r="C44" t="str">
        <f>VLOOKUP(A44,[41]WRDS!$B$1:$N$13,2,FALSE)</f>
        <v>CHESAPEAKE UTIL</v>
      </c>
      <c r="D44">
        <f>VLOOKUP(A44,[41]WRDS!$B$1:$N$13,12,FALSE)</f>
        <v>1.4333</v>
      </c>
      <c r="E44">
        <f>VLOOKUP(A44,[24]WRDS!$B$1:$N$12,12,FALSE)</f>
        <v>2.2599999999999998</v>
      </c>
      <c r="F44" s="1">
        <f t="shared" si="3"/>
        <v>1.6320685159889685</v>
      </c>
      <c r="G44" s="1">
        <f t="shared" si="4"/>
        <v>1.6320685159889685</v>
      </c>
      <c r="H44" s="2">
        <f t="shared" si="0"/>
        <v>0.12057991643405619</v>
      </c>
      <c r="I44" s="2">
        <f>VLOOKUP(A44,[42]a6jsisubxejru4pv!$B$1:$N$100,9,FALSE)/100</f>
        <v>3.3000000000000002E-2</v>
      </c>
      <c r="J44" s="2">
        <f>VLOOKUP(A44,[42]a6jsisubxejru4pv!$B$1:$N$100,8,FALSE)/100</f>
        <v>3.3000000000000002E-2</v>
      </c>
      <c r="K44" s="2">
        <f t="shared" si="1"/>
        <v>-0.72632258359502733</v>
      </c>
      <c r="L44" s="2">
        <f t="shared" si="2"/>
        <v>-0.72632258359502733</v>
      </c>
      <c r="M44">
        <f>VLOOKUP(A44,[42]a6jsisubxejru4pv!$B$1:$N$100,7,FALSE)</f>
        <v>1</v>
      </c>
      <c r="N44">
        <f>VLOOKUP(A44,[42]a6jsisubxejru4pv!$B$1:$N$100,10,FALSE)</f>
        <v>0</v>
      </c>
    </row>
    <row r="45" spans="1:14" x14ac:dyDescent="0.3">
      <c r="A45" t="s">
        <v>134</v>
      </c>
      <c r="B45" t="str">
        <f>VLOOKUP(A45,'[5]Ticker List'!$H$4:$I$20,2,FALSE)</f>
        <v>NJR</v>
      </c>
      <c r="C45" t="str">
        <f>VLOOKUP(A45,[41]WRDS!$B$1:$N$13,2,FALSE)</f>
        <v>NEW JERSEY RES</v>
      </c>
      <c r="D45">
        <f>VLOOKUP(A45,[41]WRDS!$B$1:$N$13,12,FALSE)</f>
        <v>1.22</v>
      </c>
      <c r="E45">
        <f>VLOOKUP(A45,[24]WRDS!$B$1:$N$12,12,FALSE)</f>
        <v>2.085</v>
      </c>
      <c r="F45" s="1">
        <f t="shared" si="3"/>
        <v>1.5991711322</v>
      </c>
      <c r="G45" s="1">
        <f t="shared" si="4"/>
        <v>1.5991711322</v>
      </c>
      <c r="H45" s="2">
        <f t="shared" si="0"/>
        <v>0.14336937933325045</v>
      </c>
      <c r="I45" s="2">
        <f>VLOOKUP(A45,[42]a6jsisubxejru4pv!$B$1:$N$100,9,FALSE)/100</f>
        <v>7.0000000000000007E-2</v>
      </c>
      <c r="J45" s="2">
        <f>VLOOKUP(A45,[42]a6jsisubxejru4pv!$B$1:$N$100,8,FALSE)/100</f>
        <v>7.0000000000000007E-2</v>
      </c>
      <c r="K45" s="2">
        <f t="shared" si="1"/>
        <v>-0.51175069372874449</v>
      </c>
      <c r="L45" s="2">
        <f t="shared" si="2"/>
        <v>-0.51175069372874449</v>
      </c>
      <c r="M45">
        <f>VLOOKUP(A45,[42]a6jsisubxejru4pv!$B$1:$N$100,7,FALSE)</f>
        <v>1</v>
      </c>
      <c r="N45">
        <f>VLOOKUP(A45,[42]a6jsisubxejru4pv!$B$1:$N$100,10,FALSE)</f>
        <v>0</v>
      </c>
    </row>
    <row r="46" spans="1:14" x14ac:dyDescent="0.3">
      <c r="A46" t="s">
        <v>135</v>
      </c>
      <c r="B46" t="str">
        <f>VLOOKUP(A46,'[5]Ticker List'!$H$4:$I$20,2,FALSE)</f>
        <v>NI</v>
      </c>
      <c r="C46" t="str">
        <f>VLOOKUP(A46,[41]WRDS!$B$1:$N$13,2,FALSE)</f>
        <v>NISOURCE INC</v>
      </c>
      <c r="D46">
        <f>VLOOKUP(A46,[41]WRDS!$B$1:$N$13,12,FALSE)</f>
        <v>1.06</v>
      </c>
      <c r="E46">
        <f>VLOOKUP(A46,[24]WRDS!$B$1:$N$12,12,FALSE)</f>
        <v>1.58</v>
      </c>
      <c r="F46" s="1">
        <f t="shared" si="3"/>
        <v>1.1930393386</v>
      </c>
      <c r="G46" s="1">
        <f t="shared" si="4"/>
        <v>1.1930393386</v>
      </c>
      <c r="H46" s="2">
        <f t="shared" si="0"/>
        <v>0.10493773473805246</v>
      </c>
      <c r="I46" s="2">
        <f>VLOOKUP(A46,[42]a6jsisubxejru4pv!$B$1:$N$100,9,FALSE)/100</f>
        <v>0.03</v>
      </c>
      <c r="J46" s="2">
        <f>VLOOKUP(A46,[42]a6jsisubxejru4pv!$B$1:$N$100,8,FALSE)/100</f>
        <v>0.03</v>
      </c>
      <c r="K46" s="2">
        <f t="shared" si="1"/>
        <v>-0.71411618446989955</v>
      </c>
      <c r="L46" s="2">
        <f t="shared" si="2"/>
        <v>-0.71411618446989955</v>
      </c>
      <c r="M46">
        <f>VLOOKUP(A46,[42]a6jsisubxejru4pv!$B$1:$N$100,7,FALSE)</f>
        <v>1</v>
      </c>
      <c r="N46">
        <f>VLOOKUP(A46,[42]a6jsisubxejru4pv!$B$1:$N$100,10,FALSE)</f>
        <v>0</v>
      </c>
    </row>
    <row r="47" spans="1:14" x14ac:dyDescent="0.3">
      <c r="A47" t="s">
        <v>136</v>
      </c>
      <c r="B47" t="str">
        <f>VLOOKUP(A47,'[5]Ticker List'!$H$4:$I$20,2,FALSE)</f>
        <v>NWNG</v>
      </c>
      <c r="C47" t="str">
        <f>VLOOKUP(A47,[41]WRDS!$B$1:$N$13,2,FALSE)</f>
        <v>NW NATURAL GAS</v>
      </c>
      <c r="D47">
        <f>VLOOKUP(A47,[41]WRDS!$B$1:$N$13,12,FALSE)</f>
        <v>2.83</v>
      </c>
      <c r="E47">
        <f>VLOOKUP(A47,[24]WRDS!$B$1:$N$12,12,FALSE)</f>
        <v>2.2400000000000002</v>
      </c>
      <c r="F47" s="1">
        <f t="shared" si="3"/>
        <v>3.572809796800001</v>
      </c>
      <c r="G47" s="1">
        <f t="shared" si="4"/>
        <v>3.572809796800001</v>
      </c>
      <c r="H47" s="2">
        <f t="shared" si="0"/>
        <v>-5.6774798951527705E-2</v>
      </c>
      <c r="I47" s="2">
        <f>VLOOKUP(A47,[42]a6jsisubxejru4pv!$B$1:$N$100,9,FALSE)/100</f>
        <v>0.06</v>
      </c>
      <c r="J47" s="2">
        <f>VLOOKUP(A47,[42]a6jsisubxejru4pv!$B$1:$N$100,8,FALSE)/100</f>
        <v>0.06</v>
      </c>
      <c r="K47" s="2">
        <f t="shared" si="1"/>
        <v>2.056806912715373</v>
      </c>
      <c r="L47" s="2">
        <f t="shared" si="2"/>
        <v>2.056806912715373</v>
      </c>
      <c r="M47">
        <f>VLOOKUP(A47,[42]a6jsisubxejru4pv!$B$1:$N$100,7,FALSE)</f>
        <v>1</v>
      </c>
      <c r="N47">
        <f>VLOOKUP(A47,[42]a6jsisubxejru4pv!$B$1:$N$100,10,FALSE)</f>
        <v>0</v>
      </c>
    </row>
    <row r="48" spans="1:14" x14ac:dyDescent="0.3">
      <c r="A48" t="s">
        <v>138</v>
      </c>
      <c r="B48" t="str">
        <f>VLOOKUP(A48,'[5]Ticker List'!$H$4:$I$20,2,FALSE)</f>
        <v>SJI</v>
      </c>
      <c r="C48" t="str">
        <f>VLOOKUP(A48,[41]WRDS!$B$1:$N$13,2,FALSE)</f>
        <v>SO JERSEY INDS</v>
      </c>
      <c r="D48">
        <f>VLOOKUP(A48,[41]WRDS!$B$1:$N$13,12,FALSE)</f>
        <v>1.19</v>
      </c>
      <c r="E48">
        <f>VLOOKUP(A48,[24]WRDS!$B$1:$N$12,12,FALSE)</f>
        <v>1.5149999999999999</v>
      </c>
      <c r="F48" s="1">
        <f t="shared" si="3"/>
        <v>1.8392739967437501</v>
      </c>
      <c r="G48" s="1">
        <f t="shared" si="4"/>
        <v>1.6189818624000003</v>
      </c>
      <c r="H48" s="2">
        <f t="shared" si="0"/>
        <v>6.2224753747636807E-2</v>
      </c>
      <c r="I48" s="2">
        <f>VLOOKUP(A48,[42]a6jsisubxejru4pv!$B$1:$N$100,9,FALSE)/100</f>
        <v>0.115</v>
      </c>
      <c r="J48" s="2">
        <f>VLOOKUP(A48,[42]a6jsisubxejru4pv!$B$1:$N$100,8,FALSE)/100</f>
        <v>0.08</v>
      </c>
      <c r="K48" s="2">
        <f t="shared" si="1"/>
        <v>0.84813909375041141</v>
      </c>
      <c r="L48" s="2">
        <f t="shared" si="2"/>
        <v>0.28566197826115575</v>
      </c>
      <c r="M48">
        <f>VLOOKUP(A48,[42]a6jsisubxejru4pv!$B$1:$N$100,7,FALSE)</f>
        <v>3</v>
      </c>
      <c r="N48">
        <f>VLOOKUP(A48,[42]a6jsisubxejru4pv!$B$1:$N$100,10,FALSE)</f>
        <v>7.4</v>
      </c>
    </row>
    <row r="49" spans="1:14" x14ac:dyDescent="0.3">
      <c r="A49" t="s">
        <v>139</v>
      </c>
      <c r="B49" t="str">
        <f>VLOOKUP(A49,'[5]Ticker List'!$H$4:$I$20,2,FALSE)</f>
        <v>SWX</v>
      </c>
      <c r="C49" t="str">
        <f>VLOOKUP(A49,[41]WRDS!$B$1:$N$13,2,FALSE)</f>
        <v>SOUTHWEST GAS</v>
      </c>
      <c r="D49">
        <f>VLOOKUP(A49,[41]WRDS!$B$1:$N$13,12,FALSE)</f>
        <v>1.94</v>
      </c>
      <c r="E49">
        <f>VLOOKUP(A49,[24]WRDS!$B$1:$N$12,12,FALSE)</f>
        <v>2.84</v>
      </c>
      <c r="F49" s="1">
        <f t="shared" si="3"/>
        <v>2.4492053024000007</v>
      </c>
      <c r="G49" s="1">
        <f t="shared" si="4"/>
        <v>2.4492053024000007</v>
      </c>
      <c r="H49" s="2">
        <f t="shared" si="0"/>
        <v>9.9965724501174691E-2</v>
      </c>
      <c r="I49" s="2">
        <f>VLOOKUP(A49,[42]a6jsisubxejru4pv!$B$1:$N$100,9,FALSE)/100</f>
        <v>0.06</v>
      </c>
      <c r="J49" s="2">
        <f>VLOOKUP(A49,[42]a6jsisubxejru4pv!$B$1:$N$100,8,FALSE)/100</f>
        <v>0.06</v>
      </c>
      <c r="K49" s="2">
        <f t="shared" si="1"/>
        <v>-0.39979427649429039</v>
      </c>
      <c r="L49" s="2">
        <f t="shared" si="2"/>
        <v>-0.39979427649429039</v>
      </c>
      <c r="M49">
        <f>VLOOKUP(A49,[42]a6jsisubxejru4pv!$B$1:$N$100,7,FALSE)</f>
        <v>1</v>
      </c>
      <c r="N49">
        <f>VLOOKUP(A49,[42]a6jsisubxejru4pv!$B$1:$N$100,10,FALSE)</f>
        <v>0</v>
      </c>
    </row>
    <row r="50" spans="1:14" x14ac:dyDescent="0.3">
      <c r="A50" t="s">
        <v>143</v>
      </c>
      <c r="B50" t="str">
        <f>VLOOKUP(A50,'[5]Ticker List'!$H$4:$I$20,2,FALSE)</f>
        <v>LG</v>
      </c>
      <c r="C50" t="str">
        <f>VLOOKUP(A50,[41]WRDS!$B$1:$N$13,2,FALSE)</f>
        <v>LACLEDE GROUP</v>
      </c>
      <c r="D50">
        <f>VLOOKUP(A50,[41]WRDS!$B$1:$N$13,12,FALSE)</f>
        <v>2.4300000000000002</v>
      </c>
      <c r="E50">
        <f>VLOOKUP(A50,[24]WRDS!$B$1:$N$12,12,FALSE)</f>
        <v>3.05</v>
      </c>
      <c r="F50" s="1">
        <f t="shared" si="3"/>
        <v>2.7884808915187493</v>
      </c>
      <c r="G50" s="1">
        <f t="shared" si="4"/>
        <v>2.7884808915187493</v>
      </c>
      <c r="H50" s="2">
        <f t="shared" si="0"/>
        <v>5.8457419226264351E-2</v>
      </c>
      <c r="I50" s="2">
        <f>VLOOKUP(A50,[42]a6jsisubxejru4pv!$B$1:$N$100,9,FALSE)/100</f>
        <v>3.5000000000000003E-2</v>
      </c>
      <c r="J50" s="2">
        <f>VLOOKUP(A50,[42]a6jsisubxejru4pv!$B$1:$N$100,8,FALSE)/100</f>
        <v>3.5000000000000003E-2</v>
      </c>
      <c r="K50" s="2">
        <f t="shared" si="1"/>
        <v>-0.40127360285048569</v>
      </c>
      <c r="L50" s="2">
        <f t="shared" si="2"/>
        <v>-0.40127360285048569</v>
      </c>
      <c r="M50">
        <f>VLOOKUP(A50,[42]a6jsisubxejru4pv!$B$1:$N$100,7,FALSE)</f>
        <v>1</v>
      </c>
      <c r="N50">
        <f>VLOOKUP(A50,[42]a6jsisubxejru4pv!$B$1:$N$100,10,FALSE)</f>
        <v>0</v>
      </c>
    </row>
    <row r="51" spans="1:14" x14ac:dyDescent="0.3">
      <c r="A51" t="s">
        <v>144</v>
      </c>
      <c r="B51" t="str">
        <f>VLOOKUP(A51,'[5]Ticker List'!$H$4:$I$20,2,FALSE)</f>
        <v>GAS</v>
      </c>
      <c r="C51" t="s">
        <v>147</v>
      </c>
      <c r="D51">
        <f>VLOOKUP(A51,[41]WRDS!$B$1:$N$13,12,FALSE)</f>
        <v>2.98</v>
      </c>
      <c r="E51">
        <f>VLOOKUP(A51,[24]WRDS!$B$1:$N$12,12,FALSE)</f>
        <v>2.56</v>
      </c>
      <c r="F51" s="1">
        <f t="shared" si="3"/>
        <v>3.5333452696879877</v>
      </c>
      <c r="G51" s="1">
        <f t="shared" si="4"/>
        <v>3.5333452696879877</v>
      </c>
      <c r="H51" s="2">
        <f t="shared" si="0"/>
        <v>-3.7266852039679943E-2</v>
      </c>
      <c r="I51" s="2">
        <f>VLOOKUP(A51,[42]a6jsisubxejru4pv!$B$1:$N$100,9,FALSE)/100</f>
        <v>4.3499999999999997E-2</v>
      </c>
      <c r="J51" s="2">
        <f>VLOOKUP(A51,[42]a6jsisubxejru4pv!$B$1:$N$100,8,FALSE)/100</f>
        <v>4.3499999999999997E-2</v>
      </c>
      <c r="K51" s="2">
        <f t="shared" si="1"/>
        <v>2.1672571633816373</v>
      </c>
      <c r="L51" s="2">
        <f t="shared" si="2"/>
        <v>2.1672571633816373</v>
      </c>
      <c r="M51">
        <f>VLOOKUP(A51,[42]a6jsisubxejru4pv!$B$1:$N$100,7,FALSE)</f>
        <v>2</v>
      </c>
      <c r="N51">
        <f>VLOOKUP(A51,[42]a6jsisubxejru4pv!$B$1:$N$100,10,FALSE)</f>
        <v>1.91</v>
      </c>
    </row>
    <row r="52" spans="1:14" x14ac:dyDescent="0.3">
      <c r="A52" t="s">
        <v>146</v>
      </c>
      <c r="B52" t="str">
        <f>VLOOKUP(A52,'[5]Ticker List'!$H$4:$I$20,2,FALSE)</f>
        <v>PNY</v>
      </c>
      <c r="C52" t="str">
        <f>VLOOKUP(A52,[41]WRDS!$B$1:$N$13,2,FALSE)</f>
        <v>PIEDMONT NAT GAS</v>
      </c>
      <c r="D52">
        <f>VLOOKUP(A52,[41]WRDS!$B$1:$N$13,12,FALSE)</f>
        <v>1.67</v>
      </c>
      <c r="E52">
        <f>VLOOKUP(A52,[24]WRDS!$B$1:$N$12,12,FALSE)</f>
        <v>1.78</v>
      </c>
      <c r="F52" s="1">
        <f t="shared" si="3"/>
        <v>2.1564792810891205</v>
      </c>
      <c r="G52" s="1">
        <f t="shared" si="4"/>
        <v>2.09246952670832</v>
      </c>
      <c r="H52" s="2">
        <f t="shared" si="0"/>
        <v>1.6075273465837814E-2</v>
      </c>
      <c r="I52" s="2">
        <f>VLOOKUP(A52,[42]a6jsisubxejru4pv!$B$1:$N$100,9,FALSE)/100</f>
        <v>6.6000000000000003E-2</v>
      </c>
      <c r="J52" s="2">
        <f>VLOOKUP(A52,[42]a6jsisubxejru4pv!$B$1:$N$100,8,FALSE)/100</f>
        <v>5.7999999999999996E-2</v>
      </c>
      <c r="K52" s="2">
        <f t="shared" si="1"/>
        <v>3.105684431450523</v>
      </c>
      <c r="L52" s="2">
        <f t="shared" si="2"/>
        <v>2.6080257124868229</v>
      </c>
      <c r="M52">
        <f>VLOOKUP(A52,[42]a6jsisubxejru4pv!$B$1:$N$100,7,FALSE)</f>
        <v>3</v>
      </c>
      <c r="N52">
        <f>VLOOKUP(A52,[42]a6jsisubxejru4pv!$B$1:$N$100,10,FALSE)</f>
        <v>3.08</v>
      </c>
    </row>
    <row r="53" spans="1:14" x14ac:dyDescent="0.3">
      <c r="A53" t="s">
        <v>145</v>
      </c>
      <c r="B53" t="str">
        <f>VLOOKUP(A53,'[5]Ticker List'!$H$4:$I$20,2,FALSE)</f>
        <v>WGL</v>
      </c>
      <c r="C53" t="str">
        <f>VLOOKUP(A53,[41]WRDS!$B$1:$N$13,2,FALSE)</f>
        <v>WGL HOLDING INC</v>
      </c>
      <c r="D53">
        <f>VLOOKUP(A53,[41]WRDS!$B$1:$N$13,12,FALSE)</f>
        <v>2.27</v>
      </c>
      <c r="E53">
        <f>VLOOKUP(A53,[24]WRDS!$B$1:$N$12,12,FALSE)</f>
        <v>2.68</v>
      </c>
      <c r="F53" s="1">
        <f t="shared" si="3"/>
        <v>2.7070172234187488</v>
      </c>
      <c r="G53" s="1">
        <f t="shared" si="4"/>
        <v>2.7070172234187488</v>
      </c>
      <c r="H53" s="2">
        <f t="shared" si="0"/>
        <v>4.2382794213449371E-2</v>
      </c>
      <c r="I53" s="2">
        <f>VLOOKUP(A53,[42]a6jsisubxejru4pv!$B$1:$N$100,9,FALSE)/100</f>
        <v>4.4999999999999998E-2</v>
      </c>
      <c r="J53" s="2">
        <f>VLOOKUP(A53,[42]a6jsisubxejru4pv!$B$1:$N$100,8,FALSE)/100</f>
        <v>4.4999999999999998E-2</v>
      </c>
      <c r="K53" s="2">
        <f t="shared" si="1"/>
        <v>6.175161017864432E-2</v>
      </c>
      <c r="L53" s="2">
        <f t="shared" si="2"/>
        <v>6.175161017864432E-2</v>
      </c>
      <c r="M53">
        <f>VLOOKUP(A53,[42]a6jsisubxejru4pv!$B$1:$N$100,7,FALSE)</f>
        <v>2</v>
      </c>
      <c r="N53">
        <f>VLOOKUP(A53,[42]a6jsisubxejru4pv!$B$1:$N$100,10,FALSE)</f>
        <v>0.71</v>
      </c>
    </row>
  </sheetData>
  <mergeCells count="3">
    <mergeCell ref="P1:Q1"/>
    <mergeCell ref="P7:Q7"/>
    <mergeCell ref="P13:Q1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E7869-9474-4F83-8C1A-0019AD99BA4A}">
  <dimension ref="A1:Q49"/>
  <sheetViews>
    <sheetView topLeftCell="A12" workbookViewId="0">
      <selection activeCell="A49" sqref="A49"/>
    </sheetView>
  </sheetViews>
  <sheetFormatPr defaultRowHeight="14.4" x14ac:dyDescent="0.3"/>
  <cols>
    <col min="1" max="1" width="13.33203125" bestFit="1" customWidth="1"/>
    <col min="2" max="2" width="10.44140625" bestFit="1" customWidth="1"/>
    <col min="3" max="3" width="15.109375" bestFit="1" customWidth="1"/>
    <col min="4" max="5" width="15.44140625" bestFit="1" customWidth="1"/>
    <col min="6" max="6" width="14.33203125" bestFit="1" customWidth="1"/>
    <col min="7" max="7" width="16" bestFit="1" customWidth="1"/>
    <col min="8" max="8" width="18.33203125" bestFit="1" customWidth="1"/>
    <col min="9" max="9" width="21.44140625" bestFit="1" customWidth="1"/>
    <col min="10" max="10" width="23.109375" bestFit="1" customWidth="1"/>
    <col min="11" max="11" width="22" bestFit="1" customWidth="1"/>
    <col min="12" max="12" width="24.109375" bestFit="1" customWidth="1"/>
    <col min="13" max="13" width="19.88671875" bestFit="1" customWidth="1"/>
    <col min="14" max="14" width="8.33203125" bestFit="1" customWidth="1"/>
    <col min="16" max="16" width="51.88671875" bestFit="1" customWidth="1"/>
    <col min="17" max="17" width="12" bestFit="1" customWidth="1"/>
  </cols>
  <sheetData>
    <row r="1" spans="1:17" x14ac:dyDescent="0.3">
      <c r="A1" s="4" t="s">
        <v>0</v>
      </c>
      <c r="B1" s="4" t="s">
        <v>1</v>
      </c>
      <c r="C1" s="4" t="s">
        <v>2</v>
      </c>
      <c r="D1" s="4" t="s">
        <v>81</v>
      </c>
      <c r="E1" s="4" t="s">
        <v>65</v>
      </c>
      <c r="F1" s="4" t="s">
        <v>5</v>
      </c>
      <c r="G1" s="4" t="s">
        <v>6</v>
      </c>
      <c r="H1" s="4" t="s">
        <v>7</v>
      </c>
      <c r="I1" s="4" t="s">
        <v>8</v>
      </c>
      <c r="J1" s="4" t="s">
        <v>9</v>
      </c>
      <c r="K1" s="4" t="s">
        <v>10</v>
      </c>
      <c r="L1" s="4" t="s">
        <v>11</v>
      </c>
      <c r="M1" s="4" t="s">
        <v>12</v>
      </c>
      <c r="N1" s="4" t="s">
        <v>13</v>
      </c>
      <c r="P1" s="111" t="s">
        <v>14</v>
      </c>
      <c r="Q1" s="111"/>
    </row>
    <row r="2" spans="1:17" x14ac:dyDescent="0.3">
      <c r="A2" t="s">
        <v>15</v>
      </c>
      <c r="B2" t="str">
        <f>VLOOKUP(A2,[43]WRDS!$A$1:$N$100,2,FALSE)</f>
        <v>UEP</v>
      </c>
      <c r="C2" t="str">
        <f>VLOOKUP(A2,[43]WRDS!$A$1:$N$100,3,FALSE)</f>
        <v>AMEREN CP</v>
      </c>
      <c r="D2">
        <f>VLOOKUP(A2,[43]WRDS!$A$1:$N$100,13,FALSE)</f>
        <v>2.95</v>
      </c>
      <c r="E2">
        <f>VLOOKUP(A2,[27]WRDS!$A$1:$N$100,13,FALSE)</f>
        <v>2.42</v>
      </c>
      <c r="F2" s="1">
        <f>D2*(1+I2)^4</f>
        <v>3.4510827520000009</v>
      </c>
      <c r="G2" s="1">
        <f>D2*(1+J2)^4</f>
        <v>3.4510827520000009</v>
      </c>
      <c r="H2" s="2">
        <f t="shared" ref="H2:H49" si="0">((E2/D2)^(1/4)-1)</f>
        <v>-4.8303795031271468E-2</v>
      </c>
      <c r="I2" s="2">
        <f>VLOOKUP(A2,[44]WRDS!$A$1:$O$100,10,FALSE)/100</f>
        <v>0.04</v>
      </c>
      <c r="J2" s="2">
        <f>VLOOKUP(A2,[44]WRDS!$A$1:$O$100,9,FALSE)/100</f>
        <v>0.04</v>
      </c>
      <c r="K2" s="2">
        <f t="shared" ref="K2:K49" si="1">(I2-H2)/(ABS(H2))</f>
        <v>1.8280922849665195</v>
      </c>
      <c r="L2" s="2">
        <f t="shared" ref="L2:L49" si="2">(J2-H2)/(ABS(H2))</f>
        <v>1.8280922849665195</v>
      </c>
      <c r="M2">
        <f>VLOOKUP(A2,[44]WRDS!$A$1:$O$100,8,FALSE)</f>
        <v>2</v>
      </c>
      <c r="N2">
        <f>VLOOKUP(A2,[44]WRDS!$A$1:$O$100,11,FALSE)</f>
        <v>1.41</v>
      </c>
      <c r="P2" t="s">
        <v>16</v>
      </c>
      <c r="Q2" s="3">
        <f>AVERAGE(H2:H999)</f>
        <v>2.2990158591049647E-2</v>
      </c>
    </row>
    <row r="3" spans="1:17" x14ac:dyDescent="0.3">
      <c r="A3" t="s">
        <v>17</v>
      </c>
      <c r="B3" t="str">
        <f>VLOOKUP(A3,[43]WRDS!$A$1:$N$100,2,FALSE)</f>
        <v>MPL</v>
      </c>
      <c r="C3" t="str">
        <f>VLOOKUP(A3,[43]WRDS!$A$1:$N$100,3,FALSE)</f>
        <v>ALLETE INC</v>
      </c>
      <c r="D3">
        <f>VLOOKUP(A3,[43]WRDS!$A$1:$N$100,13,FALSE)</f>
        <v>2.82</v>
      </c>
      <c r="E3">
        <f>VLOOKUP(A3,[27]WRDS!$A$1:$N$100,13,FALSE)</f>
        <v>2.58</v>
      </c>
      <c r="F3" s="1">
        <f t="shared" ref="F3:F49" si="3">D3*(1+I3)^4</f>
        <v>3.4277276249999997</v>
      </c>
      <c r="G3" s="1">
        <f t="shared" ref="G3:G49" si="4">D3*(1+J3)^4</f>
        <v>3.4277276249999997</v>
      </c>
      <c r="H3" s="2">
        <f t="shared" si="0"/>
        <v>-2.1991454743222838E-2</v>
      </c>
      <c r="I3" s="2">
        <f>VLOOKUP(A3,[44]WRDS!$A$1:$O$100,10,FALSE)/100</f>
        <v>0.05</v>
      </c>
      <c r="J3" s="2">
        <f>VLOOKUP(A3,[44]WRDS!$A$1:$O$100,9,FALSE)/100</f>
        <v>0.05</v>
      </c>
      <c r="K3" s="2">
        <f t="shared" si="1"/>
        <v>3.2736103902088893</v>
      </c>
      <c r="L3" s="2">
        <f t="shared" si="2"/>
        <v>3.2736103902088893</v>
      </c>
      <c r="M3">
        <f>VLOOKUP(A3,[44]WRDS!$A$1:$O$100,8,FALSE)</f>
        <v>1</v>
      </c>
      <c r="N3">
        <f>VLOOKUP(A3,[44]WRDS!$A$1:$O$100,11,FALSE)</f>
        <v>0</v>
      </c>
      <c r="P3" t="s">
        <v>18</v>
      </c>
      <c r="Q3" s="3">
        <f>AVERAGE(I2:I999)</f>
        <v>6.631458333333333E-2</v>
      </c>
    </row>
    <row r="4" spans="1:17" x14ac:dyDescent="0.3">
      <c r="A4" t="s">
        <v>63</v>
      </c>
      <c r="B4" t="str">
        <f>VLOOKUP(A4,[43]WRDS!$A$1:$N$100,2,FALSE)</f>
        <v>WWP</v>
      </c>
      <c r="C4" t="str">
        <f>VLOOKUP(A4,[43]WRDS!$A$1:$N$100,3,FALSE)</f>
        <v>AVISTA CORP</v>
      </c>
      <c r="D4">
        <f>VLOOKUP(A4,[43]WRDS!$A$1:$N$100,13,FALSE)</f>
        <v>1.36</v>
      </c>
      <c r="E4">
        <f>VLOOKUP(A4,[27]WRDS!$A$1:$N$100,13,FALSE)</f>
        <v>1.32</v>
      </c>
      <c r="F4" s="1">
        <f t="shared" si="3"/>
        <v>1.6530885000000002</v>
      </c>
      <c r="G4" s="1">
        <f t="shared" si="4"/>
        <v>1.6530885000000002</v>
      </c>
      <c r="H4" s="2">
        <f t="shared" si="0"/>
        <v>-7.4354599605233052E-3</v>
      </c>
      <c r="I4" s="2">
        <f>VLOOKUP(A4,[44]WRDS!$A$1:$O$100,10,FALSE)/100</f>
        <v>0.05</v>
      </c>
      <c r="J4" s="2">
        <f>VLOOKUP(A4,[44]WRDS!$A$1:$O$100,9,FALSE)/100</f>
        <v>0.05</v>
      </c>
      <c r="K4" s="2">
        <f t="shared" si="1"/>
        <v>7.7245335548119902</v>
      </c>
      <c r="L4" s="2">
        <f t="shared" si="2"/>
        <v>7.7245335548119902</v>
      </c>
      <c r="M4">
        <f>VLOOKUP(A4,[44]WRDS!$A$1:$O$100,8,FALSE)</f>
        <v>1</v>
      </c>
      <c r="N4">
        <f>VLOOKUP(A4,[44]WRDS!$A$1:$O$100,11,FALSE)</f>
        <v>0</v>
      </c>
      <c r="P4" t="s">
        <v>20</v>
      </c>
      <c r="Q4" s="3">
        <f>(Q3-Q2)/ABS(Q2)</f>
        <v>1.8844769848238634</v>
      </c>
    </row>
    <row r="5" spans="1:17" x14ac:dyDescent="0.3">
      <c r="A5" t="s">
        <v>21</v>
      </c>
      <c r="B5" t="str">
        <f>VLOOKUP(A5,[43]WRDS!$A$1:$N$100,2,FALSE)</f>
        <v>CMS</v>
      </c>
      <c r="C5" t="str">
        <f>VLOOKUP(A5,[43]WRDS!$A$1:$N$100,3,FALSE)</f>
        <v>CMS ENERGY CORP</v>
      </c>
      <c r="D5">
        <f>VLOOKUP(A5,[43]WRDS!$A$1:$N$100,13,FALSE)</f>
        <v>1.25</v>
      </c>
      <c r="E5">
        <f>VLOOKUP(A5,[27]WRDS!$A$1:$N$100,13,FALSE)</f>
        <v>1.55</v>
      </c>
      <c r="F5" s="1">
        <f t="shared" si="3"/>
        <v>1.6384950125</v>
      </c>
      <c r="G5" s="1">
        <f t="shared" si="4"/>
        <v>1.6384950125</v>
      </c>
      <c r="H5" s="2">
        <f t="shared" si="0"/>
        <v>5.5250146915888587E-2</v>
      </c>
      <c r="I5" s="2">
        <f>VLOOKUP(A5,[44]WRDS!$A$1:$O$100,10,FALSE)/100</f>
        <v>7.0000000000000007E-2</v>
      </c>
      <c r="J5" s="2">
        <f>VLOOKUP(A5,[44]WRDS!$A$1:$O$100,9,FALSE)/100</f>
        <v>7.0000000000000007E-2</v>
      </c>
      <c r="K5" s="2">
        <f t="shared" si="1"/>
        <v>0.26696495679126825</v>
      </c>
      <c r="L5" s="2">
        <f t="shared" si="2"/>
        <v>0.26696495679126825</v>
      </c>
      <c r="M5">
        <f>VLOOKUP(A5,[44]WRDS!$A$1:$O$100,8,FALSE)</f>
        <v>3</v>
      </c>
      <c r="N5">
        <f>VLOOKUP(A5,[44]WRDS!$A$1:$O$100,11,FALSE)</f>
        <v>1</v>
      </c>
      <c r="P5" t="s">
        <v>22</v>
      </c>
      <c r="Q5" s="3">
        <f>AVERAGE(J2:J999)</f>
        <v>6.4522916666666666E-2</v>
      </c>
    </row>
    <row r="6" spans="1:17" x14ac:dyDescent="0.3">
      <c r="A6" t="s">
        <v>71</v>
      </c>
      <c r="B6" t="str">
        <f>VLOOKUP(A6,[43]WRDS!$A$1:$N$100,2,FALSE)</f>
        <v>CNL</v>
      </c>
      <c r="C6" t="str">
        <f>VLOOKUP(A6,[43]WRDS!$A$1:$N$100,3,FALSE)</f>
        <v>CLECO CORP</v>
      </c>
      <c r="D6">
        <f>VLOOKUP(A6,[43]WRDS!$A$1:$N$100,13,FALSE)</f>
        <v>1.7</v>
      </c>
      <c r="E6">
        <f>VLOOKUP(A6,[27]WRDS!$A$1:$N$100,13,FALSE)</f>
        <v>2.46</v>
      </c>
      <c r="F6" s="1">
        <f t="shared" si="3"/>
        <v>2.8975157162660388</v>
      </c>
      <c r="G6" s="1">
        <f t="shared" si="4"/>
        <v>2.8975157162660388</v>
      </c>
      <c r="H6" s="2">
        <f t="shared" si="0"/>
        <v>9.6785111539611224E-2</v>
      </c>
      <c r="I6" s="2">
        <f>VLOOKUP(A6,[44]WRDS!$A$1:$O$100,10,FALSE)/100</f>
        <v>0.1426</v>
      </c>
      <c r="J6" s="2">
        <f>VLOOKUP(A6,[44]WRDS!$A$1:$O$100,9,FALSE)/100</f>
        <v>0.1426</v>
      </c>
      <c r="K6" s="2">
        <f t="shared" si="1"/>
        <v>0.4733671091719322</v>
      </c>
      <c r="L6" s="2">
        <f t="shared" si="2"/>
        <v>0.4733671091719322</v>
      </c>
      <c r="M6">
        <f>VLOOKUP(A6,[44]WRDS!$A$1:$O$100,8,FALSE)</f>
        <v>1</v>
      </c>
      <c r="N6">
        <f>VLOOKUP(A6,[44]WRDS!$A$1:$O$100,11,FALSE)</f>
        <v>0</v>
      </c>
      <c r="P6" t="s">
        <v>24</v>
      </c>
      <c r="Q6" s="3">
        <f>(Q5-Q2)/ABS(Q2)</f>
        <v>1.8065450880267626</v>
      </c>
    </row>
    <row r="7" spans="1:17" x14ac:dyDescent="0.3">
      <c r="A7" t="s">
        <v>23</v>
      </c>
      <c r="B7" t="str">
        <f>VLOOKUP(A7,[43]WRDS!$A$1:$N$100,2,FALSE)</f>
        <v>HOU</v>
      </c>
      <c r="C7" t="str">
        <f>VLOOKUP(A7,[43]WRDS!$A$1:$N$100,3,FALSE)</f>
        <v>CENTERPOINT ENER</v>
      </c>
      <c r="D7">
        <f>VLOOKUP(A7,[43]WRDS!$A$1:$N$100,13,FALSE)</f>
        <v>1.3</v>
      </c>
      <c r="E7">
        <f>VLOOKUP(A7,[27]WRDS!$A$1:$N$100,13,FALSE)</f>
        <v>1.25</v>
      </c>
      <c r="F7" s="1">
        <f t="shared" si="3"/>
        <v>2.5204110879999995</v>
      </c>
      <c r="G7" s="1">
        <f t="shared" si="4"/>
        <v>2.5204110879999995</v>
      </c>
      <c r="H7" s="2">
        <f t="shared" si="0"/>
        <v>-9.7572642574346169E-3</v>
      </c>
      <c r="I7" s="2">
        <f>VLOOKUP(A7,[44]WRDS!$A$1:$O$100,10,FALSE)/100</f>
        <v>0.18</v>
      </c>
      <c r="J7" s="2">
        <f>VLOOKUP(A7,[44]WRDS!$A$1:$O$100,9,FALSE)/100</f>
        <v>0.18</v>
      </c>
      <c r="K7" s="2">
        <f t="shared" si="1"/>
        <v>19.447793894979089</v>
      </c>
      <c r="L7" s="2">
        <f t="shared" si="2"/>
        <v>19.447793894979089</v>
      </c>
      <c r="M7">
        <f>VLOOKUP(A7,[44]WRDS!$A$1:$O$100,8,FALSE)</f>
        <v>1</v>
      </c>
      <c r="N7">
        <f>VLOOKUP(A7,[44]WRDS!$A$1:$O$100,11,FALSE)</f>
        <v>0</v>
      </c>
      <c r="P7" s="111" t="s">
        <v>26</v>
      </c>
      <c r="Q7" s="111"/>
    </row>
    <row r="8" spans="1:17" x14ac:dyDescent="0.3">
      <c r="A8" t="s">
        <v>25</v>
      </c>
      <c r="B8" t="str">
        <f>VLOOKUP(A8,[43]WRDS!$A$1:$N$100,2,FALSE)</f>
        <v>D</v>
      </c>
      <c r="C8" t="str">
        <f>VLOOKUP(A8,[43]WRDS!$A$1:$N$100,3,FALSE)</f>
        <v>DOMINION RES INC</v>
      </c>
      <c r="D8">
        <f>VLOOKUP(A8,[43]WRDS!$A$1:$N$100,13,FALSE)</f>
        <v>3.16</v>
      </c>
      <c r="E8">
        <f>VLOOKUP(A8,[27]WRDS!$A$1:$N$100,13,FALSE)</f>
        <v>3.05</v>
      </c>
      <c r="F8" s="1">
        <f t="shared" si="3"/>
        <v>4.3246781992806627</v>
      </c>
      <c r="G8" s="1">
        <f t="shared" si="4"/>
        <v>4.1421153916</v>
      </c>
      <c r="H8" s="2">
        <f t="shared" si="0"/>
        <v>-8.8184961920119154E-3</v>
      </c>
      <c r="I8" s="2">
        <f>VLOOKUP(A8,[44]WRDS!$A$1:$O$100,10,FALSE)/100</f>
        <v>8.1600000000000006E-2</v>
      </c>
      <c r="J8" s="2">
        <f>VLOOKUP(A8,[44]WRDS!$A$1:$O$100,9,FALSE)/100</f>
        <v>7.0000000000000007E-2</v>
      </c>
      <c r="K8" s="2">
        <f t="shared" si="1"/>
        <v>10.253278362122101</v>
      </c>
      <c r="L8" s="2">
        <f t="shared" si="2"/>
        <v>8.9378613400557239</v>
      </c>
      <c r="M8">
        <f>VLOOKUP(A8,[44]WRDS!$A$1:$O$100,8,FALSE)</f>
        <v>5</v>
      </c>
      <c r="N8">
        <f>VLOOKUP(A8,[44]WRDS!$A$1:$O$100,11,FALSE)</f>
        <v>3.58</v>
      </c>
      <c r="P8" t="s">
        <v>28</v>
      </c>
      <c r="Q8" s="2">
        <f>MEDIAN(H2:H99)</f>
        <v>3.0398226054432098E-2</v>
      </c>
    </row>
    <row r="9" spans="1:17" x14ac:dyDescent="0.3">
      <c r="A9" t="s">
        <v>27</v>
      </c>
      <c r="B9" t="str">
        <f>VLOOKUP(A9,[43]WRDS!$A$1:$N$100,2,FALSE)</f>
        <v>DTE</v>
      </c>
      <c r="C9" t="str">
        <f>VLOOKUP(A9,[43]WRDS!$A$1:$N$100,3,FALSE)</f>
        <v>DTE ENERGY</v>
      </c>
      <c r="D9">
        <f>VLOOKUP(A9,[43]WRDS!$A$1:$N$100,13,FALSE)</f>
        <v>2.9</v>
      </c>
      <c r="E9">
        <f>VLOOKUP(A9,[27]WRDS!$A$1:$N$100,13,FALSE)</f>
        <v>3.94</v>
      </c>
      <c r="F9" s="1">
        <f t="shared" si="3"/>
        <v>3.6611831840000009</v>
      </c>
      <c r="G9" s="1">
        <f t="shared" si="4"/>
        <v>3.6611831840000009</v>
      </c>
      <c r="H9" s="2">
        <f t="shared" si="0"/>
        <v>7.9629035603731246E-2</v>
      </c>
      <c r="I9" s="2">
        <f>VLOOKUP(A9,[44]WRDS!$A$1:$O$100,10,FALSE)/100</f>
        <v>0.06</v>
      </c>
      <c r="J9" s="2">
        <f>VLOOKUP(A9,[44]WRDS!$A$1:$O$100,9,FALSE)/100</f>
        <v>0.06</v>
      </c>
      <c r="K9" s="2">
        <f t="shared" si="1"/>
        <v>-0.24650600694718791</v>
      </c>
      <c r="L9" s="2">
        <f t="shared" si="2"/>
        <v>-0.24650600694718791</v>
      </c>
      <c r="M9">
        <f>VLOOKUP(A9,[44]WRDS!$A$1:$O$100,8,FALSE)</f>
        <v>1</v>
      </c>
      <c r="N9">
        <f>VLOOKUP(A9,[44]WRDS!$A$1:$O$100,11,FALSE)</f>
        <v>0</v>
      </c>
      <c r="P9" t="s">
        <v>30</v>
      </c>
      <c r="Q9" s="2">
        <f>MEDIAN(I2:I100)</f>
        <v>0.06</v>
      </c>
    </row>
    <row r="10" spans="1:17" x14ac:dyDescent="0.3">
      <c r="A10" t="s">
        <v>29</v>
      </c>
      <c r="B10" t="str">
        <f>VLOOKUP(A10,[43]WRDS!$A$1:$N$100,2,FALSE)</f>
        <v>DUK</v>
      </c>
      <c r="C10" t="str">
        <f>VLOOKUP(A10,[43]WRDS!$A$1:$N$100,3,FALSE)</f>
        <v>DUKE ENERGY CORP</v>
      </c>
      <c r="D10">
        <f>VLOOKUP(A10,[43]WRDS!$A$1:$N$100,13,FALSE)</f>
        <v>3.63</v>
      </c>
      <c r="E10">
        <f>VLOOKUP(A10,[27]WRDS!$A$1:$N$100,13,FALSE)</f>
        <v>4.32</v>
      </c>
      <c r="F10" s="1">
        <f t="shared" si="3"/>
        <v>4.3222184319324644</v>
      </c>
      <c r="G10" s="1">
        <f t="shared" si="4"/>
        <v>4.3904769055554045</v>
      </c>
      <c r="H10" s="2">
        <f t="shared" si="0"/>
        <v>4.4465935734187001E-2</v>
      </c>
      <c r="I10" s="2">
        <f>VLOOKUP(A10,[44]WRDS!$A$1:$O$100,10,FALSE)/100</f>
        <v>4.4600000000000001E-2</v>
      </c>
      <c r="J10" s="2">
        <f>VLOOKUP(A10,[44]WRDS!$A$1:$O$100,9,FALSE)/100</f>
        <v>4.87E-2</v>
      </c>
      <c r="K10" s="2">
        <f t="shared" si="1"/>
        <v>3.0149880711928074E-3</v>
      </c>
      <c r="L10" s="2">
        <f t="shared" si="2"/>
        <v>9.5220401772804691E-2</v>
      </c>
      <c r="M10">
        <f>VLOOKUP(A10,[44]WRDS!$A$1:$O$100,8,FALSE)</f>
        <v>6</v>
      </c>
      <c r="N10">
        <f>VLOOKUP(A10,[44]WRDS!$A$1:$O$100,11,FALSE)</f>
        <v>1.36</v>
      </c>
      <c r="P10" t="s">
        <v>32</v>
      </c>
      <c r="Q10" s="2">
        <f>(Q9-Q8)/ABS(Q8)</f>
        <v>0.97379938857491077</v>
      </c>
    </row>
    <row r="11" spans="1:17" x14ac:dyDescent="0.3">
      <c r="A11" t="s">
        <v>31</v>
      </c>
      <c r="B11" t="str">
        <f>VLOOKUP(A11,[43]WRDS!$A$1:$N$100,2,FALSE)</f>
        <v>ED</v>
      </c>
      <c r="C11" t="str">
        <f>VLOOKUP(A11,[43]WRDS!$A$1:$N$100,3,FALSE)</f>
        <v>CONSOLIDATED EDI</v>
      </c>
      <c r="D11">
        <f>VLOOKUP(A11,[43]WRDS!$A$1:$N$100,13,FALSE)</f>
        <v>3</v>
      </c>
      <c r="E11">
        <f>VLOOKUP(A11,[27]WRDS!$A$1:$N$100,13,FALSE)</f>
        <v>3.75</v>
      </c>
      <c r="F11" s="1">
        <f t="shared" si="3"/>
        <v>3.2882390351228943</v>
      </c>
      <c r="G11" s="1">
        <f t="shared" si="4"/>
        <v>3.3114386718749991</v>
      </c>
      <c r="H11" s="2">
        <f t="shared" si="0"/>
        <v>5.7371263440564091E-2</v>
      </c>
      <c r="I11" s="2">
        <f>VLOOKUP(A11,[44]WRDS!$A$1:$O$100,10,FALSE)/100</f>
        <v>2.3199999999999998E-2</v>
      </c>
      <c r="J11" s="2">
        <f>VLOOKUP(A11,[44]WRDS!$A$1:$O$100,9,FALSE)/100</f>
        <v>2.5000000000000001E-2</v>
      </c>
      <c r="K11" s="2">
        <f t="shared" si="1"/>
        <v>-0.59561636595235679</v>
      </c>
      <c r="L11" s="2">
        <f t="shared" si="2"/>
        <v>-0.56424177365555683</v>
      </c>
      <c r="M11">
        <f>VLOOKUP(A11,[44]WRDS!$A$1:$O$100,8,FALSE)</f>
        <v>4</v>
      </c>
      <c r="N11">
        <f>VLOOKUP(A11,[44]WRDS!$A$1:$O$100,11,FALSE)</f>
        <v>1.59</v>
      </c>
      <c r="P11" t="s">
        <v>34</v>
      </c>
      <c r="Q11" s="2">
        <f>MEDIAN(J2:J99)</f>
        <v>0.06</v>
      </c>
    </row>
    <row r="12" spans="1:17" x14ac:dyDescent="0.3">
      <c r="A12" t="s">
        <v>33</v>
      </c>
      <c r="B12" t="str">
        <f>VLOOKUP(A12,[43]WRDS!$A$1:$N$100,2,FALSE)</f>
        <v>SCE</v>
      </c>
      <c r="C12" t="str">
        <f>VLOOKUP(A12,[43]WRDS!$A$1:$N$100,3,FALSE)</f>
        <v>EDISON INTL</v>
      </c>
      <c r="D12">
        <f>VLOOKUP(A12,[43]WRDS!$A$1:$N$100,13,FALSE)</f>
        <v>3.84</v>
      </c>
      <c r="E12">
        <f>VLOOKUP(A12,[27]WRDS!$A$1:$N$100,13,FALSE)</f>
        <v>3.92</v>
      </c>
      <c r="F12" s="1">
        <f t="shared" si="3"/>
        <v>4.9660577998244406</v>
      </c>
      <c r="G12" s="1">
        <f t="shared" si="4"/>
        <v>5.0334566783999994</v>
      </c>
      <c r="H12" s="2">
        <f t="shared" si="0"/>
        <v>5.1681307531814547E-3</v>
      </c>
      <c r="I12" s="2">
        <f>VLOOKUP(A12,[44]WRDS!$A$1:$O$100,10,FALSE)/100</f>
        <v>6.6400000000000001E-2</v>
      </c>
      <c r="J12" s="2">
        <f>VLOOKUP(A12,[44]WRDS!$A$1:$O$100,9,FALSE)/100</f>
        <v>7.0000000000000007E-2</v>
      </c>
      <c r="K12" s="2">
        <f t="shared" si="1"/>
        <v>11.847972153011948</v>
      </c>
      <c r="L12" s="2">
        <f t="shared" si="2"/>
        <v>12.544548956488502</v>
      </c>
      <c r="M12">
        <f>VLOOKUP(A12,[44]WRDS!$A$1:$O$100,8,FALSE)</f>
        <v>3</v>
      </c>
      <c r="N12">
        <f>VLOOKUP(A12,[44]WRDS!$A$1:$O$100,11,FALSE)</f>
        <v>0.62</v>
      </c>
      <c r="P12" t="s">
        <v>32</v>
      </c>
      <c r="Q12" s="2">
        <f>(Q11-Q8)/ABS(Q8)</f>
        <v>0.97379938857491077</v>
      </c>
    </row>
    <row r="13" spans="1:17" x14ac:dyDescent="0.3">
      <c r="A13" t="s">
        <v>59</v>
      </c>
      <c r="B13" t="str">
        <f>VLOOKUP(A13,[43]WRDS!$A$1:$N$100,2,FALSE)</f>
        <v>MSU</v>
      </c>
      <c r="C13" t="str">
        <f>VLOOKUP(A13,[43]WRDS!$A$1:$N$100,3,FALSE)</f>
        <v>ENTERGY CP</v>
      </c>
      <c r="D13">
        <f>VLOOKUP(A13,[43]WRDS!$A$1:$N$100,13,FALSE)</f>
        <v>6.51</v>
      </c>
      <c r="E13">
        <f>VLOOKUP(A13,[27]WRDS!$A$1:$N$100,13,FALSE)</f>
        <v>6.23</v>
      </c>
      <c r="F13" s="1">
        <f t="shared" si="3"/>
        <v>9.6776956444663877</v>
      </c>
      <c r="G13" s="1">
        <f t="shared" si="4"/>
        <v>9.5312910000000031</v>
      </c>
      <c r="H13" s="2">
        <f t="shared" si="0"/>
        <v>-1.0930602892751939E-2</v>
      </c>
      <c r="I13" s="2">
        <f>VLOOKUP(A13,[44]WRDS!$A$1:$O$100,10,FALSE)/100</f>
        <v>0.1042</v>
      </c>
      <c r="J13" s="2">
        <f>VLOOKUP(A13,[44]WRDS!$A$1:$O$100,9,FALSE)/100</f>
        <v>0.1</v>
      </c>
      <c r="K13" s="2">
        <f t="shared" si="1"/>
        <v>10.532868499787401</v>
      </c>
      <c r="L13" s="2">
        <f t="shared" si="2"/>
        <v>10.148626199412092</v>
      </c>
      <c r="M13">
        <f>VLOOKUP(A13,[44]WRDS!$A$1:$O$100,8,FALSE)</f>
        <v>5</v>
      </c>
      <c r="N13">
        <f>VLOOKUP(A13,[44]WRDS!$A$1:$O$100,11,FALSE)</f>
        <v>2.92</v>
      </c>
      <c r="P13" s="111" t="s">
        <v>37</v>
      </c>
      <c r="Q13" s="111"/>
    </row>
    <row r="14" spans="1:17" x14ac:dyDescent="0.3">
      <c r="A14" t="s">
        <v>35</v>
      </c>
      <c r="B14" t="str">
        <f>VLOOKUP(A14,[43]WRDS!$A$1:$N$100,2,FALSE)</f>
        <v>PE</v>
      </c>
      <c r="C14" t="str">
        <f>VLOOKUP(A14,[43]WRDS!$A$1:$N$100,3,FALSE)</f>
        <v>EXELON CORP</v>
      </c>
      <c r="D14">
        <f>VLOOKUP(A14,[43]WRDS!$A$1:$N$100,13,FALSE)</f>
        <v>4.2</v>
      </c>
      <c r="E14">
        <f>VLOOKUP(A14,[27]WRDS!$A$1:$N$100,13,FALSE)</f>
        <v>2.85</v>
      </c>
      <c r="F14" s="1">
        <f t="shared" si="3"/>
        <v>5.8077421440934973</v>
      </c>
      <c r="G14" s="1">
        <f t="shared" si="4"/>
        <v>5.7140536320000015</v>
      </c>
      <c r="H14" s="2">
        <f t="shared" si="0"/>
        <v>-9.2390793872211718E-2</v>
      </c>
      <c r="I14" s="2">
        <f>VLOOKUP(A14,[44]WRDS!$A$1:$O$100,10,FALSE)/100</f>
        <v>8.4399999999999989E-2</v>
      </c>
      <c r="J14" s="2">
        <f>VLOOKUP(A14,[44]WRDS!$A$1:$O$100,9,FALSE)/100</f>
        <v>0.08</v>
      </c>
      <c r="K14" s="2">
        <f t="shared" si="1"/>
        <v>1.9135109296358679</v>
      </c>
      <c r="L14" s="2">
        <f t="shared" si="2"/>
        <v>1.8658871370956098</v>
      </c>
      <c r="M14">
        <f>VLOOKUP(A14,[44]WRDS!$A$1:$O$100,8,FALSE)</f>
        <v>5</v>
      </c>
      <c r="N14">
        <f>VLOOKUP(A14,[44]WRDS!$A$1:$O$100,11,FALSE)</f>
        <v>3.01</v>
      </c>
      <c r="P14" t="s">
        <v>39</v>
      </c>
      <c r="Q14" s="1">
        <f>AVERAGE(M2:M1002)</f>
        <v>2.8125</v>
      </c>
    </row>
    <row r="15" spans="1:17" x14ac:dyDescent="0.3">
      <c r="A15" t="s">
        <v>67</v>
      </c>
      <c r="B15" t="str">
        <f>VLOOKUP(A15,[43]WRDS!$A$1:$N$100,2,FALSE)</f>
        <v>OEC</v>
      </c>
      <c r="C15" t="str">
        <f>VLOOKUP(A15,[43]WRDS!$A$1:$N$100,3,FALSE)</f>
        <v>FIRSTENERGY CORP</v>
      </c>
      <c r="D15">
        <f>VLOOKUP(A15,[43]WRDS!$A$1:$N$100,13,FALSE)</f>
        <v>4.57</v>
      </c>
      <c r="E15">
        <f>VLOOKUP(A15,[27]WRDS!$A$1:$N$100,13,FALSE)</f>
        <v>3.34</v>
      </c>
      <c r="F15" s="1">
        <f t="shared" si="3"/>
        <v>6.5294047748646573</v>
      </c>
      <c r="G15" s="1">
        <f t="shared" si="4"/>
        <v>6.6909370000000026</v>
      </c>
      <c r="H15" s="2">
        <f t="shared" si="0"/>
        <v>-7.5392170501541345E-2</v>
      </c>
      <c r="I15" s="2">
        <f>VLOOKUP(A15,[44]WRDS!$A$1:$O$100,10,FALSE)/100</f>
        <v>9.3299999999999994E-2</v>
      </c>
      <c r="J15" s="2">
        <f>VLOOKUP(A15,[44]WRDS!$A$1:$O$100,9,FALSE)/100</f>
        <v>0.1</v>
      </c>
      <c r="K15" s="2">
        <f t="shared" si="1"/>
        <v>2.2375290349028023</v>
      </c>
      <c r="L15" s="2">
        <f t="shared" si="2"/>
        <v>2.3263976794242258</v>
      </c>
      <c r="M15">
        <f>VLOOKUP(A15,[44]WRDS!$A$1:$O$100,8,FALSE)</f>
        <v>3</v>
      </c>
      <c r="N15">
        <f>VLOOKUP(A15,[44]WRDS!$A$1:$O$100,11,FALSE)</f>
        <v>1.1499999999999999</v>
      </c>
      <c r="P15" t="s">
        <v>41</v>
      </c>
      <c r="Q15" s="1">
        <f>COUNT(N2:N1002)</f>
        <v>48</v>
      </c>
    </row>
    <row r="16" spans="1:17" x14ac:dyDescent="0.3">
      <c r="A16" t="s">
        <v>68</v>
      </c>
      <c r="B16" t="str">
        <f>VLOOKUP(A16,[43]WRDS!$A$1:$N$100,2,FALSE)</f>
        <v>KLT</v>
      </c>
      <c r="C16" t="str">
        <f>VLOOKUP(A16,[43]WRDS!$A$1:$N$100,3,FALSE)</f>
        <v>GREAT PLAINS</v>
      </c>
      <c r="D16">
        <f>VLOOKUP(A16,[43]WRDS!$A$1:$N$100,13,FALSE)</f>
        <v>1.37</v>
      </c>
      <c r="E16">
        <f>VLOOKUP(A16,[27]WRDS!$A$1:$N$100,13,FALSE)</f>
        <v>1.35</v>
      </c>
      <c r="F16" s="1">
        <f t="shared" si="3"/>
        <v>1.839825796142186</v>
      </c>
      <c r="G16" s="1">
        <f t="shared" si="4"/>
        <v>1.839825796142186</v>
      </c>
      <c r="H16" s="2">
        <f t="shared" si="0"/>
        <v>-3.6697866607990903E-3</v>
      </c>
      <c r="I16" s="2">
        <f>VLOOKUP(A16,[44]WRDS!$A$1:$O$100,10,FALSE)/100</f>
        <v>7.6499999999999999E-2</v>
      </c>
      <c r="J16" s="2">
        <f>VLOOKUP(A16,[44]WRDS!$A$1:$O$100,9,FALSE)/100</f>
        <v>7.6499999999999999E-2</v>
      </c>
      <c r="K16" s="2">
        <f t="shared" si="1"/>
        <v>21.84589843251058</v>
      </c>
      <c r="L16" s="2">
        <f t="shared" si="2"/>
        <v>21.84589843251058</v>
      </c>
      <c r="M16">
        <f>VLOOKUP(A16,[44]WRDS!$A$1:$O$100,8,FALSE)</f>
        <v>2</v>
      </c>
      <c r="N16">
        <f>VLOOKUP(A16,[44]WRDS!$A$1:$O$100,11,FALSE)</f>
        <v>1.21</v>
      </c>
    </row>
    <row r="17" spans="1:14" x14ac:dyDescent="0.3">
      <c r="A17" t="s">
        <v>36</v>
      </c>
      <c r="B17" t="str">
        <f>VLOOKUP(A17,[43]WRDS!$A$1:$N$100,2,FALSE)</f>
        <v>HE</v>
      </c>
      <c r="C17" t="str">
        <f>VLOOKUP(A17,[43]WRDS!$A$1:$N$100,3,FALSE)</f>
        <v>HAWAIIAN ELEC</v>
      </c>
      <c r="D17">
        <f>VLOOKUP(A17,[43]WRDS!$A$1:$N$100,13,FALSE)</f>
        <v>1.49</v>
      </c>
      <c r="E17">
        <f>VLOOKUP(A17,[27]WRDS!$A$1:$N$100,13,FALSE)</f>
        <v>1.68</v>
      </c>
      <c r="F17" s="1">
        <f t="shared" si="3"/>
        <v>1.8284146250269531</v>
      </c>
      <c r="G17" s="1">
        <f t="shared" si="4"/>
        <v>1.8284146250269531</v>
      </c>
      <c r="H17" s="2">
        <f t="shared" si="0"/>
        <v>3.0459086887255182E-2</v>
      </c>
      <c r="I17" s="2">
        <f>VLOOKUP(A17,[44]WRDS!$A$1:$O$100,10,FALSE)/100</f>
        <v>5.2499999999999998E-2</v>
      </c>
      <c r="J17" s="2">
        <f>VLOOKUP(A17,[44]WRDS!$A$1:$O$100,9,FALSE)/100</f>
        <v>5.2499999999999998E-2</v>
      </c>
      <c r="K17" s="2">
        <f t="shared" si="1"/>
        <v>0.72362356738826816</v>
      </c>
      <c r="L17" s="2">
        <f t="shared" si="2"/>
        <v>0.72362356738826816</v>
      </c>
      <c r="M17">
        <f>VLOOKUP(A17,[44]WRDS!$A$1:$O$100,8,FALSE)</f>
        <v>2</v>
      </c>
      <c r="N17">
        <f>VLOOKUP(A17,[44]WRDS!$A$1:$O$100,11,FALSE)</f>
        <v>3.89</v>
      </c>
    </row>
    <row r="18" spans="1:14" x14ac:dyDescent="0.3">
      <c r="A18" t="s">
        <v>38</v>
      </c>
      <c r="B18" t="str">
        <f>VLOOKUP(A18,[43]WRDS!$A$1:$N$100,2,FALSE)</f>
        <v>IDA</v>
      </c>
      <c r="C18" t="str">
        <f>VLOOKUP(A18,[43]WRDS!$A$1:$N$100,3,FALSE)</f>
        <v>IDACORP INC.</v>
      </c>
      <c r="D18">
        <f>VLOOKUP(A18,[43]WRDS!$A$1:$N$100,13,FALSE)</f>
        <v>2.17</v>
      </c>
      <c r="E18">
        <f>VLOOKUP(A18,[27]WRDS!$A$1:$N$100,13,FALSE)</f>
        <v>3.37</v>
      </c>
      <c r="F18" s="1">
        <f t="shared" si="3"/>
        <v>2.6376485624999999</v>
      </c>
      <c r="G18" s="1">
        <f t="shared" si="4"/>
        <v>2.6376485624999999</v>
      </c>
      <c r="H18" s="2">
        <f t="shared" si="0"/>
        <v>0.11632986049161875</v>
      </c>
      <c r="I18" s="2">
        <f>VLOOKUP(A18,[44]WRDS!$A$1:$O$100,10,FALSE)/100</f>
        <v>0.05</v>
      </c>
      <c r="J18" s="2">
        <f>VLOOKUP(A18,[44]WRDS!$A$1:$O$100,9,FALSE)/100</f>
        <v>0.05</v>
      </c>
      <c r="K18" s="2">
        <f t="shared" si="1"/>
        <v>-0.57018774209221745</v>
      </c>
      <c r="L18" s="2">
        <f t="shared" si="2"/>
        <v>-0.57018774209221745</v>
      </c>
      <c r="M18">
        <f>VLOOKUP(A18,[44]WRDS!$A$1:$O$100,8,FALSE)</f>
        <v>1</v>
      </c>
      <c r="N18">
        <f>VLOOKUP(A18,[44]WRDS!$A$1:$O$100,11,FALSE)</f>
        <v>0</v>
      </c>
    </row>
    <row r="19" spans="1:14" x14ac:dyDescent="0.3">
      <c r="A19" t="s">
        <v>40</v>
      </c>
      <c r="B19" t="str">
        <f>VLOOKUP(A19,[43]WRDS!$A$1:$N$100,2,FALSE)</f>
        <v>WPL</v>
      </c>
      <c r="C19" t="str">
        <f>VLOOKUP(A19,[43]WRDS!$A$1:$N$100,3,FALSE)</f>
        <v>ALLIANT ENER</v>
      </c>
      <c r="D19">
        <f>VLOOKUP(A19,[43]WRDS!$A$1:$N$100,13,FALSE)</f>
        <v>1.2150000000000001</v>
      </c>
      <c r="E19">
        <f>VLOOKUP(A19,[27]WRDS!$A$1:$N$100,13,FALSE)</f>
        <v>1.5249999999999999</v>
      </c>
      <c r="F19" s="1">
        <f t="shared" si="3"/>
        <v>1.539706040356815</v>
      </c>
      <c r="G19" s="1">
        <f t="shared" si="4"/>
        <v>1.539706040356815</v>
      </c>
      <c r="H19" s="2">
        <f t="shared" si="0"/>
        <v>5.8457419226264351E-2</v>
      </c>
      <c r="I19" s="2">
        <f>VLOOKUP(A19,[44]WRDS!$A$1:$O$100,10,FALSE)/100</f>
        <v>6.0999999999999999E-2</v>
      </c>
      <c r="J19" s="2">
        <f>VLOOKUP(A19,[44]WRDS!$A$1:$O$100,9,FALSE)/100</f>
        <v>6.0999999999999999E-2</v>
      </c>
      <c r="K19" s="2">
        <f t="shared" si="1"/>
        <v>4.3494577889153389E-2</v>
      </c>
      <c r="L19" s="2">
        <f t="shared" si="2"/>
        <v>4.3494577889153389E-2</v>
      </c>
      <c r="M19">
        <f>VLOOKUP(A19,[44]WRDS!$A$1:$O$100,8,FALSE)</f>
        <v>2</v>
      </c>
      <c r="N19">
        <f>VLOOKUP(A19,[44]WRDS!$A$1:$O$100,11,FALSE)</f>
        <v>1.56</v>
      </c>
    </row>
    <row r="20" spans="1:14" x14ac:dyDescent="0.3">
      <c r="A20" t="s">
        <v>60</v>
      </c>
      <c r="B20" t="str">
        <f>VLOOKUP(A20,[43]WRDS!$A$1:$N$100,2,FALSE)</f>
        <v>BSE</v>
      </c>
      <c r="C20" t="str">
        <f>VLOOKUP(A20,[43]WRDS!$A$1:$N$100,3,FALSE)</f>
        <v>NSTAR</v>
      </c>
      <c r="D20">
        <f>VLOOKUP(A20,[43]WRDS!$A$1:$N$100,13,FALSE)</f>
        <v>2.2200000000000002</v>
      </c>
      <c r="E20">
        <f>VLOOKUP(A20,[27]WRDS!$A$1:$N$100,13,FALSE)</f>
        <v>6.6000000000000003E-2</v>
      </c>
      <c r="F20" s="1">
        <f t="shared" si="3"/>
        <v>2.9099671422000002</v>
      </c>
      <c r="G20" s="1">
        <f t="shared" si="4"/>
        <v>2.9099671422000002</v>
      </c>
      <c r="H20" s="2">
        <f t="shared" si="0"/>
        <v>-0.58476137882408974</v>
      </c>
      <c r="I20" s="2">
        <f>VLOOKUP(A20,[44]WRDS!$A$1:$O$100,10,FALSE)/100</f>
        <v>7.0000000000000007E-2</v>
      </c>
      <c r="J20" s="2">
        <f>VLOOKUP(A20,[44]WRDS!$A$1:$O$100,9,FALSE)/100</f>
        <v>7.0000000000000007E-2</v>
      </c>
      <c r="K20" s="2">
        <f t="shared" si="1"/>
        <v>1.1197069480559141</v>
      </c>
      <c r="L20" s="2">
        <f t="shared" si="2"/>
        <v>1.1197069480559141</v>
      </c>
      <c r="M20">
        <f>VLOOKUP(A20,[44]WRDS!$A$1:$O$100,8,FALSE)</f>
        <v>2</v>
      </c>
      <c r="N20">
        <f>VLOOKUP(A20,[44]WRDS!$A$1:$O$100,11,FALSE)</f>
        <v>1.41</v>
      </c>
    </row>
    <row r="21" spans="1:14" x14ac:dyDescent="0.3">
      <c r="A21" t="s">
        <v>78</v>
      </c>
      <c r="B21" t="str">
        <f>VLOOKUP(A21,[43]WRDS!$A$1:$N$100,2,FALSE)</f>
        <v>NU</v>
      </c>
      <c r="C21" t="str">
        <f>VLOOKUP(A21,[43]WRDS!$A$1:$N$100,3,FALSE)</f>
        <v>NORTHEAST UTILS</v>
      </c>
      <c r="D21">
        <f>VLOOKUP(A21,[43]WRDS!$A$1:$N$100,13,FALSE)</f>
        <v>1.86</v>
      </c>
      <c r="E21">
        <f>VLOOKUP(A21,[27]WRDS!$A$1:$N$100,13,FALSE)</f>
        <v>2.2799999999999998</v>
      </c>
      <c r="F21" s="1">
        <f t="shared" si="3"/>
        <v>2.4126604805214038</v>
      </c>
      <c r="G21" s="1">
        <f t="shared" si="4"/>
        <v>2.3928274121624993</v>
      </c>
      <c r="H21" s="2">
        <f t="shared" si="0"/>
        <v>5.2217391426944371E-2</v>
      </c>
      <c r="I21" s="2">
        <f>VLOOKUP(A21,[44]WRDS!$A$1:$O$100,10,FALSE)/100</f>
        <v>6.7199999999999996E-2</v>
      </c>
      <c r="J21" s="2">
        <f>VLOOKUP(A21,[44]WRDS!$A$1:$O$100,9,FALSE)/100</f>
        <v>6.5000000000000002E-2</v>
      </c>
      <c r="K21" s="2">
        <f t="shared" si="1"/>
        <v>0.28692755734489911</v>
      </c>
      <c r="L21" s="2">
        <f t="shared" si="2"/>
        <v>0.24479600040801267</v>
      </c>
      <c r="M21">
        <f>VLOOKUP(A21,[44]WRDS!$A$1:$O$100,8,FALSE)</f>
        <v>4</v>
      </c>
      <c r="N21">
        <f>VLOOKUP(A21,[44]WRDS!$A$1:$O$100,11,FALSE)</f>
        <v>2.79</v>
      </c>
    </row>
    <row r="22" spans="1:14" x14ac:dyDescent="0.3">
      <c r="A22" t="s">
        <v>69</v>
      </c>
      <c r="B22" t="str">
        <f>VLOOKUP(A22,[43]WRDS!$A$1:$N$100,2,FALSE)</f>
        <v>OTTR</v>
      </c>
      <c r="C22" t="str">
        <f>VLOOKUP(A22,[43]WRDS!$A$1:$N$100,3,FALSE)</f>
        <v>OTTER TAIL CORP.</v>
      </c>
      <c r="D22">
        <f>VLOOKUP(A22,[43]WRDS!$A$1:$N$100,13,FALSE)</f>
        <v>1.0900000000000001</v>
      </c>
      <c r="E22">
        <f>VLOOKUP(A22,[27]WRDS!$A$1:$N$100,13,FALSE)</f>
        <v>1.4279999999999999</v>
      </c>
      <c r="F22" s="1">
        <f t="shared" si="3"/>
        <v>1.5105859836812499</v>
      </c>
      <c r="G22" s="1">
        <f t="shared" si="4"/>
        <v>1.5105859836812499</v>
      </c>
      <c r="H22" s="2">
        <f t="shared" si="0"/>
        <v>6.985624814365754E-2</v>
      </c>
      <c r="I22" s="2">
        <f>VLOOKUP(A22,[44]WRDS!$A$1:$O$100,10,FALSE)/100</f>
        <v>8.5000000000000006E-2</v>
      </c>
      <c r="J22" s="2">
        <f>VLOOKUP(A22,[44]WRDS!$A$1:$O$100,9,FALSE)/100</f>
        <v>8.5000000000000006E-2</v>
      </c>
      <c r="K22" s="2">
        <f t="shared" si="1"/>
        <v>0.21678450043866854</v>
      </c>
      <c r="L22" s="2">
        <f t="shared" si="2"/>
        <v>0.21678450043866854</v>
      </c>
      <c r="M22">
        <f>VLOOKUP(A22,[44]WRDS!$A$1:$O$100,8,FALSE)</f>
        <v>2</v>
      </c>
      <c r="N22">
        <f>VLOOKUP(A22,[44]WRDS!$A$1:$O$100,11,FALSE)</f>
        <v>4.95</v>
      </c>
    </row>
    <row r="23" spans="1:14" x14ac:dyDescent="0.3">
      <c r="A23" t="s">
        <v>45</v>
      </c>
      <c r="B23" t="str">
        <f>VLOOKUP(A23,[43]WRDS!$A$1:$N$100,2,FALSE)</f>
        <v>PCG</v>
      </c>
      <c r="C23" t="str">
        <f>VLOOKUP(A23,[43]WRDS!$A$1:$N$100,3,FALSE)</f>
        <v>P G &amp; E CORP</v>
      </c>
      <c r="D23">
        <f>VLOOKUP(A23,[43]WRDS!$A$1:$N$100,13,FALSE)</f>
        <v>2.95</v>
      </c>
      <c r="E23">
        <f>VLOOKUP(A23,[27]WRDS!$A$1:$N$100,13,FALSE)</f>
        <v>3.22</v>
      </c>
      <c r="F23" s="1">
        <f t="shared" si="3"/>
        <v>3.895840404275202</v>
      </c>
      <c r="G23" s="1">
        <f t="shared" si="4"/>
        <v>3.916231711585322</v>
      </c>
      <c r="H23" s="2">
        <f t="shared" si="0"/>
        <v>2.2135480720226752E-2</v>
      </c>
      <c r="I23" s="2">
        <f>VLOOKUP(A23,[44]WRDS!$A$1:$O$100,10,FALSE)/100</f>
        <v>7.2000000000000008E-2</v>
      </c>
      <c r="J23" s="2">
        <f>VLOOKUP(A23,[44]WRDS!$A$1:$O$100,9,FALSE)/100</f>
        <v>7.3399999999999993E-2</v>
      </c>
      <c r="K23" s="2">
        <f t="shared" si="1"/>
        <v>2.252696469980366</v>
      </c>
      <c r="L23" s="2">
        <f t="shared" si="2"/>
        <v>2.3159433457855392</v>
      </c>
      <c r="M23">
        <f>VLOOKUP(A23,[44]WRDS!$A$1:$O$100,8,FALSE)</f>
        <v>6</v>
      </c>
      <c r="N23">
        <f>VLOOKUP(A23,[44]WRDS!$A$1:$O$100,11,FALSE)</f>
        <v>0.81</v>
      </c>
    </row>
    <row r="24" spans="1:14" x14ac:dyDescent="0.3">
      <c r="A24" t="s">
        <v>46</v>
      </c>
      <c r="B24" t="str">
        <f>VLOOKUP(A24,[43]WRDS!$A$1:$N$100,2,FALSE)</f>
        <v>PEG</v>
      </c>
      <c r="C24" t="str">
        <f>VLOOKUP(A24,[43]WRDS!$A$1:$N$100,3,FALSE)</f>
        <v>PUB SVC ENTERS</v>
      </c>
      <c r="D24">
        <f>VLOOKUP(A24,[43]WRDS!$A$1:$N$100,13,FALSE)</f>
        <v>2.92</v>
      </c>
      <c r="E24">
        <f>VLOOKUP(A24,[27]WRDS!$A$1:$N$100,13,FALSE)</f>
        <v>2.44</v>
      </c>
      <c r="F24" s="1">
        <f t="shared" si="3"/>
        <v>3.2864857251999995</v>
      </c>
      <c r="G24" s="1">
        <f t="shared" si="4"/>
        <v>3.2864857251999995</v>
      </c>
      <c r="H24" s="2">
        <f t="shared" si="0"/>
        <v>-4.3903466193752072E-2</v>
      </c>
      <c r="I24" s="2">
        <f>VLOOKUP(A24,[44]WRDS!$A$1:$O$100,10,FALSE)/100</f>
        <v>0.03</v>
      </c>
      <c r="J24" s="2">
        <f>VLOOKUP(A24,[44]WRDS!$A$1:$O$100,9,FALSE)/100</f>
        <v>0.03</v>
      </c>
      <c r="K24" s="2">
        <f t="shared" si="1"/>
        <v>1.6833173460064828</v>
      </c>
      <c r="L24" s="2">
        <f t="shared" si="2"/>
        <v>1.6833173460064828</v>
      </c>
      <c r="M24">
        <f>VLOOKUP(A24,[44]WRDS!$A$1:$O$100,8,FALSE)</f>
        <v>1</v>
      </c>
      <c r="N24">
        <f>VLOOKUP(A24,[44]WRDS!$A$1:$O$100,11,FALSE)</f>
        <v>0</v>
      </c>
    </row>
    <row r="25" spans="1:14" x14ac:dyDescent="0.3">
      <c r="A25" t="s">
        <v>74</v>
      </c>
      <c r="B25" t="str">
        <f>VLOOKUP(A25,[43]WRDS!$A$1:$N$100,2,FALSE)</f>
        <v>CPL</v>
      </c>
      <c r="C25" t="str">
        <f>VLOOKUP(A25,[43]WRDS!$A$1:$N$100,3,FALSE)</f>
        <v>PROGRESS ENERGY</v>
      </c>
      <c r="D25">
        <f>VLOOKUP(A25,[43]WRDS!$A$1:$N$100,13,FALSE)</f>
        <v>2.98</v>
      </c>
      <c r="E25">
        <f>VLOOKUP(A25,[27]WRDS!$A$1:$N$100,13,FALSE)</f>
        <v>0.38</v>
      </c>
      <c r="F25" s="1">
        <f t="shared" si="3"/>
        <v>3.7565057900983039</v>
      </c>
      <c r="G25" s="1">
        <f t="shared" si="4"/>
        <v>3.6222086249999998</v>
      </c>
      <c r="H25" s="2">
        <f t="shared" si="0"/>
        <v>-0.40242580771378333</v>
      </c>
      <c r="I25" s="2">
        <f>VLOOKUP(A25,[44]WRDS!$A$1:$O$100,10,FALSE)/100</f>
        <v>5.96E-2</v>
      </c>
      <c r="J25" s="2">
        <f>VLOOKUP(A25,[44]WRDS!$A$1:$O$100,9,FALSE)/100</f>
        <v>0.05</v>
      </c>
      <c r="K25" s="2">
        <f t="shared" si="1"/>
        <v>1.1481018335742255</v>
      </c>
      <c r="L25" s="2">
        <f t="shared" si="2"/>
        <v>1.1242465046763637</v>
      </c>
      <c r="M25">
        <f>VLOOKUP(A25,[44]WRDS!$A$1:$O$100,8,FALSE)</f>
        <v>5</v>
      </c>
      <c r="N25">
        <f>VLOOKUP(A25,[44]WRDS!$A$1:$O$100,11,FALSE)</f>
        <v>2.84</v>
      </c>
    </row>
    <row r="26" spans="1:14" x14ac:dyDescent="0.3">
      <c r="A26" t="s">
        <v>47</v>
      </c>
      <c r="B26" t="str">
        <f>VLOOKUP(A26,[43]WRDS!$A$1:$N$100,2,FALSE)</f>
        <v>PNM</v>
      </c>
      <c r="C26" t="str">
        <f>VLOOKUP(A26,[43]WRDS!$A$1:$N$100,3,FALSE)</f>
        <v>PNM RESOURCES</v>
      </c>
      <c r="D26">
        <f>VLOOKUP(A26,[43]WRDS!$A$1:$N$100,13,FALSE)</f>
        <v>0.12</v>
      </c>
      <c r="E26">
        <f>VLOOKUP(A26,[27]WRDS!$A$1:$N$100,13,FALSE)</f>
        <v>1.31</v>
      </c>
      <c r="F26" s="1">
        <f t="shared" si="3"/>
        <v>0.19914283807499999</v>
      </c>
      <c r="G26" s="1">
        <f t="shared" si="4"/>
        <v>0.16025629687499998</v>
      </c>
      <c r="H26" s="2">
        <f t="shared" si="0"/>
        <v>0.81770127732799791</v>
      </c>
      <c r="I26" s="2">
        <f>VLOOKUP(A26,[44]WRDS!$A$1:$O$100,10,FALSE)/100</f>
        <v>0.13500000000000001</v>
      </c>
      <c r="J26" s="2">
        <f>VLOOKUP(A26,[44]WRDS!$A$1:$O$100,9,FALSE)/100</f>
        <v>7.4999999999999997E-2</v>
      </c>
      <c r="K26" s="2">
        <f t="shared" si="1"/>
        <v>-0.83490303397698062</v>
      </c>
      <c r="L26" s="2">
        <f t="shared" si="2"/>
        <v>-0.90827946332054488</v>
      </c>
      <c r="M26">
        <f>VLOOKUP(A26,[44]WRDS!$A$1:$O$100,8,FALSE)</f>
        <v>4</v>
      </c>
      <c r="N26">
        <f>VLOOKUP(A26,[44]WRDS!$A$1:$O$100,11,FALSE)</f>
        <v>13.87</v>
      </c>
    </row>
    <row r="27" spans="1:14" x14ac:dyDescent="0.3">
      <c r="A27" t="s">
        <v>48</v>
      </c>
      <c r="B27" t="str">
        <f>VLOOKUP(A27,[43]WRDS!$A$1:$N$100,2,FALSE)</f>
        <v>AZP</v>
      </c>
      <c r="C27" t="str">
        <f>VLOOKUP(A27,[43]WRDS!$A$1:$N$100,3,FALSE)</f>
        <v>PINNACLE WST CAP</v>
      </c>
      <c r="D27">
        <f>VLOOKUP(A27,[43]WRDS!$A$1:$N$100,13,FALSE)</f>
        <v>2.39</v>
      </c>
      <c r="E27">
        <f>VLOOKUP(A27,[27]WRDS!$A$1:$N$100,13,FALSE)</f>
        <v>3.5</v>
      </c>
      <c r="F27" s="1">
        <f t="shared" si="3"/>
        <v>2.8501194554937488</v>
      </c>
      <c r="G27" s="1">
        <f t="shared" si="4"/>
        <v>2.8512105669156251</v>
      </c>
      <c r="H27" s="2">
        <f t="shared" si="0"/>
        <v>0.10006294471788602</v>
      </c>
      <c r="I27" s="2">
        <f>VLOOKUP(A27,[44]WRDS!$A$1:$O$100,10,FALSE)/100</f>
        <v>4.4999999999999998E-2</v>
      </c>
      <c r="J27" s="2">
        <f>VLOOKUP(A27,[44]WRDS!$A$1:$O$100,9,FALSE)/100</f>
        <v>4.5100000000000001E-2</v>
      </c>
      <c r="K27" s="2">
        <f t="shared" si="1"/>
        <v>-0.5502830730509537</v>
      </c>
      <c r="L27" s="2">
        <f t="shared" si="2"/>
        <v>-0.54928370210217803</v>
      </c>
      <c r="M27">
        <f>VLOOKUP(A27,[44]WRDS!$A$1:$O$100,8,FALSE)</f>
        <v>3</v>
      </c>
      <c r="N27">
        <f>VLOOKUP(A27,[44]WRDS!$A$1:$O$100,11,FALSE)</f>
        <v>1.5</v>
      </c>
    </row>
    <row r="28" spans="1:14" x14ac:dyDescent="0.3">
      <c r="A28" t="s">
        <v>49</v>
      </c>
      <c r="B28" t="str">
        <f>VLOOKUP(A28,[43]WRDS!$A$1:$N$100,2,FALSE)</f>
        <v>POM</v>
      </c>
      <c r="C28" t="str">
        <f>VLOOKUP(A28,[43]WRDS!$A$1:$N$100,3,FALSE)</f>
        <v>PEPCO HOLDINGS</v>
      </c>
      <c r="D28">
        <f>VLOOKUP(A28,[43]WRDS!$A$1:$N$100,13,FALSE)</f>
        <v>1.93</v>
      </c>
      <c r="E28">
        <f>VLOOKUP(A28,[27]WRDS!$A$1:$N$100,13,FALSE)</f>
        <v>1.21</v>
      </c>
      <c r="F28" s="1">
        <f t="shared" si="3"/>
        <v>2.2578270208000002</v>
      </c>
      <c r="G28" s="1">
        <f t="shared" si="4"/>
        <v>2.2578270208000002</v>
      </c>
      <c r="H28" s="2">
        <f t="shared" si="0"/>
        <v>-0.11017005791917522</v>
      </c>
      <c r="I28" s="2">
        <f>VLOOKUP(A28,[44]WRDS!$A$1:$O$100,10,FALSE)/100</f>
        <v>0.04</v>
      </c>
      <c r="J28" s="2">
        <f>VLOOKUP(A28,[44]WRDS!$A$1:$O$100,9,FALSE)/100</f>
        <v>0.04</v>
      </c>
      <c r="K28" s="2">
        <f t="shared" si="1"/>
        <v>1.3630750564672069</v>
      </c>
      <c r="L28" s="2">
        <f t="shared" si="2"/>
        <v>1.3630750564672069</v>
      </c>
      <c r="M28">
        <f>VLOOKUP(A28,[44]WRDS!$A$1:$O$100,8,FALSE)</f>
        <v>2</v>
      </c>
      <c r="N28">
        <f>VLOOKUP(A28,[44]WRDS!$A$1:$O$100,11,FALSE)</f>
        <v>2.83</v>
      </c>
    </row>
    <row r="29" spans="1:14" x14ac:dyDescent="0.3">
      <c r="A29" t="s">
        <v>50</v>
      </c>
      <c r="B29" t="str">
        <f>VLOOKUP(A29,[43]WRDS!$A$1:$N$100,2,FALSE)</f>
        <v>PORO</v>
      </c>
      <c r="C29" t="str">
        <f>VLOOKUP(A29,[43]WRDS!$A$1:$N$100,3,FALSE)</f>
        <v>PORTLAND GENERAL</v>
      </c>
      <c r="D29">
        <f>VLOOKUP(A29,[43]WRDS!$A$1:$N$100,13,FALSE)</f>
        <v>1.71</v>
      </c>
      <c r="E29">
        <f>VLOOKUP(A29,[27]WRDS!$A$1:$N$100,13,FALSE)</f>
        <v>1.87</v>
      </c>
      <c r="F29" s="1">
        <f t="shared" si="3"/>
        <v>2.149888336612781</v>
      </c>
      <c r="G29" s="1">
        <f t="shared" si="4"/>
        <v>2.0525087019717581</v>
      </c>
      <c r="H29" s="2">
        <f t="shared" si="0"/>
        <v>2.2613152176985007E-2</v>
      </c>
      <c r="I29" s="2">
        <f>VLOOKUP(A29,[44]WRDS!$A$1:$O$100,10,FALSE)/100</f>
        <v>5.8899999999999994E-2</v>
      </c>
      <c r="J29" s="2">
        <f>VLOOKUP(A29,[44]WRDS!$A$1:$O$100,9,FALSE)/100</f>
        <v>4.6699999999999998E-2</v>
      </c>
      <c r="K29" s="2">
        <f t="shared" si="1"/>
        <v>1.6046788850581679</v>
      </c>
      <c r="L29" s="2">
        <f t="shared" si="2"/>
        <v>1.0651698460478176</v>
      </c>
      <c r="M29">
        <f>VLOOKUP(A29,[44]WRDS!$A$1:$O$100,8,FALSE)</f>
        <v>3</v>
      </c>
      <c r="N29">
        <f>VLOOKUP(A29,[44]WRDS!$A$1:$O$100,11,FALSE)</f>
        <v>2.71</v>
      </c>
    </row>
    <row r="30" spans="1:14" x14ac:dyDescent="0.3">
      <c r="A30" t="s">
        <v>51</v>
      </c>
      <c r="B30" t="str">
        <f>VLOOKUP(A30,[43]WRDS!$A$1:$N$100,2,FALSE)</f>
        <v>PPL</v>
      </c>
      <c r="C30" t="str">
        <f>VLOOKUP(A30,[43]WRDS!$A$1:$N$100,3,FALSE)</f>
        <v>PP&amp;L CORP</v>
      </c>
      <c r="D30">
        <f>VLOOKUP(A30,[43]WRDS!$A$1:$N$100,13,FALSE)</f>
        <v>2.02</v>
      </c>
      <c r="E30">
        <f>VLOOKUP(A30,[27]WRDS!$A$1:$N$100,13,FALSE)</f>
        <v>2.42</v>
      </c>
      <c r="F30" s="1">
        <f t="shared" si="3"/>
        <v>3.2161359970889514</v>
      </c>
      <c r="G30" s="1">
        <f t="shared" si="4"/>
        <v>3.1785091072000009</v>
      </c>
      <c r="H30" s="2">
        <f t="shared" si="0"/>
        <v>4.6203091770898874E-2</v>
      </c>
      <c r="I30" s="2">
        <f>VLOOKUP(A30,[44]WRDS!$A$1:$O$100,10,FALSE)/100</f>
        <v>0.12330000000000001</v>
      </c>
      <c r="J30" s="2">
        <f>VLOOKUP(A30,[44]WRDS!$A$1:$O$100,9,FALSE)/100</f>
        <v>0.12</v>
      </c>
      <c r="K30" s="2">
        <f t="shared" si="1"/>
        <v>1.6686525787363173</v>
      </c>
      <c r="L30" s="2">
        <f t="shared" si="2"/>
        <v>1.5972287870913062</v>
      </c>
      <c r="M30">
        <f>VLOOKUP(A30,[44]WRDS!$A$1:$O$100,8,FALSE)</f>
        <v>3</v>
      </c>
      <c r="N30">
        <f>VLOOKUP(A30,[44]WRDS!$A$1:$O$100,11,FALSE)</f>
        <v>2.52</v>
      </c>
    </row>
    <row r="31" spans="1:14" x14ac:dyDescent="0.3">
      <c r="A31" t="s">
        <v>52</v>
      </c>
      <c r="B31" t="str">
        <f>VLOOKUP(A31,[43]WRDS!$A$1:$N$100,2,FALSE)</f>
        <v>SCG</v>
      </c>
      <c r="C31" t="str">
        <f>VLOOKUP(A31,[43]WRDS!$A$1:$N$100,3,FALSE)</f>
        <v>SCANA CP</v>
      </c>
      <c r="D31">
        <f>VLOOKUP(A31,[43]WRDS!$A$1:$N$100,13,FALSE)</f>
        <v>2.95</v>
      </c>
      <c r="E31">
        <f>VLOOKUP(A31,[27]WRDS!$A$1:$N$100,13,FALSE)</f>
        <v>3.19</v>
      </c>
      <c r="F31" s="1">
        <f t="shared" si="3"/>
        <v>3.5871096301548908</v>
      </c>
      <c r="G31" s="1">
        <f t="shared" si="4"/>
        <v>3.5871096301548908</v>
      </c>
      <c r="H31" s="2">
        <f t="shared" si="0"/>
        <v>1.9746367040762269E-2</v>
      </c>
      <c r="I31" s="2">
        <f>VLOOKUP(A31,[44]WRDS!$A$1:$O$100,10,FALSE)/100</f>
        <v>5.0099999999999999E-2</v>
      </c>
      <c r="J31" s="2">
        <f>VLOOKUP(A31,[44]WRDS!$A$1:$O$100,9,FALSE)/100</f>
        <v>5.0099999999999999E-2</v>
      </c>
      <c r="K31" s="2">
        <f t="shared" si="1"/>
        <v>1.5371755673627947</v>
      </c>
      <c r="L31" s="2">
        <f t="shared" si="2"/>
        <v>1.5371755673627947</v>
      </c>
      <c r="M31">
        <f>VLOOKUP(A31,[44]WRDS!$A$1:$O$100,8,FALSE)</f>
        <v>2</v>
      </c>
      <c r="N31">
        <f>VLOOKUP(A31,[44]WRDS!$A$1:$O$100,11,FALSE)</f>
        <v>0.02</v>
      </c>
    </row>
    <row r="32" spans="1:14" x14ac:dyDescent="0.3">
      <c r="A32" t="s">
        <v>53</v>
      </c>
      <c r="B32" t="str">
        <f>VLOOKUP(A32,[43]WRDS!$A$1:$N$100,2,FALSE)</f>
        <v>SO</v>
      </c>
      <c r="C32" t="str">
        <f>VLOOKUP(A32,[43]WRDS!$A$1:$N$100,3,FALSE)</f>
        <v>SOUTHN CO</v>
      </c>
      <c r="D32">
        <f>VLOOKUP(A32,[43]WRDS!$A$1:$N$100,13,FALSE)</f>
        <v>2.37</v>
      </c>
      <c r="E32">
        <f>VLOOKUP(A32,[27]WRDS!$A$1:$N$100,13,FALSE)</f>
        <v>2.7</v>
      </c>
      <c r="F32" s="1">
        <f t="shared" si="3"/>
        <v>2.9460458767298818</v>
      </c>
      <c r="G32" s="1">
        <f t="shared" si="4"/>
        <v>2.9650642912619412</v>
      </c>
      <c r="H32" s="2">
        <f t="shared" si="0"/>
        <v>3.3127339899216013E-2</v>
      </c>
      <c r="I32" s="2">
        <f>VLOOKUP(A32,[44]WRDS!$A$1:$O$100,10,FALSE)/100</f>
        <v>5.5899999999999998E-2</v>
      </c>
      <c r="J32" s="2">
        <f>VLOOKUP(A32,[44]WRDS!$A$1:$O$100,9,FALSE)/100</f>
        <v>5.7599999999999998E-2</v>
      </c>
      <c r="K32" s="2">
        <f t="shared" si="1"/>
        <v>0.68742797248634258</v>
      </c>
      <c r="L32" s="2">
        <f t="shared" si="2"/>
        <v>0.73874510223995238</v>
      </c>
      <c r="M32">
        <f>VLOOKUP(A32,[44]WRDS!$A$1:$O$100,8,FALSE)</f>
        <v>6</v>
      </c>
      <c r="N32">
        <f>VLOOKUP(A32,[44]WRDS!$A$1:$O$100,11,FALSE)</f>
        <v>0.47</v>
      </c>
    </row>
    <row r="33" spans="1:14" x14ac:dyDescent="0.3">
      <c r="A33" t="s">
        <v>54</v>
      </c>
      <c r="B33" t="str">
        <f>VLOOKUP(A33,[43]WRDS!$A$1:$N$100,2,FALSE)</f>
        <v>SDO</v>
      </c>
      <c r="C33" t="str">
        <f>VLOOKUP(A33,[43]WRDS!$A$1:$N$100,3,FALSE)</f>
        <v>SEMPRA ENERGY</v>
      </c>
      <c r="D33">
        <f>VLOOKUP(A33,[43]WRDS!$A$1:$N$100,13,FALSE)</f>
        <v>4.43</v>
      </c>
      <c r="E33">
        <f>VLOOKUP(A33,[27]WRDS!$A$1:$N$100,13,FALSE)</f>
        <v>4.3499999999999996</v>
      </c>
      <c r="F33" s="1">
        <f t="shared" si="3"/>
        <v>5.8046558523994616</v>
      </c>
      <c r="G33" s="1">
        <f t="shared" si="4"/>
        <v>5.7183347472861046</v>
      </c>
      <c r="H33" s="2">
        <f t="shared" si="0"/>
        <v>-4.5455722114122743E-3</v>
      </c>
      <c r="I33" s="2">
        <f>VLOOKUP(A33,[44]WRDS!$A$1:$O$100,10,FALSE)/100</f>
        <v>6.9900000000000004E-2</v>
      </c>
      <c r="J33" s="2">
        <f>VLOOKUP(A33,[44]WRDS!$A$1:$O$100,9,FALSE)/100</f>
        <v>6.59E-2</v>
      </c>
      <c r="K33" s="2">
        <f t="shared" si="1"/>
        <v>16.377601927543157</v>
      </c>
      <c r="L33" s="2">
        <f t="shared" si="2"/>
        <v>15.49762470708289</v>
      </c>
      <c r="M33">
        <f>VLOOKUP(A33,[44]WRDS!$A$1:$O$100,8,FALSE)</f>
        <v>4</v>
      </c>
      <c r="N33">
        <f>VLOOKUP(A33,[44]WRDS!$A$1:$O$100,11,FALSE)</f>
        <v>2.04</v>
      </c>
    </row>
    <row r="34" spans="1:14" x14ac:dyDescent="0.3">
      <c r="A34" t="s">
        <v>75</v>
      </c>
      <c r="B34" t="str">
        <f>VLOOKUP(A34,[43]WRDS!$A$1:$N$100,2,FALSE)</f>
        <v>TE</v>
      </c>
      <c r="C34" t="str">
        <f>VLOOKUP(A34,[43]WRDS!$A$1:$N$100,3,FALSE)</f>
        <v>TECO ENERGY INC</v>
      </c>
      <c r="D34">
        <f>VLOOKUP(A34,[43]WRDS!$A$1:$N$100,13,FALSE)</f>
        <v>0.86</v>
      </c>
      <c r="E34">
        <f>VLOOKUP(A34,[27]WRDS!$A$1:$N$100,13,FALSE)</f>
        <v>1.1499999999999999</v>
      </c>
      <c r="F34" s="1">
        <f t="shared" si="3"/>
        <v>1.1562151049642639</v>
      </c>
      <c r="G34" s="1">
        <f t="shared" si="4"/>
        <v>1.2161891675977536</v>
      </c>
      <c r="H34" s="2">
        <f t="shared" si="0"/>
        <v>7.5350019402090407E-2</v>
      </c>
      <c r="I34" s="2">
        <f>VLOOKUP(A34,[44]WRDS!$A$1:$O$100,10,FALSE)/100</f>
        <v>7.6799999999999993E-2</v>
      </c>
      <c r="J34" s="2">
        <f>VLOOKUP(A34,[44]WRDS!$A$1:$O$100,9,FALSE)/100</f>
        <v>9.0500000000000011E-2</v>
      </c>
      <c r="K34" s="2">
        <f t="shared" si="1"/>
        <v>1.9243267744525096E-2</v>
      </c>
      <c r="L34" s="2">
        <f t="shared" si="2"/>
        <v>0.20106140274582734</v>
      </c>
      <c r="M34">
        <f>VLOOKUP(A34,[44]WRDS!$A$1:$O$100,8,FALSE)</f>
        <v>6</v>
      </c>
      <c r="N34">
        <f>VLOOKUP(A34,[44]WRDS!$A$1:$O$100,11,FALSE)</f>
        <v>3.83</v>
      </c>
    </row>
    <row r="35" spans="1:14" x14ac:dyDescent="0.3">
      <c r="A35" t="s">
        <v>76</v>
      </c>
      <c r="B35" t="str">
        <f>VLOOKUP(A35,[43]WRDS!$A$1:$N$100,2,FALSE)</f>
        <v>SIG</v>
      </c>
      <c r="C35" t="str">
        <f>VLOOKUP(A35,[43]WRDS!$A$1:$N$100,3,FALSE)</f>
        <v>VECTREN CORP</v>
      </c>
      <c r="D35">
        <f>VLOOKUP(A35,[43]WRDS!$A$1:$N$100,13,FALSE)</f>
        <v>1.63</v>
      </c>
      <c r="E35">
        <f>VLOOKUP(A35,[27]WRDS!$A$1:$N$100,13,FALSE)</f>
        <v>1.94</v>
      </c>
      <c r="F35" s="1">
        <f t="shared" si="3"/>
        <v>2.0323309644886303</v>
      </c>
      <c r="G35" s="1">
        <f t="shared" si="4"/>
        <v>2.0578374448000005</v>
      </c>
      <c r="H35" s="2">
        <f t="shared" si="0"/>
        <v>4.448818421245071E-2</v>
      </c>
      <c r="I35" s="2">
        <f>VLOOKUP(A35,[44]WRDS!$A$1:$O$100,10,FALSE)/100</f>
        <v>5.67E-2</v>
      </c>
      <c r="J35" s="2">
        <f>VLOOKUP(A35,[44]WRDS!$A$1:$O$100,9,FALSE)/100</f>
        <v>0.06</v>
      </c>
      <c r="K35" s="2">
        <f t="shared" si="1"/>
        <v>0.27449571169802034</v>
      </c>
      <c r="L35" s="2">
        <f t="shared" si="2"/>
        <v>0.34867271079155587</v>
      </c>
      <c r="M35">
        <f>VLOOKUP(A35,[44]WRDS!$A$1:$O$100,8,FALSE)</f>
        <v>3</v>
      </c>
      <c r="N35">
        <f>VLOOKUP(A35,[44]WRDS!$A$1:$O$100,11,FALSE)</f>
        <v>0.57999999999999996</v>
      </c>
    </row>
    <row r="36" spans="1:14" x14ac:dyDescent="0.3">
      <c r="A36" t="s">
        <v>55</v>
      </c>
      <c r="B36" t="str">
        <f>VLOOKUP(A36,[43]WRDS!$A$1:$N$100,2,FALSE)</f>
        <v>WPC</v>
      </c>
      <c r="C36" t="str">
        <f>VLOOKUP(A36,[43]WRDS!$A$1:$N$100,3,FALSE)</f>
        <v>WISCONSIN ENERGY</v>
      </c>
      <c r="D36">
        <f>VLOOKUP(A36,[43]WRDS!$A$1:$N$100,13,FALSE)</f>
        <v>1.5149999999999999</v>
      </c>
      <c r="E36">
        <f>VLOOKUP(A36,[27]WRDS!$A$1:$N$100,13,FALSE)</f>
        <v>2.35</v>
      </c>
      <c r="F36" s="1">
        <f t="shared" si="3"/>
        <v>2.1669387660338435</v>
      </c>
      <c r="G36" s="1">
        <f t="shared" si="4"/>
        <v>2.2060374350349194</v>
      </c>
      <c r="H36" s="2">
        <f t="shared" si="0"/>
        <v>0.11599900490739778</v>
      </c>
      <c r="I36" s="2">
        <f>VLOOKUP(A36,[44]WRDS!$A$1:$O$100,10,FALSE)/100</f>
        <v>9.3599999999999989E-2</v>
      </c>
      <c r="J36" s="2">
        <f>VLOOKUP(A36,[44]WRDS!$A$1:$O$100,9,FALSE)/100</f>
        <v>9.849999999999999E-2</v>
      </c>
      <c r="K36" s="2">
        <f t="shared" si="1"/>
        <v>-0.19309652634760929</v>
      </c>
      <c r="L36" s="2">
        <f t="shared" si="2"/>
        <v>-0.15085478467136232</v>
      </c>
      <c r="M36">
        <f>VLOOKUP(A36,[44]WRDS!$A$1:$O$100,8,FALSE)</f>
        <v>4</v>
      </c>
      <c r="N36">
        <f>VLOOKUP(A36,[44]WRDS!$A$1:$O$100,11,FALSE)</f>
        <v>3.28</v>
      </c>
    </row>
    <row r="37" spans="1:14" x14ac:dyDescent="0.3">
      <c r="A37" t="s">
        <v>64</v>
      </c>
      <c r="B37" t="str">
        <f>VLOOKUP(A37,[43]WRDS!$A$1:$N$100,2,FALSE)</f>
        <v>KAN</v>
      </c>
      <c r="C37" t="str">
        <f>VLOOKUP(A37,[43]WRDS!$A$1:$N$100,3,FALSE)</f>
        <v>WESTAR ENERGY</v>
      </c>
      <c r="D37">
        <f>VLOOKUP(A37,[43]WRDS!$A$1:$N$100,13,FALSE)</f>
        <v>1.7</v>
      </c>
      <c r="E37">
        <f>VLOOKUP(A37,[27]WRDS!$A$1:$N$100,13,FALSE)</f>
        <v>2.15</v>
      </c>
      <c r="F37" s="1">
        <f t="shared" si="3"/>
        <v>2.0226296716536241</v>
      </c>
      <c r="G37" s="1">
        <f t="shared" si="4"/>
        <v>1.9887595520000003</v>
      </c>
      <c r="H37" s="2">
        <f t="shared" si="0"/>
        <v>6.0467552109339184E-2</v>
      </c>
      <c r="I37" s="2">
        <f>VLOOKUP(A37,[44]WRDS!$A$1:$O$100,10,FALSE)/100</f>
        <v>4.4400000000000002E-2</v>
      </c>
      <c r="J37" s="2">
        <f>VLOOKUP(A37,[44]WRDS!$A$1:$O$100,9,FALSE)/100</f>
        <v>0.04</v>
      </c>
      <c r="K37" s="2">
        <f t="shared" si="1"/>
        <v>-0.26572188800177271</v>
      </c>
      <c r="L37" s="2">
        <f t="shared" si="2"/>
        <v>-0.33848818738898445</v>
      </c>
      <c r="M37">
        <f>VLOOKUP(A37,[44]WRDS!$A$1:$O$100,8,FALSE)</f>
        <v>3</v>
      </c>
      <c r="N37">
        <f>VLOOKUP(A37,[44]WRDS!$A$1:$O$100,11,FALSE)</f>
        <v>1.39</v>
      </c>
    </row>
    <row r="38" spans="1:14" x14ac:dyDescent="0.3">
      <c r="A38" t="s">
        <v>56</v>
      </c>
      <c r="B38" t="str">
        <f>VLOOKUP(A38,[43]WRDS!$A$1:$N$100,2,FALSE)</f>
        <v>NSP</v>
      </c>
      <c r="C38" t="str">
        <f>VLOOKUP(A38,[43]WRDS!$A$1:$N$100,3,FALSE)</f>
        <v>XCEL ENERGY INC</v>
      </c>
      <c r="D38">
        <f>VLOOKUP(A38,[43]WRDS!$A$1:$N$100,13,FALSE)</f>
        <v>1.45</v>
      </c>
      <c r="E38">
        <f>VLOOKUP(A38,[27]WRDS!$A$1:$N$100,13,FALSE)</f>
        <v>1.82</v>
      </c>
      <c r="F38" s="1">
        <f t="shared" si="3"/>
        <v>1.8914342101142592</v>
      </c>
      <c r="G38" s="1">
        <f t="shared" si="4"/>
        <v>1.9006542145</v>
      </c>
      <c r="H38" s="2">
        <f t="shared" si="0"/>
        <v>5.8463402541381937E-2</v>
      </c>
      <c r="I38" s="2">
        <f>VLOOKUP(A38,[44]WRDS!$A$1:$O$100,10,FALSE)/100</f>
        <v>6.8699999999999997E-2</v>
      </c>
      <c r="J38" s="2">
        <f>VLOOKUP(A38,[44]WRDS!$A$1:$O$100,9,FALSE)/100</f>
        <v>7.0000000000000007E-2</v>
      </c>
      <c r="K38" s="2">
        <f t="shared" si="1"/>
        <v>0.175094110394487</v>
      </c>
      <c r="L38" s="2">
        <f t="shared" si="2"/>
        <v>0.19733024348783262</v>
      </c>
      <c r="M38">
        <f>VLOOKUP(A38,[44]WRDS!$A$1:$O$100,8,FALSE)</f>
        <v>3</v>
      </c>
      <c r="N38">
        <f>VLOOKUP(A38,[44]WRDS!$A$1:$O$100,11,FALSE)</f>
        <v>0.81</v>
      </c>
    </row>
    <row r="39" spans="1:14" x14ac:dyDescent="0.3">
      <c r="A39" t="s">
        <v>132</v>
      </c>
      <c r="B39" t="str">
        <f>VLOOKUP(A39,'[5]Ticker List'!$H$4:$I$20,2,FALSE)</f>
        <v>EGAS</v>
      </c>
      <c r="C39" t="str">
        <f>VLOOKUP(A39,[45]WRDS!$B$1:$N$15,2,FALSE)</f>
        <v>ATMOS ENERGY CP</v>
      </c>
      <c r="D39">
        <f>VLOOKUP(A39,[45]WRDS!$B$1:$N$15,12,FALSE)</f>
        <v>1.97</v>
      </c>
      <c r="E39">
        <f>VLOOKUP(A39,[29]WRDS!$B$1:$N$13,12,FALSE)</f>
        <v>2.5299999999999998</v>
      </c>
      <c r="F39" s="1">
        <f t="shared" si="3"/>
        <v>2.3945473124999999</v>
      </c>
      <c r="G39" s="1">
        <f t="shared" si="4"/>
        <v>2.3945473124999999</v>
      </c>
      <c r="H39" s="2">
        <f t="shared" si="0"/>
        <v>6.454389518564696E-2</v>
      </c>
      <c r="I39" s="2">
        <f>VLOOKUP(A39,[46]ve5r079ro3nobg43!$B$1:$N$16,9,FALSE)/100</f>
        <v>0.05</v>
      </c>
      <c r="J39" s="2">
        <f>VLOOKUP(A39,[46]ve5r079ro3nobg43!$B$1:$N$16,8,FALSE)/100</f>
        <v>0.05</v>
      </c>
      <c r="K39" s="2">
        <f t="shared" si="1"/>
        <v>-0.2253333974315386</v>
      </c>
      <c r="L39" s="2">
        <f t="shared" si="2"/>
        <v>-0.2253333974315386</v>
      </c>
      <c r="M39">
        <f>VLOOKUP(A39,[46]ve5r079ro3nobg43!$B$1:$N$16,7,FALSE)</f>
        <v>2</v>
      </c>
      <c r="N39">
        <f>VLOOKUP(A39,[46]ve5r079ro3nobg43!$B$1:$N$16,10,FALSE)</f>
        <v>0</v>
      </c>
    </row>
    <row r="40" spans="1:14" x14ac:dyDescent="0.3">
      <c r="A40" t="s">
        <v>133</v>
      </c>
      <c r="B40" t="str">
        <f>VLOOKUP(A40,'[5]Ticker List'!$H$4:$I$20,2,FALSE)</f>
        <v>CHPK</v>
      </c>
      <c r="C40" t="str">
        <f>VLOOKUP(A40,[45]WRDS!$B$1:$N$15,2,FALSE)</f>
        <v>CHESAPEAKE UTIL</v>
      </c>
      <c r="D40">
        <f>VLOOKUP(A40,[45]WRDS!$B$1:$N$15,12,FALSE)</f>
        <v>1.32</v>
      </c>
      <c r="E40">
        <f>VLOOKUP(A40,[29]WRDS!$B$1:$N$13,12,FALSE)</f>
        <v>1.9933000000000001</v>
      </c>
      <c r="F40" s="1">
        <f t="shared" si="3"/>
        <v>1.6105892473453201</v>
      </c>
      <c r="G40" s="1">
        <f t="shared" si="4"/>
        <v>1.6105892473453201</v>
      </c>
      <c r="H40" s="2">
        <f t="shared" si="0"/>
        <v>0.1085356997761675</v>
      </c>
      <c r="I40" s="2">
        <f>VLOOKUP(A40,[46]ve5r079ro3nobg43!$B$1:$N$16,9,FALSE)/100</f>
        <v>5.0999999999999997E-2</v>
      </c>
      <c r="J40" s="2">
        <f>VLOOKUP(A40,[46]ve5r079ro3nobg43!$B$1:$N$16,8,FALSE)/100</f>
        <v>5.0999999999999997E-2</v>
      </c>
      <c r="K40" s="2">
        <f t="shared" si="1"/>
        <v>-0.53010852553420695</v>
      </c>
      <c r="L40" s="2">
        <f t="shared" si="2"/>
        <v>-0.53010852553420695</v>
      </c>
      <c r="M40">
        <f>VLOOKUP(A40,[46]ve5r079ro3nobg43!$B$1:$N$16,7,FALSE)</f>
        <v>2</v>
      </c>
      <c r="N40">
        <f>VLOOKUP(A40,[46]ve5r079ro3nobg43!$B$1:$N$16,10,FALSE)</f>
        <v>1.27</v>
      </c>
    </row>
    <row r="41" spans="1:14" x14ac:dyDescent="0.3">
      <c r="A41" t="s">
        <v>134</v>
      </c>
      <c r="B41" t="str">
        <f>VLOOKUP(A41,'[5]Ticker List'!$H$4:$I$20,2,FALSE)</f>
        <v>NJR</v>
      </c>
      <c r="C41" t="str">
        <f>VLOOKUP(A41,[45]WRDS!$B$1:$N$15,2,FALSE)</f>
        <v>NEW JERSEY RES</v>
      </c>
      <c r="D41">
        <f>VLOOKUP(A41,[45]WRDS!$B$1:$N$15,12,FALSE)</f>
        <v>1.1850000000000001</v>
      </c>
      <c r="E41">
        <f>VLOOKUP(A41,[29]WRDS!$B$1:$N$13,12,FALSE)</f>
        <v>1.36</v>
      </c>
      <c r="F41" s="1">
        <f t="shared" si="3"/>
        <v>1.4960351976000004</v>
      </c>
      <c r="G41" s="1">
        <f t="shared" si="4"/>
        <v>1.4960351976000004</v>
      </c>
      <c r="H41" s="2">
        <f t="shared" si="0"/>
        <v>3.5035247083093912E-2</v>
      </c>
      <c r="I41" s="2">
        <f>VLOOKUP(A41,[46]ve5r079ro3nobg43!$B$1:$N$16,9,FALSE)/100</f>
        <v>0.06</v>
      </c>
      <c r="J41" s="2">
        <f>VLOOKUP(A41,[46]ve5r079ro3nobg43!$B$1:$N$16,8,FALSE)/100</f>
        <v>0.06</v>
      </c>
      <c r="K41" s="2">
        <f t="shared" si="1"/>
        <v>0.71256106336845859</v>
      </c>
      <c r="L41" s="2">
        <f t="shared" si="2"/>
        <v>0.71256106336845859</v>
      </c>
      <c r="M41">
        <f>VLOOKUP(A41,[46]ve5r079ro3nobg43!$B$1:$N$16,7,FALSE)</f>
        <v>1</v>
      </c>
      <c r="N41">
        <f>VLOOKUP(A41,[46]ve5r079ro3nobg43!$B$1:$N$16,10,FALSE)</f>
        <v>0</v>
      </c>
    </row>
    <row r="42" spans="1:14" x14ac:dyDescent="0.3">
      <c r="A42" t="s">
        <v>135</v>
      </c>
      <c r="B42" t="str">
        <f>VLOOKUP(A42,'[5]Ticker List'!$H$4:$I$20,2,FALSE)</f>
        <v>NI</v>
      </c>
      <c r="C42" t="str">
        <f>VLOOKUP(A42,[45]WRDS!$B$1:$N$15,2,FALSE)</f>
        <v>NISOURCE INC</v>
      </c>
      <c r="D42">
        <f>VLOOKUP(A42,[45]WRDS!$B$1:$N$15,12,FALSE)</f>
        <v>1.26</v>
      </c>
      <c r="E42">
        <f>VLOOKUP(A42,[29]WRDS!$B$1:$N$13,12,FALSE)</f>
        <v>1.42</v>
      </c>
      <c r="F42" s="1">
        <f t="shared" si="3"/>
        <v>1.4181411006</v>
      </c>
      <c r="G42" s="1">
        <f t="shared" si="4"/>
        <v>1.4181411006</v>
      </c>
      <c r="H42" s="2">
        <f t="shared" si="0"/>
        <v>3.0337365221609014E-2</v>
      </c>
      <c r="I42" s="2">
        <f>VLOOKUP(A42,[46]ve5r079ro3nobg43!$B$1:$N$16,9,FALSE)/100</f>
        <v>0.03</v>
      </c>
      <c r="J42" s="2">
        <f>VLOOKUP(A42,[46]ve5r079ro3nobg43!$B$1:$N$16,8,FALSE)/100</f>
        <v>0.03</v>
      </c>
      <c r="K42" s="2">
        <f t="shared" si="1"/>
        <v>-1.1120452258942811E-2</v>
      </c>
      <c r="L42" s="2">
        <f t="shared" si="2"/>
        <v>-1.1120452258942811E-2</v>
      </c>
      <c r="M42">
        <f>VLOOKUP(A42,[46]ve5r079ro3nobg43!$B$1:$N$16,7,FALSE)</f>
        <v>4</v>
      </c>
      <c r="N42">
        <f>VLOOKUP(A42,[46]ve5r079ro3nobg43!$B$1:$N$16,10,FALSE)</f>
        <v>0.82</v>
      </c>
    </row>
    <row r="43" spans="1:14" x14ac:dyDescent="0.3">
      <c r="A43" t="s">
        <v>136</v>
      </c>
      <c r="B43" t="str">
        <f>VLOOKUP(A43,'[5]Ticker List'!$H$4:$I$20,2,FALSE)</f>
        <v>NWNG</v>
      </c>
      <c r="C43" t="str">
        <f>VLOOKUP(A43,[45]WRDS!$B$1:$N$15,2,FALSE)</f>
        <v>NW NATURAL GAS</v>
      </c>
      <c r="D43">
        <f>VLOOKUP(A43,[45]WRDS!$B$1:$N$15,12,FALSE)</f>
        <v>2.58</v>
      </c>
      <c r="E43">
        <f>VLOOKUP(A43,[29]WRDS!$B$1:$N$13,12,FALSE)</f>
        <v>2.3199999999999998</v>
      </c>
      <c r="F43" s="1">
        <f t="shared" si="3"/>
        <v>3.1062458976632827</v>
      </c>
      <c r="G43" s="1">
        <f t="shared" si="4"/>
        <v>3.1062458976632827</v>
      </c>
      <c r="H43" s="2">
        <f t="shared" si="0"/>
        <v>-2.6206055147761087E-2</v>
      </c>
      <c r="I43" s="2">
        <f>VLOOKUP(A43,[46]ve5r079ro3nobg43!$B$1:$N$16,9,FALSE)/100</f>
        <v>4.7500000000000001E-2</v>
      </c>
      <c r="J43" s="2">
        <f>VLOOKUP(A43,[46]ve5r079ro3nobg43!$B$1:$N$16,8,FALSE)/100</f>
        <v>4.7500000000000001E-2</v>
      </c>
      <c r="K43" s="2">
        <f t="shared" si="1"/>
        <v>2.8125581943628841</v>
      </c>
      <c r="L43" s="2">
        <f t="shared" si="2"/>
        <v>2.8125581943628841</v>
      </c>
      <c r="M43">
        <f>VLOOKUP(A43,[46]ve5r079ro3nobg43!$B$1:$N$16,7,FALSE)</f>
        <v>2</v>
      </c>
      <c r="N43">
        <f>VLOOKUP(A43,[46]ve5r079ro3nobg43!$B$1:$N$16,10,FALSE)</f>
        <v>1.77</v>
      </c>
    </row>
    <row r="44" spans="1:14" x14ac:dyDescent="0.3">
      <c r="A44" t="s">
        <v>138</v>
      </c>
      <c r="B44" t="str">
        <f>VLOOKUP(A44,'[5]Ticker List'!$H$4:$I$20,2,FALSE)</f>
        <v>SJI</v>
      </c>
      <c r="C44" t="str">
        <f>VLOOKUP(A44,[45]WRDS!$B$1:$N$15,2,FALSE)</f>
        <v>SO JERSEY INDS</v>
      </c>
      <c r="D44">
        <f>VLOOKUP(A44,[45]WRDS!$B$1:$N$15,12,FALSE)</f>
        <v>1.135</v>
      </c>
      <c r="E44">
        <f>VLOOKUP(A44,[29]WRDS!$B$1:$N$13,12,FALSE)</f>
        <v>1.5149999999999999</v>
      </c>
      <c r="F44" s="1">
        <f t="shared" si="3"/>
        <v>1.48775347135</v>
      </c>
      <c r="G44" s="1">
        <f t="shared" si="4"/>
        <v>1.48775347135</v>
      </c>
      <c r="H44" s="2">
        <f t="shared" si="0"/>
        <v>7.486567147774581E-2</v>
      </c>
      <c r="I44" s="2">
        <f>VLOOKUP(A44,[46]ve5r079ro3nobg43!$B$1:$N$16,9,FALSE)/100</f>
        <v>7.0000000000000007E-2</v>
      </c>
      <c r="J44" s="2">
        <f>VLOOKUP(A44,[46]ve5r079ro3nobg43!$B$1:$N$16,8,FALSE)/100</f>
        <v>7.0000000000000007E-2</v>
      </c>
      <c r="K44" s="2">
        <f t="shared" si="1"/>
        <v>-6.4992023469557042E-2</v>
      </c>
      <c r="L44" s="2">
        <f t="shared" si="2"/>
        <v>-6.4992023469557042E-2</v>
      </c>
      <c r="M44">
        <f>VLOOKUP(A44,[46]ve5r079ro3nobg43!$B$1:$N$16,7,FALSE)</f>
        <v>1</v>
      </c>
      <c r="N44">
        <f>VLOOKUP(A44,[46]ve5r079ro3nobg43!$B$1:$N$16,10,FALSE)</f>
        <v>0</v>
      </c>
    </row>
    <row r="45" spans="1:14" x14ac:dyDescent="0.3">
      <c r="A45" t="s">
        <v>139</v>
      </c>
      <c r="B45" t="str">
        <f>VLOOKUP(A45,'[5]Ticker List'!$H$4:$I$20,2,FALSE)</f>
        <v>SWX</v>
      </c>
      <c r="C45" t="str">
        <f>VLOOKUP(A45,[45]WRDS!$B$1:$N$15,2,FALSE)</f>
        <v>SOUTHWEST GAS</v>
      </c>
      <c r="D45">
        <f>VLOOKUP(A45,[45]WRDS!$B$1:$N$15,12,FALSE)</f>
        <v>1.39</v>
      </c>
      <c r="E45">
        <f>VLOOKUP(A45,[29]WRDS!$B$1:$N$13,12,FALSE)</f>
        <v>2.72</v>
      </c>
      <c r="F45" s="1">
        <f t="shared" si="3"/>
        <v>1.7548429744000003</v>
      </c>
      <c r="G45" s="1">
        <f t="shared" si="4"/>
        <v>1.7548429744000003</v>
      </c>
      <c r="H45" s="2">
        <f t="shared" si="0"/>
        <v>0.18273793336480271</v>
      </c>
      <c r="I45" s="2">
        <f>VLOOKUP(A45,[46]ve5r079ro3nobg43!$B$1:$N$16,9,FALSE)/100</f>
        <v>0.06</v>
      </c>
      <c r="J45" s="2">
        <f>VLOOKUP(A45,[46]ve5r079ro3nobg43!$B$1:$N$16,8,FALSE)/100</f>
        <v>0.06</v>
      </c>
      <c r="K45" s="2">
        <f t="shared" si="1"/>
        <v>-0.67166094693529765</v>
      </c>
      <c r="L45" s="2">
        <f t="shared" si="2"/>
        <v>-0.67166094693529765</v>
      </c>
      <c r="M45">
        <f>VLOOKUP(A45,[46]ve5r079ro3nobg43!$B$1:$N$16,7,FALSE)</f>
        <v>2</v>
      </c>
      <c r="N45">
        <f>VLOOKUP(A45,[46]ve5r079ro3nobg43!$B$1:$N$16,10,FALSE)</f>
        <v>0</v>
      </c>
    </row>
    <row r="46" spans="1:14" x14ac:dyDescent="0.3">
      <c r="A46" t="s">
        <v>144</v>
      </c>
      <c r="B46" t="str">
        <f>VLOOKUP(A46,'[5]Ticker List'!$H$4:$I$20,2,FALSE)</f>
        <v>GAS</v>
      </c>
      <c r="C46" t="s">
        <v>147</v>
      </c>
      <c r="D46">
        <v>2.71</v>
      </c>
      <c r="E46">
        <v>2.46</v>
      </c>
      <c r="F46" s="1">
        <f t="shared" si="3"/>
        <v>3.0323999094376695</v>
      </c>
      <c r="G46" s="1">
        <f t="shared" si="4"/>
        <v>3.0323999094376695</v>
      </c>
      <c r="H46" s="2">
        <f t="shared" si="0"/>
        <v>-2.390642509425922E-2</v>
      </c>
      <c r="I46" s="2">
        <f>VLOOKUP(A46,[46]ve5r079ro3nobg43!$B$1:$N$16,9,FALSE)/100</f>
        <v>2.8500000000000001E-2</v>
      </c>
      <c r="J46" s="2">
        <f>VLOOKUP(A46,[46]ve5r079ro3nobg43!$B$1:$N$16,8,FALSE)/100</f>
        <v>2.8500000000000001E-2</v>
      </c>
      <c r="K46" s="2">
        <f t="shared" si="1"/>
        <v>2.1921481312086204</v>
      </c>
      <c r="L46" s="2">
        <f t="shared" si="2"/>
        <v>2.1921481312086204</v>
      </c>
      <c r="M46">
        <f>VLOOKUP(A46,[46]ve5r079ro3nobg43!$B$1:$N$16,7,FALSE)</f>
        <v>2</v>
      </c>
      <c r="N46">
        <f>VLOOKUP(A46,[46]ve5r079ro3nobg43!$B$1:$N$16,10,FALSE)</f>
        <v>0.21</v>
      </c>
    </row>
    <row r="47" spans="1:14" x14ac:dyDescent="0.3">
      <c r="A47" t="s">
        <v>143</v>
      </c>
      <c r="B47" t="str">
        <f>VLOOKUP(A47,'[5]Ticker List'!$H$4:$I$20,2,FALSE)</f>
        <v>LG</v>
      </c>
      <c r="C47" t="str">
        <f>VLOOKUP(A47,[45]WRDS!$B$1:$N$15,2,FALSE)</f>
        <v>LACLEDE GROUP</v>
      </c>
      <c r="D47">
        <f>VLOOKUP(A47,[45]WRDS!$B$1:$N$15,12,FALSE)</f>
        <v>2.93</v>
      </c>
      <c r="E47">
        <f>VLOOKUP(A47,[29]WRDS!$B$1:$N$13,12,FALSE)</f>
        <v>2.87</v>
      </c>
      <c r="F47" s="1">
        <f t="shared" si="3"/>
        <v>3.3622423918312494</v>
      </c>
      <c r="G47" s="1">
        <f t="shared" si="4"/>
        <v>3.3622423918312494</v>
      </c>
      <c r="H47" s="2">
        <f t="shared" si="0"/>
        <v>-5.1592434640481688E-3</v>
      </c>
      <c r="I47" s="2">
        <f>VLOOKUP(A47,[46]ve5r079ro3nobg43!$B$1:$N$16,9,FALSE)/100</f>
        <v>3.5000000000000003E-2</v>
      </c>
      <c r="J47" s="2">
        <f>VLOOKUP(A47,[46]ve5r079ro3nobg43!$B$1:$N$16,8,FALSE)/100</f>
        <v>3.5000000000000003E-2</v>
      </c>
      <c r="K47" s="2">
        <f t="shared" si="1"/>
        <v>7.7839403672059833</v>
      </c>
      <c r="L47" s="2">
        <f t="shared" si="2"/>
        <v>7.7839403672059833</v>
      </c>
      <c r="M47">
        <f>VLOOKUP(A47,[46]ve5r079ro3nobg43!$B$1:$N$16,7,FALSE)</f>
        <v>1</v>
      </c>
      <c r="N47">
        <f>VLOOKUP(A47,[46]ve5r079ro3nobg43!$B$1:$N$16,10,FALSE)</f>
        <v>0</v>
      </c>
    </row>
    <row r="48" spans="1:14" x14ac:dyDescent="0.3">
      <c r="A48" t="s">
        <v>146</v>
      </c>
      <c r="B48" t="str">
        <f>VLOOKUP(A48,'[5]Ticker List'!$H$4:$I$20,2,FALSE)</f>
        <v>PNY</v>
      </c>
      <c r="C48" t="str">
        <f>VLOOKUP(A48,[45]WRDS!$B$1:$N$15,2,FALSE)</f>
        <v>PIEDMONT NAT GAS</v>
      </c>
      <c r="D48">
        <f>VLOOKUP(A48,[45]WRDS!$B$1:$N$15,12,FALSE)</f>
        <v>1.49</v>
      </c>
      <c r="E48">
        <f>VLOOKUP(A48,[29]WRDS!$B$1:$N$13,12,FALSE)</f>
        <v>1.66</v>
      </c>
      <c r="F48" s="1">
        <f t="shared" si="3"/>
        <v>2.0173859103576457</v>
      </c>
      <c r="G48" s="1">
        <f t="shared" si="4"/>
        <v>1.9240443885166405</v>
      </c>
      <c r="H48" s="2">
        <f t="shared" si="0"/>
        <v>2.7378457242118071E-2</v>
      </c>
      <c r="I48" s="2">
        <f>VLOOKUP(A48,[46]ve5r079ro3nobg43!$B$1:$N$16,9,FALSE)/100</f>
        <v>7.8700000000000006E-2</v>
      </c>
      <c r="J48" s="2">
        <f>VLOOKUP(A48,[46]ve5r079ro3nobg43!$B$1:$N$16,8,FALSE)/100</f>
        <v>6.6000000000000003E-2</v>
      </c>
      <c r="K48" s="2">
        <f t="shared" si="1"/>
        <v>1.8745228156585336</v>
      </c>
      <c r="L48" s="2">
        <f t="shared" si="2"/>
        <v>1.4106544578584905</v>
      </c>
      <c r="M48">
        <f>VLOOKUP(A48,[46]ve5r079ro3nobg43!$B$1:$N$16,7,FALSE)</f>
        <v>3</v>
      </c>
      <c r="N48">
        <f>VLOOKUP(A48,[46]ve5r079ro3nobg43!$B$1:$N$16,10,FALSE)</f>
        <v>3.67</v>
      </c>
    </row>
    <row r="49" spans="1:14" x14ac:dyDescent="0.3">
      <c r="A49" t="s">
        <v>145</v>
      </c>
      <c r="B49" t="str">
        <f>VLOOKUP(A49,'[5]Ticker List'!$H$4:$I$20,2,FALSE)</f>
        <v>WGL</v>
      </c>
      <c r="C49" t="str">
        <f>VLOOKUP(A49,[45]WRDS!$B$1:$N$15,2,FALSE)</f>
        <v>WGL HOLDING INC</v>
      </c>
      <c r="D49">
        <f>VLOOKUP(A49,[45]WRDS!$B$1:$N$15,12,FALSE)</f>
        <v>2.5299999999999998</v>
      </c>
      <c r="E49">
        <f>VLOOKUP(A49,[29]WRDS!$B$1:$N$13,12,FALSE)</f>
        <v>2.31</v>
      </c>
      <c r="F49" s="1">
        <f t="shared" si="3"/>
        <v>2.9597421568000004</v>
      </c>
      <c r="G49" s="1">
        <f t="shared" si="4"/>
        <v>2.9597421568000004</v>
      </c>
      <c r="H49" s="2">
        <f t="shared" si="0"/>
        <v>-2.2486273290288183E-2</v>
      </c>
      <c r="I49" s="2">
        <f>VLOOKUP(A49,[46]ve5r079ro3nobg43!$B$1:$N$16,9,FALSE)/100</f>
        <v>0.04</v>
      </c>
      <c r="J49" s="2">
        <f>VLOOKUP(A49,[46]ve5r079ro3nobg43!$B$1:$N$16,8,FALSE)/100</f>
        <v>0.04</v>
      </c>
      <c r="K49" s="2">
        <f t="shared" si="1"/>
        <v>2.7788630193904114</v>
      </c>
      <c r="L49" s="2">
        <f t="shared" si="2"/>
        <v>2.7788630193904114</v>
      </c>
      <c r="M49">
        <f>VLOOKUP(A49,[46]ve5r079ro3nobg43!$B$1:$N$16,7,FALSE)</f>
        <v>1</v>
      </c>
      <c r="N49">
        <f>VLOOKUP(A49,[46]ve5r079ro3nobg43!$B$1:$N$16,10,FALSE)</f>
        <v>0</v>
      </c>
    </row>
  </sheetData>
  <mergeCells count="3">
    <mergeCell ref="P1:Q1"/>
    <mergeCell ref="P7:Q7"/>
    <mergeCell ref="P13:Q13"/>
  </mergeCells>
  <pageMargins left="0.7" right="0.7" top="0.75" bottom="0.75" header="0.3" footer="0.3"/>
  <legacy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7CD0C-57C0-476A-95BF-E4CE696E07C1}">
  <dimension ref="A1:Q53"/>
  <sheetViews>
    <sheetView topLeftCell="A16" workbookViewId="0">
      <selection activeCell="A53" sqref="A53"/>
    </sheetView>
  </sheetViews>
  <sheetFormatPr defaultRowHeight="14.4" x14ac:dyDescent="0.3"/>
  <cols>
    <col min="1" max="1" width="13.33203125" bestFit="1" customWidth="1"/>
    <col min="2" max="2" width="10.44140625" bestFit="1" customWidth="1"/>
    <col min="3" max="3" width="15.109375" bestFit="1" customWidth="1"/>
    <col min="4" max="5" width="15.44140625" bestFit="1" customWidth="1"/>
    <col min="6" max="6" width="14.33203125" bestFit="1" customWidth="1"/>
    <col min="7" max="7" width="16" bestFit="1" customWidth="1"/>
    <col min="8" max="8" width="18.33203125" bestFit="1" customWidth="1"/>
    <col min="9" max="9" width="21.44140625" bestFit="1" customWidth="1"/>
    <col min="10" max="10" width="23.109375" bestFit="1" customWidth="1"/>
    <col min="11" max="11" width="22" bestFit="1" customWidth="1"/>
    <col min="12" max="12" width="24.109375" bestFit="1" customWidth="1"/>
    <col min="13" max="13" width="19.88671875" bestFit="1" customWidth="1"/>
    <col min="14" max="14" width="8.33203125" bestFit="1" customWidth="1"/>
    <col min="16" max="16" width="51.88671875" bestFit="1" customWidth="1"/>
    <col min="17" max="17" width="12" bestFit="1" customWidth="1"/>
  </cols>
  <sheetData>
    <row r="1" spans="1:17" x14ac:dyDescent="0.3">
      <c r="A1" s="4" t="s">
        <v>0</v>
      </c>
      <c r="B1" s="4" t="s">
        <v>1</v>
      </c>
      <c r="C1" s="4" t="s">
        <v>2</v>
      </c>
      <c r="D1" s="4" t="s">
        <v>82</v>
      </c>
      <c r="E1" s="4" t="s">
        <v>70</v>
      </c>
      <c r="F1" s="4" t="s">
        <v>5</v>
      </c>
      <c r="G1" s="4" t="s">
        <v>6</v>
      </c>
      <c r="H1" s="4" t="s">
        <v>7</v>
      </c>
      <c r="I1" s="4" t="s">
        <v>8</v>
      </c>
      <c r="J1" s="4" t="s">
        <v>9</v>
      </c>
      <c r="K1" s="4" t="s">
        <v>10</v>
      </c>
      <c r="L1" s="4" t="s">
        <v>11</v>
      </c>
      <c r="M1" s="4" t="s">
        <v>12</v>
      </c>
      <c r="N1" s="4" t="s">
        <v>13</v>
      </c>
      <c r="P1" s="111" t="s">
        <v>14</v>
      </c>
      <c r="Q1" s="111"/>
    </row>
    <row r="2" spans="1:17" x14ac:dyDescent="0.3">
      <c r="A2" t="s">
        <v>15</v>
      </c>
      <c r="B2" t="str">
        <f>VLOOKUP(A2,[47]WRDS!$A$1:$N$100,2,FALSE)</f>
        <v>UEP</v>
      </c>
      <c r="C2" t="str">
        <f>VLOOKUP(A2,[47]WRDS!$A$1:$N$100,3,FALSE)</f>
        <v>AMEREN CP</v>
      </c>
      <c r="D2">
        <f>VLOOKUP(A2,[47]WRDS!$A$1:$N$100,13,FALSE)</f>
        <v>3.29</v>
      </c>
      <c r="E2">
        <f>VLOOKUP(A2,[31]WRDS!$A$1:$N$100,13,FALSE)</f>
        <v>2.56</v>
      </c>
      <c r="F2" s="1">
        <f>D2*(1+I2)^4</f>
        <v>4.1347725886340729</v>
      </c>
      <c r="G2" s="1">
        <f>D2*(1+J2)^4</f>
        <v>3.8859763443785154</v>
      </c>
      <c r="H2" s="2">
        <f t="shared" ref="H2:H53" si="0">((E2/D2)^(1/4)-1)</f>
        <v>-6.079365724461061E-2</v>
      </c>
      <c r="I2" s="2">
        <f>VLOOKUP(A2,[48]WRDS!$A$1:$O$100,10,FALSE)/100</f>
        <v>5.8799999999999998E-2</v>
      </c>
      <c r="J2" s="2">
        <f>VLOOKUP(A2,[48]WRDS!$A$1:$O$100,9,FALSE)/100</f>
        <v>4.2500000000000003E-2</v>
      </c>
      <c r="K2" s="2">
        <f t="shared" ref="K2:K53" si="1">(I2-H2)/(ABS(H2))</f>
        <v>1.9672061636859763</v>
      </c>
      <c r="L2" s="2">
        <f t="shared" ref="L2:L53" si="2">(J2-H2)/(ABS(H2))</f>
        <v>1.6990860876981975</v>
      </c>
      <c r="M2">
        <f>VLOOKUP(A2,[48]WRDS!$A$1:$O$100,8,FALSE)</f>
        <v>4</v>
      </c>
      <c r="N2">
        <f>VLOOKUP(A2,[48]WRDS!$A$1:$O$100,11,FALSE)</f>
        <v>4.17</v>
      </c>
      <c r="P2" t="s">
        <v>16</v>
      </c>
      <c r="Q2" s="3">
        <f>AVERAGE(H2:H999)</f>
        <v>1.4699639786202985E-2</v>
      </c>
    </row>
    <row r="3" spans="1:17" x14ac:dyDescent="0.3">
      <c r="A3" t="s">
        <v>17</v>
      </c>
      <c r="B3" t="str">
        <f>VLOOKUP(A3,[47]WRDS!$A$1:$N$100,2,FALSE)</f>
        <v>MPL</v>
      </c>
      <c r="C3" t="str">
        <f>VLOOKUP(A3,[47]WRDS!$A$1:$N$100,3,FALSE)</f>
        <v>ALLETE INC</v>
      </c>
      <c r="D3">
        <f>VLOOKUP(A3,[47]WRDS!$A$1:$N$100,13,FALSE)</f>
        <v>3.08</v>
      </c>
      <c r="E3">
        <f>VLOOKUP(A3,[31]WRDS!$A$1:$N$100,13,FALSE)</f>
        <v>2.39</v>
      </c>
      <c r="F3" s="1">
        <f t="shared" ref="F3:F53" si="3">D3*(1+I3)^4</f>
        <v>3.7437592500000001</v>
      </c>
      <c r="G3" s="1">
        <f t="shared" ref="G3:G53" si="4">D3*(1+J3)^4</f>
        <v>3.7437592500000001</v>
      </c>
      <c r="H3" s="2">
        <f t="shared" si="0"/>
        <v>-6.1440529880290473E-2</v>
      </c>
      <c r="I3" s="2">
        <f>VLOOKUP(A3,[48]WRDS!$A$1:$O$100,10,FALSE)/100</f>
        <v>0.05</v>
      </c>
      <c r="J3" s="2">
        <f>VLOOKUP(A3,[48]WRDS!$A$1:$O$100,9,FALSE)/100</f>
        <v>0.05</v>
      </c>
      <c r="K3" s="2">
        <f t="shared" si="1"/>
        <v>1.8137950648768659</v>
      </c>
      <c r="L3" s="2">
        <f t="shared" si="2"/>
        <v>1.8137950648768659</v>
      </c>
      <c r="M3">
        <f>VLOOKUP(A3,[48]WRDS!$A$1:$O$100,8,FALSE)</f>
        <v>1</v>
      </c>
      <c r="N3">
        <f>VLOOKUP(A3,[48]WRDS!$A$1:$O$100,11,FALSE)</f>
        <v>0</v>
      </c>
      <c r="P3" t="s">
        <v>18</v>
      </c>
      <c r="Q3" s="3">
        <f>AVERAGE(I2:I999)</f>
        <v>7.7421153846153806E-2</v>
      </c>
    </row>
    <row r="4" spans="1:17" x14ac:dyDescent="0.3">
      <c r="A4" t="s">
        <v>63</v>
      </c>
      <c r="B4" t="str">
        <f>VLOOKUP(A4,[47]WRDS!$A$1:$N$100,2,FALSE)</f>
        <v>WWP</v>
      </c>
      <c r="C4" t="str">
        <f>VLOOKUP(A4,[47]WRDS!$A$1:$N$100,3,FALSE)</f>
        <v>AVISTA CORP</v>
      </c>
      <c r="D4">
        <f>VLOOKUP(A4,[47]WRDS!$A$1:$N$100,13,FALSE)</f>
        <v>0.72</v>
      </c>
      <c r="E4">
        <f>VLOOKUP(A4,[31]WRDS!$A$1:$N$100,13,FALSE)</f>
        <v>1.72</v>
      </c>
      <c r="F4" s="1">
        <f t="shared" si="3"/>
        <v>0.85861339244999957</v>
      </c>
      <c r="G4" s="1">
        <f t="shared" si="4"/>
        <v>0.85861339244999957</v>
      </c>
      <c r="H4" s="2">
        <f t="shared" si="0"/>
        <v>0.24322286118886072</v>
      </c>
      <c r="I4" s="2">
        <f>VLOOKUP(A4,[48]WRDS!$A$1:$O$100,10,FALSE)/100</f>
        <v>4.4999999999999998E-2</v>
      </c>
      <c r="J4" s="2">
        <f>VLOOKUP(A4,[48]WRDS!$A$1:$O$100,9,FALSE)/100</f>
        <v>4.4999999999999998E-2</v>
      </c>
      <c r="K4" s="2">
        <f t="shared" si="1"/>
        <v>-0.81498449701626596</v>
      </c>
      <c r="L4" s="2">
        <f t="shared" si="2"/>
        <v>-0.81498449701626596</v>
      </c>
      <c r="M4">
        <f>VLOOKUP(A4,[48]WRDS!$A$1:$O$100,8,FALSE)</f>
        <v>2</v>
      </c>
      <c r="N4">
        <f>VLOOKUP(A4,[48]WRDS!$A$1:$O$100,11,FALSE)</f>
        <v>0.71</v>
      </c>
      <c r="P4" t="s">
        <v>20</v>
      </c>
      <c r="Q4" s="3">
        <f>(Q3-Q2)/ABS(Q2)</f>
        <v>4.2668742208785932</v>
      </c>
    </row>
    <row r="5" spans="1:17" x14ac:dyDescent="0.3">
      <c r="A5" t="s">
        <v>19</v>
      </c>
      <c r="B5" t="str">
        <f>VLOOKUP(A5,[47]WRDS!$A$1:$N$100,2,FALSE)</f>
        <v>BHP</v>
      </c>
      <c r="C5" t="str">
        <f>VLOOKUP(A5,[47]WRDS!$A$1:$N$100,3,FALSE)</f>
        <v>BLACK HILLS CP</v>
      </c>
      <c r="D5">
        <f>VLOOKUP(A5,[47]WRDS!$A$1:$N$100,13,FALSE)</f>
        <v>2.68</v>
      </c>
      <c r="E5">
        <f>VLOOKUP(A5,[31]WRDS!$A$1:$N$100,13,FALSE)</f>
        <v>1.92</v>
      </c>
      <c r="F5" s="1">
        <f t="shared" si="3"/>
        <v>3.5129333068000004</v>
      </c>
      <c r="G5" s="1">
        <f t="shared" si="4"/>
        <v>3.5129333068000004</v>
      </c>
      <c r="H5" s="2">
        <f t="shared" si="0"/>
        <v>-7.9991989692308252E-2</v>
      </c>
      <c r="I5" s="2">
        <f>VLOOKUP(A5,[48]WRDS!$A$1:$O$100,10,FALSE)/100</f>
        <v>7.0000000000000007E-2</v>
      </c>
      <c r="J5" s="2">
        <f>VLOOKUP(A5,[48]WRDS!$A$1:$O$100,9,FALSE)/100</f>
        <v>7.0000000000000007E-2</v>
      </c>
      <c r="K5" s="2">
        <f t="shared" si="1"/>
        <v>1.8750876215138197</v>
      </c>
      <c r="L5" s="2">
        <f t="shared" si="2"/>
        <v>1.8750876215138197</v>
      </c>
      <c r="M5">
        <f>VLOOKUP(A5,[48]WRDS!$A$1:$O$100,8,FALSE)</f>
        <v>1</v>
      </c>
      <c r="N5">
        <f>VLOOKUP(A5,[48]WRDS!$A$1:$O$100,11,FALSE)</f>
        <v>0</v>
      </c>
      <c r="P5" t="s">
        <v>22</v>
      </c>
      <c r="Q5" s="3">
        <f>AVERAGE(J2:J999)</f>
        <v>7.2723076923076904E-2</v>
      </c>
    </row>
    <row r="6" spans="1:17" x14ac:dyDescent="0.3">
      <c r="A6" t="s">
        <v>83</v>
      </c>
      <c r="B6" t="str">
        <f>VLOOKUP(A6,[47]WRDS!$A$1:$N$100,2,FALSE)</f>
        <v>BGE</v>
      </c>
      <c r="C6" t="str">
        <f>VLOOKUP(A6,[47]WRDS!$A$1:$N$100,3,FALSE)</f>
        <v>CONSTELLATION EN</v>
      </c>
      <c r="D6">
        <f>VLOOKUP(A6,[47]WRDS!$A$1:$N$100,13,FALSE)</f>
        <v>4.5999999999999996</v>
      </c>
      <c r="E6">
        <f>VLOOKUP(A6,[31]WRDS!$A$1:$N$100,13,FALSE)</f>
        <v>2.12</v>
      </c>
      <c r="F6" s="1">
        <f t="shared" si="3"/>
        <v>8.3289410559999979</v>
      </c>
      <c r="G6" s="1">
        <f t="shared" si="4"/>
        <v>7.500178605999996</v>
      </c>
      <c r="H6" s="2">
        <f t="shared" si="0"/>
        <v>-0.1760620486789104</v>
      </c>
      <c r="I6" s="2">
        <f>VLOOKUP(A6,[48]WRDS!$A$1:$O$100,10,FALSE)/100</f>
        <v>0.16</v>
      </c>
      <c r="J6" s="2">
        <f>VLOOKUP(A6,[48]WRDS!$A$1:$O$100,9,FALSE)/100</f>
        <v>0.13</v>
      </c>
      <c r="K6" s="2">
        <f t="shared" si="1"/>
        <v>1.9087705226683849</v>
      </c>
      <c r="L6" s="2">
        <f t="shared" si="2"/>
        <v>1.7383760496680627</v>
      </c>
      <c r="M6">
        <f>VLOOKUP(A6,[48]WRDS!$A$1:$O$100,8,FALSE)</f>
        <v>3</v>
      </c>
      <c r="N6">
        <f>VLOOKUP(A6,[48]WRDS!$A$1:$O$100,11,FALSE)</f>
        <v>5.2</v>
      </c>
      <c r="P6" t="s">
        <v>24</v>
      </c>
      <c r="Q6" s="3">
        <f>(Q5-Q2)/ABS(Q2)</f>
        <v>3.9472693195743784</v>
      </c>
    </row>
    <row r="7" spans="1:17" x14ac:dyDescent="0.3">
      <c r="A7" t="s">
        <v>21</v>
      </c>
      <c r="B7" t="str">
        <f>VLOOKUP(A7,[47]WRDS!$A$1:$N$100,2,FALSE)</f>
        <v>CMS</v>
      </c>
      <c r="C7" t="str">
        <f>VLOOKUP(A7,[47]WRDS!$A$1:$N$100,3,FALSE)</f>
        <v>CMS ENERGY CORP</v>
      </c>
      <c r="D7">
        <f>VLOOKUP(A7,[47]WRDS!$A$1:$N$100,13,FALSE)</f>
        <v>0.89</v>
      </c>
      <c r="E7">
        <f>VLOOKUP(A7,[31]WRDS!$A$1:$N$100,13,FALSE)</f>
        <v>1.45</v>
      </c>
      <c r="F7" s="1">
        <f t="shared" si="3"/>
        <v>1.0900664318182403</v>
      </c>
      <c r="G7" s="1">
        <f t="shared" si="4"/>
        <v>1.0818005625</v>
      </c>
      <c r="H7" s="2">
        <f t="shared" si="0"/>
        <v>0.12978160391360194</v>
      </c>
      <c r="I7" s="2">
        <f>VLOOKUP(A7,[48]WRDS!$A$1:$O$100,10,FALSE)/100</f>
        <v>5.2000000000000005E-2</v>
      </c>
      <c r="J7" s="2">
        <f>VLOOKUP(A7,[48]WRDS!$A$1:$O$100,9,FALSE)/100</f>
        <v>0.05</v>
      </c>
      <c r="K7" s="2">
        <f t="shared" si="1"/>
        <v>-0.59932688122257005</v>
      </c>
      <c r="L7" s="2">
        <f t="shared" si="2"/>
        <v>-0.61473738579093273</v>
      </c>
      <c r="M7">
        <f>VLOOKUP(A7,[48]WRDS!$A$1:$O$100,8,FALSE)</f>
        <v>5</v>
      </c>
      <c r="N7">
        <f>VLOOKUP(A7,[48]WRDS!$A$1:$O$100,11,FALSE)</f>
        <v>1.92</v>
      </c>
      <c r="P7" s="111" t="s">
        <v>26</v>
      </c>
      <c r="Q7" s="111"/>
    </row>
    <row r="8" spans="1:17" x14ac:dyDescent="0.3">
      <c r="A8" t="s">
        <v>71</v>
      </c>
      <c r="B8" t="str">
        <f>VLOOKUP(A8,[47]WRDS!$A$1:$N$100,2,FALSE)</f>
        <v>CNL</v>
      </c>
      <c r="C8" t="str">
        <f>VLOOKUP(A8,[47]WRDS!$A$1:$N$100,3,FALSE)</f>
        <v>CLECO CORP</v>
      </c>
      <c r="D8">
        <f>VLOOKUP(A8,[47]WRDS!$A$1:$N$100,13,FALSE)</f>
        <v>1.32</v>
      </c>
      <c r="E8">
        <f>VLOOKUP(A8,[31]WRDS!$A$1:$N$100,13,FALSE)</f>
        <v>2.5299999999999998</v>
      </c>
      <c r="F8" s="1">
        <f t="shared" si="3"/>
        <v>2.229427411200001</v>
      </c>
      <c r="G8" s="1">
        <f t="shared" si="4"/>
        <v>2.229427411200001</v>
      </c>
      <c r="H8" s="2">
        <f t="shared" si="0"/>
        <v>0.17662114144118024</v>
      </c>
      <c r="I8" s="2">
        <f>VLOOKUP(A8,[48]WRDS!$A$1:$O$100,10,FALSE)/100</f>
        <v>0.14000000000000001</v>
      </c>
      <c r="J8" s="2">
        <f>VLOOKUP(A8,[48]WRDS!$A$1:$O$100,9,FALSE)/100</f>
        <v>0.14000000000000001</v>
      </c>
      <c r="K8" s="2">
        <f t="shared" si="1"/>
        <v>-0.20734291004101615</v>
      </c>
      <c r="L8" s="2">
        <f t="shared" si="2"/>
        <v>-0.20734291004101615</v>
      </c>
      <c r="M8">
        <f>VLOOKUP(A8,[48]WRDS!$A$1:$O$100,8,FALSE)</f>
        <v>1</v>
      </c>
      <c r="N8">
        <f>VLOOKUP(A8,[48]WRDS!$A$1:$O$100,11,FALSE)</f>
        <v>0</v>
      </c>
      <c r="P8" t="s">
        <v>28</v>
      </c>
      <c r="Q8" s="2">
        <f>MEDIAN(H2:H99)</f>
        <v>1.3693360751092287E-2</v>
      </c>
    </row>
    <row r="9" spans="1:17" x14ac:dyDescent="0.3">
      <c r="A9" t="s">
        <v>23</v>
      </c>
      <c r="B9" t="str">
        <f>VLOOKUP(A9,[47]WRDS!$A$1:$N$100,2,FALSE)</f>
        <v>HOU</v>
      </c>
      <c r="C9" t="str">
        <f>VLOOKUP(A9,[47]WRDS!$A$1:$N$100,3,FALSE)</f>
        <v>CENTERPOINT ENER</v>
      </c>
      <c r="D9">
        <f>VLOOKUP(A9,[47]WRDS!$A$1:$N$100,13,FALSE)</f>
        <v>1.17</v>
      </c>
      <c r="E9">
        <f>VLOOKUP(A9,[31]WRDS!$A$1:$N$100,13,FALSE)</f>
        <v>1.27</v>
      </c>
      <c r="F9" s="1">
        <f t="shared" si="3"/>
        <v>1.8194156510596937</v>
      </c>
      <c r="G9" s="1">
        <f t="shared" si="4"/>
        <v>1.7129970000000003</v>
      </c>
      <c r="H9" s="2">
        <f t="shared" si="0"/>
        <v>2.0714924261799661E-2</v>
      </c>
      <c r="I9" s="2">
        <f>VLOOKUP(A9,[48]WRDS!$A$1:$O$100,10,FALSE)/100</f>
        <v>0.1167</v>
      </c>
      <c r="J9" s="2">
        <f>VLOOKUP(A9,[48]WRDS!$A$1:$O$100,9,FALSE)/100</f>
        <v>0.1</v>
      </c>
      <c r="K9" s="2">
        <f t="shared" si="1"/>
        <v>4.63361943906337</v>
      </c>
      <c r="L9" s="2">
        <f t="shared" si="2"/>
        <v>3.8274373942273954</v>
      </c>
      <c r="M9">
        <f>VLOOKUP(A9,[48]WRDS!$A$1:$O$100,8,FALSE)</f>
        <v>3</v>
      </c>
      <c r="N9">
        <f>VLOOKUP(A9,[48]WRDS!$A$1:$O$100,11,FALSE)</f>
        <v>5.69</v>
      </c>
      <c r="P9" t="s">
        <v>30</v>
      </c>
      <c r="Q9" s="2">
        <f>MEDIAN(I2:I100)</f>
        <v>0.06</v>
      </c>
    </row>
    <row r="10" spans="1:17" x14ac:dyDescent="0.3">
      <c r="A10" t="s">
        <v>84</v>
      </c>
      <c r="B10" t="str">
        <f>VLOOKUP(A10,[47]WRDS!$A$1:$N$100,2,FALSE)</f>
        <v>CV</v>
      </c>
      <c r="C10" t="str">
        <f>VLOOKUP(A10,[47]WRDS!$A$1:$N$100,3,FALSE)</f>
        <v>CENT VT PUB SVC</v>
      </c>
      <c r="D10">
        <f>VLOOKUP(A10,[47]WRDS!$A$1:$N$100,13,FALSE)</f>
        <v>1.49</v>
      </c>
      <c r="E10">
        <f>VLOOKUP(A10,[31]WRDS!$A$1:$N$100,13,FALSE)</f>
        <v>0.4</v>
      </c>
      <c r="F10" s="1">
        <f t="shared" si="3"/>
        <v>2.0955488411790899</v>
      </c>
      <c r="G10" s="1">
        <f t="shared" si="4"/>
        <v>2.0955488411790899</v>
      </c>
      <c r="H10" s="2">
        <f t="shared" si="0"/>
        <v>-0.28018908027813316</v>
      </c>
      <c r="I10" s="2">
        <f>VLOOKUP(A10,[48]WRDS!$A$1:$O$100,10,FALSE)/100</f>
        <v>8.900000000000001E-2</v>
      </c>
      <c r="J10" s="2">
        <f>VLOOKUP(A10,[48]WRDS!$A$1:$O$100,9,FALSE)/100</f>
        <v>8.900000000000001E-2</v>
      </c>
      <c r="K10" s="2">
        <f t="shared" si="1"/>
        <v>1.3176426430025505</v>
      </c>
      <c r="L10" s="2">
        <f t="shared" si="2"/>
        <v>1.3176426430025505</v>
      </c>
      <c r="M10">
        <f>VLOOKUP(A10,[48]WRDS!$A$1:$O$100,8,FALSE)</f>
        <v>1</v>
      </c>
      <c r="N10">
        <f>VLOOKUP(A10,[48]WRDS!$A$1:$O$100,11,FALSE)</f>
        <v>0</v>
      </c>
      <c r="P10" t="s">
        <v>32</v>
      </c>
      <c r="Q10" s="2">
        <f>(Q9-Q8)/ABS(Q8)</f>
        <v>3.3816854817918922</v>
      </c>
    </row>
    <row r="11" spans="1:17" x14ac:dyDescent="0.3">
      <c r="A11" t="s">
        <v>25</v>
      </c>
      <c r="B11" t="str">
        <f>VLOOKUP(A11,[47]WRDS!$A$1:$N$100,2,FALSE)</f>
        <v>D</v>
      </c>
      <c r="C11" t="str">
        <f>VLOOKUP(A11,[47]WRDS!$A$1:$N$100,3,FALSE)</f>
        <v>DOMINION RES INC</v>
      </c>
      <c r="D11">
        <f>VLOOKUP(A11,[47]WRDS!$A$1:$N$100,13,FALSE)</f>
        <v>2.56</v>
      </c>
      <c r="E11">
        <f>VLOOKUP(A11,[31]WRDS!$A$1:$N$100,13,FALSE)</f>
        <v>3.05</v>
      </c>
      <c r="F11" s="1">
        <f t="shared" si="3"/>
        <v>3.4828517376000008</v>
      </c>
      <c r="G11" s="1">
        <f t="shared" si="4"/>
        <v>3.4828517376000008</v>
      </c>
      <c r="H11" s="2">
        <f t="shared" si="0"/>
        <v>4.4756227445336361E-2</v>
      </c>
      <c r="I11" s="2">
        <f>VLOOKUP(A11,[48]WRDS!$A$1:$O$100,10,FALSE)/100</f>
        <v>0.08</v>
      </c>
      <c r="J11" s="2">
        <f>VLOOKUP(A11,[48]WRDS!$A$1:$O$100,9,FALSE)/100</f>
        <v>0.08</v>
      </c>
      <c r="K11" s="2">
        <f t="shared" si="1"/>
        <v>0.78746075275690097</v>
      </c>
      <c r="L11" s="2">
        <f t="shared" si="2"/>
        <v>0.78746075275690097</v>
      </c>
      <c r="M11">
        <f>VLOOKUP(A11,[48]WRDS!$A$1:$O$100,8,FALSE)</f>
        <v>6</v>
      </c>
      <c r="N11">
        <f>VLOOKUP(A11,[48]WRDS!$A$1:$O$100,11,FALSE)</f>
        <v>2.9</v>
      </c>
      <c r="P11" t="s">
        <v>34</v>
      </c>
      <c r="Q11" s="2">
        <f>MEDIAN(J2:J99)</f>
        <v>0.06</v>
      </c>
    </row>
    <row r="12" spans="1:17" x14ac:dyDescent="0.3">
      <c r="A12" t="s">
        <v>27</v>
      </c>
      <c r="B12" t="str">
        <f>VLOOKUP(A12,[47]WRDS!$A$1:$N$100,2,FALSE)</f>
        <v>DTE</v>
      </c>
      <c r="C12" t="str">
        <f>VLOOKUP(A12,[47]WRDS!$A$1:$N$100,3,FALSE)</f>
        <v>DTE ENERGY</v>
      </c>
      <c r="D12">
        <f>VLOOKUP(A12,[47]WRDS!$A$1:$N$100,13,FALSE)</f>
        <v>2.82</v>
      </c>
      <c r="E12">
        <f>VLOOKUP(A12,[31]WRDS!$A$1:$N$100,13,FALSE)</f>
        <v>3.71</v>
      </c>
      <c r="F12" s="1">
        <f t="shared" si="3"/>
        <v>3.5267170099851577</v>
      </c>
      <c r="G12" s="1">
        <f t="shared" si="4"/>
        <v>3.4277276249999997</v>
      </c>
      <c r="H12" s="2">
        <f t="shared" si="0"/>
        <v>7.0979604553992104E-2</v>
      </c>
      <c r="I12" s="2">
        <f>VLOOKUP(A12,[48]WRDS!$A$1:$O$100,10,FALSE)/100</f>
        <v>5.7500000000000002E-2</v>
      </c>
      <c r="J12" s="2">
        <f>VLOOKUP(A12,[48]WRDS!$A$1:$O$100,9,FALSE)/100</f>
        <v>0.05</v>
      </c>
      <c r="K12" s="2">
        <f t="shared" si="1"/>
        <v>-0.18990813824186017</v>
      </c>
      <c r="L12" s="2">
        <f t="shared" si="2"/>
        <v>-0.29557229412335667</v>
      </c>
      <c r="M12">
        <f>VLOOKUP(A12,[48]WRDS!$A$1:$O$100,8,FALSE)</f>
        <v>4</v>
      </c>
      <c r="N12">
        <f>VLOOKUP(A12,[48]WRDS!$A$1:$O$100,11,FALSE)</f>
        <v>1.5</v>
      </c>
      <c r="P12" t="s">
        <v>32</v>
      </c>
      <c r="Q12" s="2">
        <f>(Q11-Q8)/ABS(Q8)</f>
        <v>3.3816854817918922</v>
      </c>
    </row>
    <row r="13" spans="1:17" x14ac:dyDescent="0.3">
      <c r="A13" t="s">
        <v>29</v>
      </c>
      <c r="B13" t="str">
        <f>VLOOKUP(A13,[47]WRDS!$A$1:$N$100,2,FALSE)</f>
        <v>DUK</v>
      </c>
      <c r="C13" t="str">
        <f>VLOOKUP(A13,[47]WRDS!$A$1:$N$100,3,FALSE)</f>
        <v>DUKE ENERGY CORP</v>
      </c>
      <c r="D13">
        <f>VLOOKUP(A13,[47]WRDS!$A$1:$N$100,13,FALSE)</f>
        <v>3.75</v>
      </c>
      <c r="E13">
        <f>VLOOKUP(A13,[31]WRDS!$A$1:$N$100,13,FALSE)</f>
        <v>4.38</v>
      </c>
      <c r="F13" s="1">
        <f t="shared" si="3"/>
        <v>4.4548518153600005</v>
      </c>
      <c r="G13" s="1">
        <f t="shared" si="4"/>
        <v>4.5581484374999999</v>
      </c>
      <c r="H13" s="2">
        <f t="shared" si="0"/>
        <v>3.9586690415235992E-2</v>
      </c>
      <c r="I13" s="2">
        <f>VLOOKUP(A13,[48]WRDS!$A$1:$O$100,10,FALSE)/100</f>
        <v>4.4000000000000004E-2</v>
      </c>
      <c r="J13" s="2">
        <f>VLOOKUP(A13,[48]WRDS!$A$1:$O$100,9,FALSE)/100</f>
        <v>0.05</v>
      </c>
      <c r="K13" s="2">
        <f t="shared" si="1"/>
        <v>0.11148468180773789</v>
      </c>
      <c r="L13" s="2">
        <f t="shared" si="2"/>
        <v>0.26305077478152028</v>
      </c>
      <c r="M13">
        <f>VLOOKUP(A13,[48]WRDS!$A$1:$O$100,8,FALSE)</f>
        <v>5</v>
      </c>
      <c r="N13">
        <f>VLOOKUP(A13,[48]WRDS!$A$1:$O$100,11,FALSE)</f>
        <v>1.52</v>
      </c>
      <c r="P13" s="111" t="s">
        <v>37</v>
      </c>
      <c r="Q13" s="111"/>
    </row>
    <row r="14" spans="1:17" x14ac:dyDescent="0.3">
      <c r="A14" t="s">
        <v>31</v>
      </c>
      <c r="B14" t="str">
        <f>VLOOKUP(A14,[47]WRDS!$A$1:$N$100,2,FALSE)</f>
        <v>ED</v>
      </c>
      <c r="C14" t="str">
        <f>VLOOKUP(A14,[47]WRDS!$A$1:$N$100,3,FALSE)</f>
        <v>CONSOLIDATED EDI</v>
      </c>
      <c r="D14">
        <f>VLOOKUP(A14,[47]WRDS!$A$1:$N$100,13,FALSE)</f>
        <v>3.45</v>
      </c>
      <c r="E14">
        <f>VLOOKUP(A14,[31]WRDS!$A$1:$N$100,13,FALSE)</f>
        <v>3.62</v>
      </c>
      <c r="F14" s="1">
        <f t="shared" si="3"/>
        <v>3.9973439318847679</v>
      </c>
      <c r="G14" s="1">
        <f t="shared" si="4"/>
        <v>4.0035120764524246</v>
      </c>
      <c r="H14" s="2">
        <f t="shared" si="0"/>
        <v>1.2097539067555507E-2</v>
      </c>
      <c r="I14" s="2">
        <f>VLOOKUP(A14,[48]WRDS!$A$1:$O$100,10,FALSE)/100</f>
        <v>3.7499999999999999E-2</v>
      </c>
      <c r="J14" s="2">
        <f>VLOOKUP(A14,[48]WRDS!$A$1:$O$100,9,FALSE)/100</f>
        <v>3.7900000000000003E-2</v>
      </c>
      <c r="K14" s="2">
        <f t="shared" si="1"/>
        <v>2.0998040006807308</v>
      </c>
      <c r="L14" s="2">
        <f t="shared" si="2"/>
        <v>2.1328685766879922</v>
      </c>
      <c r="M14">
        <f>VLOOKUP(A14,[48]WRDS!$A$1:$O$100,8,FALSE)</f>
        <v>8</v>
      </c>
      <c r="N14">
        <f>VLOOKUP(A14,[48]WRDS!$A$1:$O$100,11,FALSE)</f>
        <v>1.1100000000000001</v>
      </c>
      <c r="P14" t="s">
        <v>39</v>
      </c>
      <c r="Q14" s="1">
        <f>AVERAGE(M2:M1002)</f>
        <v>3.5576923076923075</v>
      </c>
    </row>
    <row r="15" spans="1:17" x14ac:dyDescent="0.3">
      <c r="A15" t="s">
        <v>72</v>
      </c>
      <c r="B15" t="str">
        <f>VLOOKUP(A15,[47]WRDS!$A$1:$N$100,2,FALSE)</f>
        <v>EDE</v>
      </c>
      <c r="C15" t="str">
        <f>VLOOKUP(A15,[47]WRDS!$A$1:$N$100,3,FALSE)</f>
        <v>EMPIRE DIST ELEC</v>
      </c>
      <c r="D15">
        <f>VLOOKUP(A15,[47]WRDS!$A$1:$N$100,13,FALSE)</f>
        <v>1.0900000000000001</v>
      </c>
      <c r="E15">
        <f>VLOOKUP(A15,[31]WRDS!$A$1:$N$100,13,FALSE)</f>
        <v>1.31</v>
      </c>
      <c r="F15" s="1">
        <f t="shared" si="3"/>
        <v>3.5143555024000017</v>
      </c>
      <c r="G15" s="1">
        <f t="shared" si="4"/>
        <v>3.5143555024000017</v>
      </c>
      <c r="H15" s="2">
        <f t="shared" si="0"/>
        <v>4.7035000072262578E-2</v>
      </c>
      <c r="I15" s="2">
        <f>VLOOKUP(A15,[48]WRDS!$A$1:$O$100,10,FALSE)/100</f>
        <v>0.34</v>
      </c>
      <c r="J15" s="2">
        <f>VLOOKUP(A15,[48]WRDS!$A$1:$O$100,9,FALSE)/100</f>
        <v>0.34</v>
      </c>
      <c r="K15" s="2">
        <f t="shared" si="1"/>
        <v>6.2286594977705638</v>
      </c>
      <c r="L15" s="2">
        <f t="shared" si="2"/>
        <v>6.2286594977705638</v>
      </c>
      <c r="M15">
        <f>VLOOKUP(A15,[48]WRDS!$A$1:$O$100,8,FALSE)</f>
        <v>1</v>
      </c>
      <c r="N15">
        <f>VLOOKUP(A15,[48]WRDS!$A$1:$O$100,11,FALSE)</f>
        <v>0</v>
      </c>
      <c r="P15" t="s">
        <v>41</v>
      </c>
      <c r="Q15" s="1">
        <f>COUNT(N2:N1002)</f>
        <v>52</v>
      </c>
    </row>
    <row r="16" spans="1:17" x14ac:dyDescent="0.3">
      <c r="A16" t="s">
        <v>33</v>
      </c>
      <c r="B16" t="str">
        <f>VLOOKUP(A16,[47]WRDS!$A$1:$N$100,2,FALSE)</f>
        <v>SCE</v>
      </c>
      <c r="C16" t="str">
        <f>VLOOKUP(A16,[47]WRDS!$A$1:$N$100,3,FALSE)</f>
        <v>EDISON INTL</v>
      </c>
      <c r="D16">
        <f>VLOOKUP(A16,[47]WRDS!$A$1:$N$100,13,FALSE)</f>
        <v>3.69</v>
      </c>
      <c r="E16">
        <f>VLOOKUP(A16,[31]WRDS!$A$1:$N$100,13,FALSE)</f>
        <v>3.22</v>
      </c>
      <c r="F16" s="1">
        <f t="shared" si="3"/>
        <v>4.9352197443578314</v>
      </c>
      <c r="G16" s="1">
        <f t="shared" si="4"/>
        <v>4.8368372768999999</v>
      </c>
      <c r="H16" s="2">
        <f t="shared" si="0"/>
        <v>-3.3487719853540043E-2</v>
      </c>
      <c r="I16" s="2">
        <f>VLOOKUP(A16,[48]WRDS!$A$1:$O$100,10,FALSE)/100</f>
        <v>7.5399999999999995E-2</v>
      </c>
      <c r="J16" s="2">
        <f>VLOOKUP(A16,[48]WRDS!$A$1:$O$100,9,FALSE)/100</f>
        <v>7.0000000000000007E-2</v>
      </c>
      <c r="K16" s="2">
        <f t="shared" si="1"/>
        <v>3.2515716307280722</v>
      </c>
      <c r="L16" s="2">
        <f t="shared" si="2"/>
        <v>3.09031849006585</v>
      </c>
      <c r="M16">
        <f>VLOOKUP(A16,[48]WRDS!$A$1:$O$100,8,FALSE)</f>
        <v>5</v>
      </c>
      <c r="N16">
        <f>VLOOKUP(A16,[48]WRDS!$A$1:$O$100,11,FALSE)</f>
        <v>3.37</v>
      </c>
    </row>
    <row r="17" spans="1:14" x14ac:dyDescent="0.3">
      <c r="A17" t="s">
        <v>59</v>
      </c>
      <c r="B17" t="str">
        <f>VLOOKUP(A17,[47]WRDS!$A$1:$N$100,2,FALSE)</f>
        <v>MSU</v>
      </c>
      <c r="C17" t="str">
        <f>VLOOKUP(A17,[47]WRDS!$A$1:$N$100,3,FALSE)</f>
        <v>ENTERGY CP</v>
      </c>
      <c r="D17">
        <f>VLOOKUP(A17,[47]WRDS!$A$1:$N$100,13,FALSE)</f>
        <v>5.76</v>
      </c>
      <c r="E17">
        <f>VLOOKUP(A17,[31]WRDS!$A$1:$N$100,13,FALSE)</f>
        <v>7.62</v>
      </c>
      <c r="F17" s="1">
        <f t="shared" si="3"/>
        <v>8.618724355368963</v>
      </c>
      <c r="G17" s="1">
        <f t="shared" si="4"/>
        <v>7.8364164096000017</v>
      </c>
      <c r="H17" s="2">
        <f t="shared" si="0"/>
        <v>7.246498551398961E-2</v>
      </c>
      <c r="I17" s="2">
        <f>VLOOKUP(A17,[48]WRDS!$A$1:$O$100,10,FALSE)/100</f>
        <v>0.106</v>
      </c>
      <c r="J17" s="2">
        <f>VLOOKUP(A17,[48]WRDS!$A$1:$O$100,9,FALSE)/100</f>
        <v>0.08</v>
      </c>
      <c r="K17" s="2">
        <f t="shared" si="1"/>
        <v>0.46277542523673504</v>
      </c>
      <c r="L17" s="2">
        <f t="shared" si="2"/>
        <v>0.10398145300885668</v>
      </c>
      <c r="M17">
        <f>VLOOKUP(A17,[48]WRDS!$A$1:$O$100,8,FALSE)</f>
        <v>5</v>
      </c>
      <c r="N17">
        <f>VLOOKUP(A17,[48]WRDS!$A$1:$O$100,11,FALSE)</f>
        <v>4.5599999999999996</v>
      </c>
    </row>
    <row r="18" spans="1:14" x14ac:dyDescent="0.3">
      <c r="A18" t="s">
        <v>35</v>
      </c>
      <c r="B18" t="str">
        <f>VLOOKUP(A18,[47]WRDS!$A$1:$N$100,2,FALSE)</f>
        <v>PE</v>
      </c>
      <c r="C18" t="str">
        <f>VLOOKUP(A18,[47]WRDS!$A$1:$N$100,3,FALSE)</f>
        <v>EXELON CORP</v>
      </c>
      <c r="D18">
        <f>VLOOKUP(A18,[47]WRDS!$A$1:$N$100,13,FALSE)</f>
        <v>4.32</v>
      </c>
      <c r="E18">
        <f>VLOOKUP(A18,[31]WRDS!$A$1:$N$100,13,FALSE)</f>
        <v>4.16</v>
      </c>
      <c r="F18" s="1">
        <f t="shared" si="3"/>
        <v>6.0333945934781728</v>
      </c>
      <c r="G18" s="1">
        <f t="shared" si="4"/>
        <v>5.8773123072000013</v>
      </c>
      <c r="H18" s="2">
        <f t="shared" si="0"/>
        <v>-9.3907112663861314E-3</v>
      </c>
      <c r="I18" s="2">
        <f>VLOOKUP(A18,[48]WRDS!$A$1:$O$100,10,FALSE)/100</f>
        <v>8.7100000000000011E-2</v>
      </c>
      <c r="J18" s="2">
        <f>VLOOKUP(A18,[48]WRDS!$A$1:$O$100,9,FALSE)/100</f>
        <v>0.08</v>
      </c>
      <c r="K18" s="2">
        <f t="shared" si="1"/>
        <v>10.275122781356592</v>
      </c>
      <c r="L18" s="2">
        <f t="shared" si="2"/>
        <v>9.5190565155973275</v>
      </c>
      <c r="M18">
        <f>VLOOKUP(A18,[48]WRDS!$A$1:$O$100,8,FALSE)</f>
        <v>5</v>
      </c>
      <c r="N18">
        <f>VLOOKUP(A18,[48]WRDS!$A$1:$O$100,11,FALSE)</f>
        <v>3.58</v>
      </c>
    </row>
    <row r="19" spans="1:14" x14ac:dyDescent="0.3">
      <c r="A19" t="s">
        <v>67</v>
      </c>
      <c r="B19" t="str">
        <f>VLOOKUP(A19,[47]WRDS!$A$1:$N$100,2,FALSE)</f>
        <v>OEC</v>
      </c>
      <c r="C19" t="str">
        <f>VLOOKUP(A19,[47]WRDS!$A$1:$N$100,3,FALSE)</f>
        <v>FIRSTENERGY CORP</v>
      </c>
      <c r="D19">
        <f>VLOOKUP(A19,[47]WRDS!$A$1:$N$100,13,FALSE)</f>
        <v>4.2300000000000004</v>
      </c>
      <c r="E19">
        <f>VLOOKUP(A19,[31]WRDS!$A$1:$N$100,13,FALSE)</f>
        <v>3.64</v>
      </c>
      <c r="F19" s="1">
        <f t="shared" si="3"/>
        <v>5.9272868973772823</v>
      </c>
      <c r="G19" s="1">
        <f t="shared" si="4"/>
        <v>6.1931430000000027</v>
      </c>
      <c r="H19" s="2">
        <f t="shared" si="0"/>
        <v>-3.6858149927398332E-2</v>
      </c>
      <c r="I19" s="2">
        <f>VLOOKUP(A19,[48]WRDS!$A$1:$O$100,10,FALSE)/100</f>
        <v>8.8000000000000009E-2</v>
      </c>
      <c r="J19" s="2">
        <f>VLOOKUP(A19,[48]WRDS!$A$1:$O$100,9,FALSE)/100</f>
        <v>0.1</v>
      </c>
      <c r="K19" s="2">
        <f t="shared" si="1"/>
        <v>3.3875316632369987</v>
      </c>
      <c r="L19" s="2">
        <f t="shared" si="2"/>
        <v>3.7131041627693167</v>
      </c>
      <c r="M19">
        <f>VLOOKUP(A19,[48]WRDS!$A$1:$O$100,8,FALSE)</f>
        <v>5</v>
      </c>
      <c r="N19">
        <f>VLOOKUP(A19,[48]WRDS!$A$1:$O$100,11,FALSE)</f>
        <v>2.77</v>
      </c>
    </row>
    <row r="20" spans="1:14" x14ac:dyDescent="0.3">
      <c r="A20" t="s">
        <v>68</v>
      </c>
      <c r="B20" t="str">
        <f>VLOOKUP(A20,[47]WRDS!$A$1:$N$100,2,FALSE)</f>
        <v>KLT</v>
      </c>
      <c r="C20" t="str">
        <f>VLOOKUP(A20,[47]WRDS!$A$1:$N$100,3,FALSE)</f>
        <v>GREAT PLAINS</v>
      </c>
      <c r="D20">
        <f>VLOOKUP(A20,[47]WRDS!$A$1:$N$100,13,FALSE)</f>
        <v>1.57</v>
      </c>
      <c r="E20">
        <f>VLOOKUP(A20,[31]WRDS!$A$1:$N$100,13,FALSE)</f>
        <v>1.25</v>
      </c>
      <c r="F20" s="1">
        <f t="shared" si="3"/>
        <v>1.809282352752078</v>
      </c>
      <c r="G20" s="1">
        <f t="shared" si="4"/>
        <v>1.7670488316999999</v>
      </c>
      <c r="H20" s="2">
        <f t="shared" si="0"/>
        <v>-5.5389888467039516E-2</v>
      </c>
      <c r="I20" s="2">
        <f>VLOOKUP(A20,[48]WRDS!$A$1:$O$100,10,FALSE)/100</f>
        <v>3.61E-2</v>
      </c>
      <c r="J20" s="2">
        <f>VLOOKUP(A20,[48]WRDS!$A$1:$O$100,9,FALSE)/100</f>
        <v>0.03</v>
      </c>
      <c r="K20" s="2">
        <f t="shared" si="1"/>
        <v>1.6517435040780373</v>
      </c>
      <c r="L20" s="2">
        <f t="shared" si="2"/>
        <v>1.5416151003418592</v>
      </c>
      <c r="M20">
        <f>VLOOKUP(A20,[48]WRDS!$A$1:$O$100,8,FALSE)</f>
        <v>3</v>
      </c>
      <c r="N20">
        <f>VLOOKUP(A20,[48]WRDS!$A$1:$O$100,11,FALSE)</f>
        <v>1.06</v>
      </c>
    </row>
    <row r="21" spans="1:14" x14ac:dyDescent="0.3">
      <c r="A21" t="s">
        <v>36</v>
      </c>
      <c r="B21" t="str">
        <f>VLOOKUP(A21,[47]WRDS!$A$1:$N$100,2,FALSE)</f>
        <v>HE</v>
      </c>
      <c r="C21" t="str">
        <f>VLOOKUP(A21,[47]WRDS!$A$1:$N$100,3,FALSE)</f>
        <v>HAWAIIAN ELEC</v>
      </c>
      <c r="D21">
        <f>VLOOKUP(A21,[47]WRDS!$A$1:$N$100,13,FALSE)</f>
        <v>1.05</v>
      </c>
      <c r="E21">
        <f>VLOOKUP(A21,[31]WRDS!$A$1:$N$100,13,FALSE)</f>
        <v>1.44</v>
      </c>
      <c r="F21" s="1">
        <f t="shared" si="3"/>
        <v>1.5580933330836466</v>
      </c>
      <c r="G21" s="1">
        <f t="shared" si="4"/>
        <v>1.1590035351562498</v>
      </c>
      <c r="H21" s="2">
        <f t="shared" si="0"/>
        <v>8.216453810787927E-2</v>
      </c>
      <c r="I21" s="2">
        <f>VLOOKUP(A21,[48]WRDS!$A$1:$O$100,10,FALSE)/100</f>
        <v>0.10369999999999999</v>
      </c>
      <c r="J21" s="2">
        <f>VLOOKUP(A21,[48]WRDS!$A$1:$O$100,9,FALSE)/100</f>
        <v>2.5000000000000001E-2</v>
      </c>
      <c r="K21" s="2">
        <f t="shared" si="1"/>
        <v>0.26210166074134539</v>
      </c>
      <c r="L21" s="2">
        <f t="shared" si="2"/>
        <v>-0.69573248294567369</v>
      </c>
      <c r="M21">
        <f>VLOOKUP(A21,[48]WRDS!$A$1:$O$100,8,FALSE)</f>
        <v>3</v>
      </c>
      <c r="N21">
        <f>VLOOKUP(A21,[48]WRDS!$A$1:$O$100,11,FALSE)</f>
        <v>14.15</v>
      </c>
    </row>
    <row r="22" spans="1:14" x14ac:dyDescent="0.3">
      <c r="A22" t="s">
        <v>38</v>
      </c>
      <c r="B22" t="str">
        <f>VLOOKUP(A22,[47]WRDS!$A$1:$N$100,2,FALSE)</f>
        <v>IDA</v>
      </c>
      <c r="C22" t="str">
        <f>VLOOKUP(A22,[47]WRDS!$A$1:$N$100,3,FALSE)</f>
        <v>IDACORP INC.</v>
      </c>
      <c r="D22">
        <f>VLOOKUP(A22,[47]WRDS!$A$1:$N$100,13,FALSE)</f>
        <v>1.86</v>
      </c>
      <c r="E22">
        <f>VLOOKUP(A22,[31]WRDS!$A$1:$N$100,13,FALSE)</f>
        <v>3.36</v>
      </c>
      <c r="F22" s="1">
        <f t="shared" si="3"/>
        <v>2.3482071456000009</v>
      </c>
      <c r="G22" s="1">
        <f t="shared" si="4"/>
        <v>2.3482071456000009</v>
      </c>
      <c r="H22" s="2">
        <f t="shared" si="0"/>
        <v>0.15932868939938416</v>
      </c>
      <c r="I22" s="2">
        <f>VLOOKUP(A22,[48]WRDS!$A$1:$O$100,10,FALSE)/100</f>
        <v>0.06</v>
      </c>
      <c r="J22" s="2">
        <f>VLOOKUP(A22,[48]WRDS!$A$1:$O$100,9,FALSE)/100</f>
        <v>0.06</v>
      </c>
      <c r="K22" s="2">
        <f t="shared" si="1"/>
        <v>-0.6234199865311143</v>
      </c>
      <c r="L22" s="2">
        <f t="shared" si="2"/>
        <v>-0.6234199865311143</v>
      </c>
      <c r="M22">
        <f>VLOOKUP(A22,[48]WRDS!$A$1:$O$100,8,FALSE)</f>
        <v>2</v>
      </c>
      <c r="N22">
        <f>VLOOKUP(A22,[48]WRDS!$A$1:$O$100,11,FALSE)</f>
        <v>1.41</v>
      </c>
    </row>
    <row r="23" spans="1:14" x14ac:dyDescent="0.3">
      <c r="A23" t="s">
        <v>40</v>
      </c>
      <c r="B23" t="str">
        <f>VLOOKUP(A23,[47]WRDS!$A$1:$N$100,2,FALSE)</f>
        <v>WPL</v>
      </c>
      <c r="C23" t="str">
        <f>VLOOKUP(A23,[47]WRDS!$A$1:$N$100,3,FALSE)</f>
        <v>ALLIANT ENER</v>
      </c>
      <c r="D23">
        <f>VLOOKUP(A23,[47]WRDS!$A$1:$N$100,13,FALSE)</f>
        <v>1.325</v>
      </c>
      <c r="E23">
        <f>VLOOKUP(A23,[31]WRDS!$A$1:$N$100,13,FALSE)</f>
        <v>1.375</v>
      </c>
      <c r="F23" s="1">
        <f t="shared" si="3"/>
        <v>1.6727819720000003</v>
      </c>
      <c r="G23" s="1">
        <f t="shared" si="4"/>
        <v>1.6105457812499999</v>
      </c>
      <c r="H23" s="2">
        <f t="shared" si="0"/>
        <v>9.3033273218088297E-3</v>
      </c>
      <c r="I23" s="2">
        <f>VLOOKUP(A23,[48]WRDS!$A$1:$O$100,10,FALSE)/100</f>
        <v>0.06</v>
      </c>
      <c r="J23" s="2">
        <f>VLOOKUP(A23,[48]WRDS!$A$1:$O$100,9,FALSE)/100</f>
        <v>0.05</v>
      </c>
      <c r="K23" s="2">
        <f t="shared" si="1"/>
        <v>5.4493054930302405</v>
      </c>
      <c r="L23" s="2">
        <f t="shared" si="2"/>
        <v>4.3744212441918675</v>
      </c>
      <c r="M23">
        <f>VLOOKUP(A23,[48]WRDS!$A$1:$O$100,8,FALSE)</f>
        <v>3</v>
      </c>
      <c r="N23">
        <f>VLOOKUP(A23,[48]WRDS!$A$1:$O$100,11,FALSE)</f>
        <v>1.73</v>
      </c>
    </row>
    <row r="24" spans="1:14" x14ac:dyDescent="0.3">
      <c r="A24" t="s">
        <v>60</v>
      </c>
      <c r="B24" t="str">
        <f>VLOOKUP(A24,[47]WRDS!$A$1:$N$100,2,FALSE)</f>
        <v>BSE</v>
      </c>
      <c r="C24" t="str">
        <f>VLOOKUP(A24,[47]WRDS!$A$1:$N$100,3,FALSE)</f>
        <v>NSTAR</v>
      </c>
      <c r="D24">
        <f>VLOOKUP(A24,[47]WRDS!$A$1:$N$100,13,FALSE)</f>
        <v>2.0699999999999998</v>
      </c>
      <c r="E24">
        <f>VLOOKUP(A24,[31]WRDS!$A$1:$N$100,13,FALSE)</f>
        <v>2.65</v>
      </c>
      <c r="F24" s="1">
        <f t="shared" si="3"/>
        <v>2.6629853457937491</v>
      </c>
      <c r="G24" s="1">
        <f t="shared" si="4"/>
        <v>2.6629853457937491</v>
      </c>
      <c r="H24" s="2">
        <f t="shared" si="0"/>
        <v>6.369932125827904E-2</v>
      </c>
      <c r="I24" s="2">
        <f>VLOOKUP(A24,[48]WRDS!$A$1:$O$100,10,FALSE)/100</f>
        <v>6.5000000000000002E-2</v>
      </c>
      <c r="J24" s="2">
        <f>VLOOKUP(A24,[48]WRDS!$A$1:$O$100,9,FALSE)/100</f>
        <v>6.5000000000000002E-2</v>
      </c>
      <c r="K24" s="2">
        <f t="shared" si="1"/>
        <v>2.041903612202009E-2</v>
      </c>
      <c r="L24" s="2">
        <f t="shared" si="2"/>
        <v>2.041903612202009E-2</v>
      </c>
      <c r="M24">
        <f>VLOOKUP(A24,[48]WRDS!$A$1:$O$100,8,FALSE)</f>
        <v>4</v>
      </c>
      <c r="N24">
        <f>VLOOKUP(A24,[48]WRDS!$A$1:$O$100,11,FALSE)</f>
        <v>1.29</v>
      </c>
    </row>
    <row r="25" spans="1:14" x14ac:dyDescent="0.3">
      <c r="A25" t="s">
        <v>78</v>
      </c>
      <c r="B25" t="str">
        <f>VLOOKUP(A25,[47]WRDS!$A$1:$N$100,2,FALSE)</f>
        <v>NU</v>
      </c>
      <c r="C25" t="str">
        <f>VLOOKUP(A25,[47]WRDS!$A$1:$N$100,3,FALSE)</f>
        <v>NORTHEAST UTILS</v>
      </c>
      <c r="D25">
        <f>VLOOKUP(A25,[47]WRDS!$A$1:$N$100,13,FALSE)</f>
        <v>1.59</v>
      </c>
      <c r="E25">
        <f>VLOOKUP(A25,[31]WRDS!$A$1:$N$100,13,FALSE)</f>
        <v>2.38</v>
      </c>
      <c r="F25" s="1">
        <f t="shared" si="3"/>
        <v>2.3722509503921141</v>
      </c>
      <c r="G25" s="1">
        <f t="shared" si="4"/>
        <v>2.33385027066601</v>
      </c>
      <c r="H25" s="2">
        <f t="shared" si="0"/>
        <v>0.10610144117926623</v>
      </c>
      <c r="I25" s="2">
        <f>VLOOKUP(A25,[48]WRDS!$A$1:$O$100,10,FALSE)/100</f>
        <v>0.1052</v>
      </c>
      <c r="J25" s="2">
        <f>VLOOKUP(A25,[48]WRDS!$A$1:$O$100,9,FALSE)/100</f>
        <v>0.1007</v>
      </c>
      <c r="K25" s="2">
        <f t="shared" si="1"/>
        <v>-8.4960314322515013E-3</v>
      </c>
      <c r="L25" s="2">
        <f t="shared" si="2"/>
        <v>-5.0908273433723672E-2</v>
      </c>
      <c r="M25">
        <f>VLOOKUP(A25,[48]WRDS!$A$1:$O$100,8,FALSE)</f>
        <v>6</v>
      </c>
      <c r="N25">
        <f>VLOOKUP(A25,[48]WRDS!$A$1:$O$100,11,FALSE)</f>
        <v>3.33</v>
      </c>
    </row>
    <row r="26" spans="1:14" x14ac:dyDescent="0.3">
      <c r="A26" t="s">
        <v>69</v>
      </c>
      <c r="B26" t="str">
        <f>VLOOKUP(A26,[47]WRDS!$A$1:$N$100,2,FALSE)</f>
        <v>OTTR</v>
      </c>
      <c r="C26" t="str">
        <f>VLOOKUP(A26,[47]WRDS!$A$1:$N$100,3,FALSE)</f>
        <v>OTTER TAIL CORP.</v>
      </c>
      <c r="D26">
        <f>VLOOKUP(A26,[47]WRDS!$A$1:$N$100,13,FALSE)</f>
        <v>1.78</v>
      </c>
      <c r="E26">
        <f>VLOOKUP(A26,[31]WRDS!$A$1:$N$100,13,FALSE)</f>
        <v>0.46</v>
      </c>
      <c r="F26" s="1">
        <f t="shared" si="3"/>
        <v>2.3922075379032188</v>
      </c>
      <c r="G26" s="1">
        <f t="shared" si="4"/>
        <v>2.2472089888000006</v>
      </c>
      <c r="H26" s="2">
        <f t="shared" si="0"/>
        <v>-0.28700832770787887</v>
      </c>
      <c r="I26" s="2">
        <f>VLOOKUP(A26,[48]WRDS!$A$1:$O$100,10,FALSE)/100</f>
        <v>7.6700000000000004E-2</v>
      </c>
      <c r="J26" s="2">
        <f>VLOOKUP(A26,[48]WRDS!$A$1:$O$100,9,FALSE)/100</f>
        <v>0.06</v>
      </c>
      <c r="K26" s="2">
        <f t="shared" si="1"/>
        <v>1.2672396324265069</v>
      </c>
      <c r="L26" s="2">
        <f t="shared" si="2"/>
        <v>1.2090531674783627</v>
      </c>
      <c r="M26">
        <f>VLOOKUP(A26,[48]WRDS!$A$1:$O$100,8,FALSE)</f>
        <v>3</v>
      </c>
      <c r="N26">
        <f>VLOOKUP(A26,[48]WRDS!$A$1:$O$100,11,FALSE)</f>
        <v>3.79</v>
      </c>
    </row>
    <row r="27" spans="1:14" x14ac:dyDescent="0.3">
      <c r="A27" t="s">
        <v>45</v>
      </c>
      <c r="B27" t="str">
        <f>VLOOKUP(A27,[47]WRDS!$A$1:$N$100,2,FALSE)</f>
        <v>PCG</v>
      </c>
      <c r="C27" t="str">
        <f>VLOOKUP(A27,[47]WRDS!$A$1:$N$100,3,FALSE)</f>
        <v>P G &amp; E CORP</v>
      </c>
      <c r="D27">
        <f>VLOOKUP(A27,[47]WRDS!$A$1:$N$100,13,FALSE)</f>
        <v>2.78</v>
      </c>
      <c r="E27">
        <f>VLOOKUP(A27,[31]WRDS!$A$1:$N$100,13,FALSE)</f>
        <v>3.58</v>
      </c>
      <c r="F27" s="1">
        <f t="shared" si="3"/>
        <v>4.034792355925064</v>
      </c>
      <c r="G27" s="1">
        <f t="shared" si="4"/>
        <v>3.9055094015430631</v>
      </c>
      <c r="H27" s="2">
        <f t="shared" si="0"/>
        <v>6.5269659135404279E-2</v>
      </c>
      <c r="I27" s="2">
        <f>VLOOKUP(A27,[48]WRDS!$A$1:$O$100,10,FALSE)/100</f>
        <v>9.7599999999999992E-2</v>
      </c>
      <c r="J27" s="2">
        <f>VLOOKUP(A27,[48]WRDS!$A$1:$O$100,9,FALSE)/100</f>
        <v>8.8699999999999987E-2</v>
      </c>
      <c r="K27" s="2">
        <f t="shared" si="1"/>
        <v>0.49533491200751095</v>
      </c>
      <c r="L27" s="2">
        <f t="shared" si="2"/>
        <v>0.35897752761338336</v>
      </c>
      <c r="M27">
        <f>VLOOKUP(A27,[48]WRDS!$A$1:$O$100,8,FALSE)</f>
        <v>6</v>
      </c>
      <c r="N27">
        <f>VLOOKUP(A27,[48]WRDS!$A$1:$O$100,11,FALSE)</f>
        <v>2.86</v>
      </c>
    </row>
    <row r="28" spans="1:14" x14ac:dyDescent="0.3">
      <c r="A28" t="s">
        <v>46</v>
      </c>
      <c r="B28" t="str">
        <f>VLOOKUP(A28,[47]WRDS!$A$1:$N$100,2,FALSE)</f>
        <v>PEG</v>
      </c>
      <c r="C28" t="str">
        <f>VLOOKUP(A28,[47]WRDS!$A$1:$N$100,3,FALSE)</f>
        <v>PUB SVC ENTERS</v>
      </c>
      <c r="D28">
        <f>VLOOKUP(A28,[47]WRDS!$A$1:$N$100,13,FALSE)</f>
        <v>2.7050000000000001</v>
      </c>
      <c r="E28">
        <f>VLOOKUP(A28,[31]WRDS!$A$1:$N$100,13,FALSE)</f>
        <v>2.74</v>
      </c>
      <c r="F28" s="1">
        <f t="shared" si="3"/>
        <v>5.5476420780827862</v>
      </c>
      <c r="G28" s="1">
        <f t="shared" si="4"/>
        <v>5.244393840799999</v>
      </c>
      <c r="H28" s="2">
        <f t="shared" si="0"/>
        <v>3.2191724676797762E-3</v>
      </c>
      <c r="I28" s="2">
        <f>VLOOKUP(A28,[48]WRDS!$A$1:$O$100,10,FALSE)/100</f>
        <v>0.19670000000000001</v>
      </c>
      <c r="J28" s="2">
        <f>VLOOKUP(A28,[48]WRDS!$A$1:$O$100,9,FALSE)/100</f>
        <v>0.18</v>
      </c>
      <c r="K28" s="2">
        <f t="shared" si="1"/>
        <v>60.102659759566052</v>
      </c>
      <c r="L28" s="2">
        <f t="shared" si="2"/>
        <v>54.914991137376148</v>
      </c>
      <c r="M28">
        <f>VLOOKUP(A28,[48]WRDS!$A$1:$O$100,8,FALSE)</f>
        <v>3</v>
      </c>
      <c r="N28">
        <f>VLOOKUP(A28,[48]WRDS!$A$1:$O$100,11,FALSE)</f>
        <v>3.79</v>
      </c>
    </row>
    <row r="29" spans="1:14" x14ac:dyDescent="0.3">
      <c r="A29" t="s">
        <v>74</v>
      </c>
      <c r="B29" t="str">
        <f>VLOOKUP(A29,[47]WRDS!$A$1:$N$100,2,FALSE)</f>
        <v>CPL</v>
      </c>
      <c r="C29" t="str">
        <f>VLOOKUP(A29,[47]WRDS!$A$1:$N$100,3,FALSE)</f>
        <v>PROGRESS ENERGY</v>
      </c>
      <c r="D29">
        <f>VLOOKUP(A29,[47]WRDS!$A$1:$N$100,13,FALSE)</f>
        <v>2.81</v>
      </c>
      <c r="E29">
        <f>VLOOKUP(A29,[31]WRDS!$A$1:$N$100,13,FALSE)</f>
        <v>2.95</v>
      </c>
      <c r="F29" s="1">
        <f t="shared" si="3"/>
        <v>3.4155725625</v>
      </c>
      <c r="G29" s="1">
        <f t="shared" si="4"/>
        <v>3.4129709649315894</v>
      </c>
      <c r="H29" s="2">
        <f t="shared" si="0"/>
        <v>1.2229346080910863E-2</v>
      </c>
      <c r="I29" s="2">
        <f>VLOOKUP(A29,[48]WRDS!$A$1:$O$100,10,FALSE)/100</f>
        <v>0.05</v>
      </c>
      <c r="J29" s="2">
        <f>VLOOKUP(A29,[48]WRDS!$A$1:$O$100,9,FALSE)/100</f>
        <v>4.9800000000000004E-2</v>
      </c>
      <c r="K29" s="2">
        <f t="shared" si="1"/>
        <v>3.0885260478519316</v>
      </c>
      <c r="L29" s="2">
        <f t="shared" si="2"/>
        <v>3.0721719436605239</v>
      </c>
      <c r="M29">
        <f>VLOOKUP(A29,[48]WRDS!$A$1:$O$100,8,FALSE)</f>
        <v>7</v>
      </c>
      <c r="N29">
        <f>VLOOKUP(A29,[48]WRDS!$A$1:$O$100,11,FALSE)</f>
        <v>2.02</v>
      </c>
    </row>
    <row r="30" spans="1:14" x14ac:dyDescent="0.3">
      <c r="A30" t="s">
        <v>48</v>
      </c>
      <c r="B30" t="str">
        <f>VLOOKUP(A30,[47]WRDS!$A$1:$N$100,2,FALSE)</f>
        <v>AZP</v>
      </c>
      <c r="C30" t="str">
        <f>VLOOKUP(A30,[47]WRDS!$A$1:$N$100,3,FALSE)</f>
        <v>PINNACLE WST CAP</v>
      </c>
      <c r="D30">
        <f>VLOOKUP(A30,[47]WRDS!$A$1:$N$100,13,FALSE)</f>
        <v>2.96</v>
      </c>
      <c r="E30">
        <f>VLOOKUP(A30,[31]WRDS!$A$1:$N$100,13,FALSE)</f>
        <v>2.99</v>
      </c>
      <c r="F30" s="1">
        <f t="shared" si="3"/>
        <v>3.6990026281812218</v>
      </c>
      <c r="G30" s="1">
        <f t="shared" si="4"/>
        <v>3.7369318016000008</v>
      </c>
      <c r="H30" s="2">
        <f t="shared" si="0"/>
        <v>2.5242102343216999E-3</v>
      </c>
      <c r="I30" s="2">
        <f>VLOOKUP(A30,[48]WRDS!$A$1:$O$100,10,FALSE)/100</f>
        <v>5.7300000000000004E-2</v>
      </c>
      <c r="J30" s="2">
        <f>VLOOKUP(A30,[48]WRDS!$A$1:$O$100,9,FALSE)/100</f>
        <v>0.06</v>
      </c>
      <c r="K30" s="2">
        <f t="shared" si="1"/>
        <v>21.700169431567783</v>
      </c>
      <c r="L30" s="2">
        <f t="shared" si="2"/>
        <v>22.769810923107624</v>
      </c>
      <c r="M30">
        <f>VLOOKUP(A30,[48]WRDS!$A$1:$O$100,8,FALSE)</f>
        <v>3</v>
      </c>
      <c r="N30">
        <f>VLOOKUP(A30,[48]WRDS!$A$1:$O$100,11,FALSE)</f>
        <v>2.61</v>
      </c>
    </row>
    <row r="31" spans="1:14" x14ac:dyDescent="0.3">
      <c r="A31" t="s">
        <v>49</v>
      </c>
      <c r="B31" t="str">
        <f>VLOOKUP(A31,[47]WRDS!$A$1:$N$100,2,FALSE)</f>
        <v>POM</v>
      </c>
      <c r="C31" t="str">
        <f>VLOOKUP(A31,[47]WRDS!$A$1:$N$100,3,FALSE)</f>
        <v>PEPCO HOLDINGS</v>
      </c>
      <c r="D31">
        <f>VLOOKUP(A31,[47]WRDS!$A$1:$N$100,13,FALSE)</f>
        <v>1.53</v>
      </c>
      <c r="E31">
        <f>VLOOKUP(A31,[31]WRDS!$A$1:$N$100,13,FALSE)</f>
        <v>1.25</v>
      </c>
      <c r="F31" s="1">
        <f t="shared" si="3"/>
        <v>2.3563087401844807</v>
      </c>
      <c r="G31" s="1">
        <f t="shared" si="4"/>
        <v>2.4946246232999987</v>
      </c>
      <c r="H31" s="2">
        <f t="shared" si="0"/>
        <v>-4.9275587997376635E-2</v>
      </c>
      <c r="I31" s="2">
        <f>VLOOKUP(A31,[48]WRDS!$A$1:$O$100,10,FALSE)/100</f>
        <v>0.114</v>
      </c>
      <c r="J31" s="2">
        <f>VLOOKUP(A31,[48]WRDS!$A$1:$O$100,9,FALSE)/100</f>
        <v>0.13</v>
      </c>
      <c r="K31" s="2">
        <f t="shared" si="1"/>
        <v>3.3135188159716975</v>
      </c>
      <c r="L31" s="2">
        <f t="shared" si="2"/>
        <v>3.6382232111957959</v>
      </c>
      <c r="M31">
        <f>VLOOKUP(A31,[48]WRDS!$A$1:$O$100,8,FALSE)</f>
        <v>5</v>
      </c>
      <c r="N31">
        <f>VLOOKUP(A31,[48]WRDS!$A$1:$O$100,11,FALSE)</f>
        <v>7.2</v>
      </c>
    </row>
    <row r="32" spans="1:14" x14ac:dyDescent="0.3">
      <c r="A32" t="s">
        <v>50</v>
      </c>
      <c r="B32" t="str">
        <f>VLOOKUP(A32,[47]WRDS!$A$1:$N$100,2,FALSE)</f>
        <v>PORO</v>
      </c>
      <c r="C32" t="str">
        <f>VLOOKUP(A32,[47]WRDS!$A$1:$N$100,3,FALSE)</f>
        <v>PORTLAND GENERAL</v>
      </c>
      <c r="D32">
        <f>VLOOKUP(A32,[47]WRDS!$A$1:$N$100,13,FALSE)</f>
        <v>2.33</v>
      </c>
      <c r="E32">
        <f>VLOOKUP(A32,[31]WRDS!$A$1:$N$100,13,FALSE)</f>
        <v>1.95</v>
      </c>
      <c r="F32" s="1">
        <f t="shared" si="3"/>
        <v>3.0850985633301549</v>
      </c>
      <c r="G32" s="1">
        <f t="shared" si="4"/>
        <v>3.146523389720481</v>
      </c>
      <c r="H32" s="2">
        <f t="shared" si="0"/>
        <v>-4.3533700391244934E-2</v>
      </c>
      <c r="I32" s="2">
        <f>VLOOKUP(A32,[48]WRDS!$A$1:$O$100,10,FALSE)/100</f>
        <v>7.2700000000000001E-2</v>
      </c>
      <c r="J32" s="2">
        <f>VLOOKUP(A32,[48]WRDS!$A$1:$O$100,9,FALSE)/100</f>
        <v>7.8E-2</v>
      </c>
      <c r="K32" s="2">
        <f t="shared" si="1"/>
        <v>2.6699706054535328</v>
      </c>
      <c r="L32" s="2">
        <f t="shared" si="2"/>
        <v>2.7917153676117685</v>
      </c>
      <c r="M32">
        <f>VLOOKUP(A32,[48]WRDS!$A$1:$O$100,8,FALSE)</f>
        <v>3</v>
      </c>
      <c r="N32">
        <f>VLOOKUP(A32,[48]WRDS!$A$1:$O$100,11,FALSE)</f>
        <v>3.04</v>
      </c>
    </row>
    <row r="33" spans="1:14" x14ac:dyDescent="0.3">
      <c r="A33" t="s">
        <v>51</v>
      </c>
      <c r="B33" t="str">
        <f>VLOOKUP(A33,[47]WRDS!$A$1:$N$100,2,FALSE)</f>
        <v>PPL</v>
      </c>
      <c r="C33" t="str">
        <f>VLOOKUP(A33,[47]WRDS!$A$1:$N$100,3,FALSE)</f>
        <v>PP&amp;L CORP</v>
      </c>
      <c r="D33">
        <f>VLOOKUP(A33,[47]WRDS!$A$1:$N$100,13,FALSE)</f>
        <v>2.6</v>
      </c>
      <c r="E33">
        <f>VLOOKUP(A33,[31]WRDS!$A$1:$N$100,13,FALSE)</f>
        <v>2.72</v>
      </c>
      <c r="F33" s="1">
        <f t="shared" si="3"/>
        <v>4.3406701814056694</v>
      </c>
      <c r="G33" s="1">
        <f t="shared" si="4"/>
        <v>4.3147614916250001</v>
      </c>
      <c r="H33" s="2">
        <f t="shared" si="0"/>
        <v>1.1343969138847276E-2</v>
      </c>
      <c r="I33" s="2">
        <f>VLOOKUP(A33,[48]WRDS!$A$1:$O$100,10,FALSE)/100</f>
        <v>0.13669999999999999</v>
      </c>
      <c r="J33" s="2">
        <f>VLOOKUP(A33,[48]WRDS!$A$1:$O$100,9,FALSE)/100</f>
        <v>0.13500000000000001</v>
      </c>
      <c r="K33" s="2">
        <f t="shared" si="1"/>
        <v>11.05045591422429</v>
      </c>
      <c r="L33" s="2">
        <f t="shared" si="2"/>
        <v>10.900596550258079</v>
      </c>
      <c r="M33">
        <f>VLOOKUP(A33,[48]WRDS!$A$1:$O$100,8,FALSE)</f>
        <v>6</v>
      </c>
      <c r="N33">
        <f>VLOOKUP(A33,[48]WRDS!$A$1:$O$100,11,FALSE)</f>
        <v>5.09</v>
      </c>
    </row>
    <row r="34" spans="1:14" x14ac:dyDescent="0.3">
      <c r="A34" t="s">
        <v>52</v>
      </c>
      <c r="B34" t="str">
        <f>VLOOKUP(A34,[47]WRDS!$A$1:$N$100,2,FALSE)</f>
        <v>SCG</v>
      </c>
      <c r="C34" t="str">
        <f>VLOOKUP(A34,[47]WRDS!$A$1:$N$100,3,FALSE)</f>
        <v>SCANA CP</v>
      </c>
      <c r="D34">
        <f>VLOOKUP(A34,[47]WRDS!$A$1:$N$100,13,FALSE)</f>
        <v>2.74</v>
      </c>
      <c r="E34">
        <f>VLOOKUP(A34,[31]WRDS!$A$1:$N$100,13,FALSE)</f>
        <v>2.97</v>
      </c>
      <c r="F34" s="1">
        <f t="shared" si="3"/>
        <v>3.3304871250000003</v>
      </c>
      <c r="G34" s="1">
        <f t="shared" si="4"/>
        <v>3.3304871250000003</v>
      </c>
      <c r="H34" s="2">
        <f t="shared" si="0"/>
        <v>2.0355410329101264E-2</v>
      </c>
      <c r="I34" s="2">
        <f>VLOOKUP(A34,[48]WRDS!$A$1:$O$100,10,FALSE)/100</f>
        <v>0.05</v>
      </c>
      <c r="J34" s="2">
        <f>VLOOKUP(A34,[48]WRDS!$A$1:$O$100,9,FALSE)/100</f>
        <v>0.05</v>
      </c>
      <c r="K34" s="2">
        <f t="shared" si="1"/>
        <v>1.456349402523079</v>
      </c>
      <c r="L34" s="2">
        <f t="shared" si="2"/>
        <v>1.456349402523079</v>
      </c>
      <c r="M34">
        <f>VLOOKUP(A34,[48]WRDS!$A$1:$O$100,8,FALSE)</f>
        <v>4</v>
      </c>
      <c r="N34">
        <f>VLOOKUP(A34,[48]WRDS!$A$1:$O$100,11,FALSE)</f>
        <v>0</v>
      </c>
    </row>
    <row r="35" spans="1:14" x14ac:dyDescent="0.3">
      <c r="A35" t="s">
        <v>53</v>
      </c>
      <c r="B35" t="str">
        <f>VLOOKUP(A35,[47]WRDS!$A$1:$N$100,2,FALSE)</f>
        <v>SO</v>
      </c>
      <c r="C35" t="str">
        <f>VLOOKUP(A35,[47]WRDS!$A$1:$N$100,3,FALSE)</f>
        <v>SOUTHN CO</v>
      </c>
      <c r="D35">
        <f>VLOOKUP(A35,[47]WRDS!$A$1:$N$100,13,FALSE)</f>
        <v>2.21</v>
      </c>
      <c r="E35">
        <f>VLOOKUP(A35,[31]WRDS!$A$1:$N$100,13,FALSE)</f>
        <v>2.57</v>
      </c>
      <c r="F35" s="1">
        <f t="shared" si="3"/>
        <v>2.6893401499741323</v>
      </c>
      <c r="G35" s="1">
        <f t="shared" si="4"/>
        <v>2.6862688124999998</v>
      </c>
      <c r="H35" s="2">
        <f t="shared" si="0"/>
        <v>3.8449095546124745E-2</v>
      </c>
      <c r="I35" s="2">
        <f>VLOOKUP(A35,[48]WRDS!$A$1:$O$100,10,FALSE)/100</f>
        <v>5.0300000000000004E-2</v>
      </c>
      <c r="J35" s="2">
        <f>VLOOKUP(A35,[48]WRDS!$A$1:$O$100,9,FALSE)/100</f>
        <v>0.05</v>
      </c>
      <c r="K35" s="2">
        <f t="shared" si="1"/>
        <v>0.30822323088610865</v>
      </c>
      <c r="L35" s="2">
        <f t="shared" si="2"/>
        <v>0.30042070664623122</v>
      </c>
      <c r="M35">
        <f>VLOOKUP(A35,[48]WRDS!$A$1:$O$100,8,FALSE)</f>
        <v>7</v>
      </c>
      <c r="N35">
        <f>VLOOKUP(A35,[48]WRDS!$A$1:$O$100,11,FALSE)</f>
        <v>0.57999999999999996</v>
      </c>
    </row>
    <row r="36" spans="1:14" x14ac:dyDescent="0.3">
      <c r="A36" t="s">
        <v>54</v>
      </c>
      <c r="B36" t="str">
        <f>VLOOKUP(A36,[47]WRDS!$A$1:$N$100,2,FALSE)</f>
        <v>SDO</v>
      </c>
      <c r="C36" t="str">
        <f>VLOOKUP(A36,[47]WRDS!$A$1:$N$100,3,FALSE)</f>
        <v>SEMPRA ENERGY</v>
      </c>
      <c r="D36">
        <f>VLOOKUP(A36,[47]WRDS!$A$1:$N$100,13,FALSE)</f>
        <v>4.26</v>
      </c>
      <c r="E36">
        <f>VLOOKUP(A36,[31]WRDS!$A$1:$N$100,13,FALSE)</f>
        <v>4.47</v>
      </c>
      <c r="F36" s="1">
        <f t="shared" si="3"/>
        <v>5.7806717270128836</v>
      </c>
      <c r="G36" s="1">
        <f t="shared" si="4"/>
        <v>5.5839910025999995</v>
      </c>
      <c r="H36" s="2">
        <f t="shared" si="0"/>
        <v>1.210246130199133E-2</v>
      </c>
      <c r="I36" s="2">
        <f>VLOOKUP(A36,[48]WRDS!$A$1:$O$100,10,FALSE)/100</f>
        <v>7.9299999999999995E-2</v>
      </c>
      <c r="J36" s="2">
        <f>VLOOKUP(A36,[48]WRDS!$A$1:$O$100,9,FALSE)/100</f>
        <v>7.0000000000000007E-2</v>
      </c>
      <c r="K36" s="2">
        <f t="shared" si="1"/>
        <v>5.552386165196995</v>
      </c>
      <c r="L36" s="2">
        <f t="shared" si="2"/>
        <v>4.7839474346001225</v>
      </c>
      <c r="M36">
        <f>VLOOKUP(A36,[48]WRDS!$A$1:$O$100,8,FALSE)</f>
        <v>3</v>
      </c>
      <c r="N36">
        <f>VLOOKUP(A36,[48]WRDS!$A$1:$O$100,11,FALSE)</f>
        <v>1.62</v>
      </c>
    </row>
    <row r="37" spans="1:14" x14ac:dyDescent="0.3">
      <c r="A37" t="s">
        <v>75</v>
      </c>
      <c r="B37" t="str">
        <f>VLOOKUP(A37,[47]WRDS!$A$1:$N$100,2,FALSE)</f>
        <v>TE</v>
      </c>
      <c r="C37" t="str">
        <f>VLOOKUP(A37,[47]WRDS!$A$1:$N$100,3,FALSE)</f>
        <v>TECO ENERGY INC</v>
      </c>
      <c r="D37">
        <f>VLOOKUP(A37,[47]WRDS!$A$1:$N$100,13,FALSE)</f>
        <v>1.07</v>
      </c>
      <c r="E37">
        <f>VLOOKUP(A37,[31]WRDS!$A$1:$N$100,13,FALSE)</f>
        <v>1.27</v>
      </c>
      <c r="F37" s="1">
        <f t="shared" si="3"/>
        <v>1.2966325071515099</v>
      </c>
      <c r="G37" s="1">
        <f t="shared" si="4"/>
        <v>1.2042944267</v>
      </c>
      <c r="H37" s="2">
        <f t="shared" si="0"/>
        <v>4.3770422020489752E-2</v>
      </c>
      <c r="I37" s="2">
        <f>VLOOKUP(A37,[48]WRDS!$A$1:$O$100,10,FALSE)/100</f>
        <v>4.9200000000000001E-2</v>
      </c>
      <c r="J37" s="2">
        <f>VLOOKUP(A37,[48]WRDS!$A$1:$O$100,9,FALSE)/100</f>
        <v>0.03</v>
      </c>
      <c r="K37" s="2">
        <f t="shared" si="1"/>
        <v>0.12404673587493768</v>
      </c>
      <c r="L37" s="2">
        <f t="shared" si="2"/>
        <v>-0.31460564885674536</v>
      </c>
      <c r="M37">
        <f>VLOOKUP(A37,[48]WRDS!$A$1:$O$100,8,FALSE)</f>
        <v>4</v>
      </c>
      <c r="N37">
        <f>VLOOKUP(A37,[48]WRDS!$A$1:$O$100,11,FALSE)</f>
        <v>3.85</v>
      </c>
    </row>
    <row r="38" spans="1:14" x14ac:dyDescent="0.3">
      <c r="A38" t="s">
        <v>79</v>
      </c>
      <c r="B38" t="str">
        <f>VLOOKUP(A38,[47]WRDS!$A$1:$N$100,2,FALSE)</f>
        <v>UIL</v>
      </c>
      <c r="C38" t="str">
        <f>VLOOKUP(A38,[47]WRDS!$A$1:$N$100,3,FALSE)</f>
        <v>UIL HOLDING CORP</v>
      </c>
      <c r="D38">
        <f>VLOOKUP(A38,[47]WRDS!$A$1:$N$100,13,FALSE)</f>
        <v>1.87</v>
      </c>
      <c r="E38">
        <f>VLOOKUP(A38,[31]WRDS!$A$1:$N$100,13,FALSE)</f>
        <v>1.95</v>
      </c>
      <c r="F38" s="1">
        <f t="shared" si="3"/>
        <v>2.7378670000000009</v>
      </c>
      <c r="G38" s="1">
        <f t="shared" si="4"/>
        <v>2.7378670000000009</v>
      </c>
      <c r="H38" s="2">
        <f t="shared" si="0"/>
        <v>1.052776646166742E-2</v>
      </c>
      <c r="I38" s="2">
        <f>VLOOKUP(A38,[48]WRDS!$A$1:$O$100,10,FALSE)/100</f>
        <v>0.1</v>
      </c>
      <c r="J38" s="2">
        <f>VLOOKUP(A38,[48]WRDS!$A$1:$O$100,9,FALSE)/100</f>
        <v>0.1</v>
      </c>
      <c r="K38" s="2">
        <f t="shared" si="1"/>
        <v>8.4986909487505571</v>
      </c>
      <c r="L38" s="2">
        <f t="shared" si="2"/>
        <v>8.4986909487505571</v>
      </c>
      <c r="M38">
        <f>VLOOKUP(A38,[48]WRDS!$A$1:$O$100,8,FALSE)</f>
        <v>2</v>
      </c>
      <c r="N38">
        <f>VLOOKUP(A38,[48]WRDS!$A$1:$O$100,11,FALSE)</f>
        <v>2.83</v>
      </c>
    </row>
    <row r="39" spans="1:14" x14ac:dyDescent="0.3">
      <c r="A39" t="s">
        <v>76</v>
      </c>
      <c r="B39" t="str">
        <f>VLOOKUP(A39,[47]WRDS!$A$1:$N$100,2,FALSE)</f>
        <v>SIG</v>
      </c>
      <c r="C39" t="str">
        <f>VLOOKUP(A39,[47]WRDS!$A$1:$N$100,3,FALSE)</f>
        <v>VECTREN CORP</v>
      </c>
      <c r="D39">
        <f>VLOOKUP(A39,[47]WRDS!$A$1:$N$100,13,FALSE)</f>
        <v>1.84</v>
      </c>
      <c r="E39">
        <f>VLOOKUP(A39,[31]WRDS!$A$1:$N$100,13,FALSE)</f>
        <v>1.73</v>
      </c>
      <c r="F39" s="1">
        <f t="shared" si="3"/>
        <v>2.2365314999999999</v>
      </c>
      <c r="G39" s="1">
        <f t="shared" si="4"/>
        <v>2.2365314999999999</v>
      </c>
      <c r="H39" s="2">
        <f t="shared" si="0"/>
        <v>-1.5292898366656593E-2</v>
      </c>
      <c r="I39" s="2">
        <f>VLOOKUP(A39,[48]WRDS!$A$1:$O$100,10,FALSE)/100</f>
        <v>0.05</v>
      </c>
      <c r="J39" s="2">
        <f>VLOOKUP(A39,[48]WRDS!$A$1:$O$100,9,FALSE)/100</f>
        <v>0.05</v>
      </c>
      <c r="K39" s="2">
        <f t="shared" si="1"/>
        <v>4.2694914202147567</v>
      </c>
      <c r="L39" s="2">
        <f t="shared" si="2"/>
        <v>4.2694914202147567</v>
      </c>
      <c r="M39">
        <f>VLOOKUP(A39,[48]WRDS!$A$1:$O$100,8,FALSE)</f>
        <v>2</v>
      </c>
      <c r="N39">
        <f>VLOOKUP(A39,[48]WRDS!$A$1:$O$100,11,FALSE)</f>
        <v>1.41</v>
      </c>
    </row>
    <row r="40" spans="1:14" x14ac:dyDescent="0.3">
      <c r="A40" t="s">
        <v>55</v>
      </c>
      <c r="B40" t="str">
        <f>VLOOKUP(A40,[47]WRDS!$A$1:$N$100,2,FALSE)</f>
        <v>WPC</v>
      </c>
      <c r="C40" t="str">
        <f>VLOOKUP(A40,[47]WRDS!$A$1:$N$100,3,FALSE)</f>
        <v>WISCONSIN ENERGY</v>
      </c>
      <c r="D40">
        <f>VLOOKUP(A40,[47]WRDS!$A$1:$N$100,13,FALSE)</f>
        <v>1.42</v>
      </c>
      <c r="E40">
        <f>VLOOKUP(A40,[31]WRDS!$A$1:$N$100,13,FALSE)</f>
        <v>2.1800000000000002</v>
      </c>
      <c r="F40" s="1">
        <f t="shared" si="3"/>
        <v>1.9440868524560879</v>
      </c>
      <c r="G40" s="1">
        <f t="shared" si="4"/>
        <v>2.0044458862000001</v>
      </c>
      <c r="H40" s="2">
        <f t="shared" si="0"/>
        <v>0.11312013146366828</v>
      </c>
      <c r="I40" s="2">
        <f>VLOOKUP(A40,[48]WRDS!$A$1:$O$100,10,FALSE)/100</f>
        <v>8.1699999999999995E-2</v>
      </c>
      <c r="J40" s="2">
        <f>VLOOKUP(A40,[48]WRDS!$A$1:$O$100,9,FALSE)/100</f>
        <v>0.09</v>
      </c>
      <c r="K40" s="2">
        <f t="shared" si="1"/>
        <v>-0.27775897231660968</v>
      </c>
      <c r="L40" s="2">
        <f t="shared" si="2"/>
        <v>-0.20438564881878668</v>
      </c>
      <c r="M40">
        <f>VLOOKUP(A40,[48]WRDS!$A$1:$O$100,8,FALSE)</f>
        <v>5</v>
      </c>
      <c r="N40">
        <f>VLOOKUP(A40,[48]WRDS!$A$1:$O$100,11,FALSE)</f>
        <v>2.74</v>
      </c>
    </row>
    <row r="41" spans="1:14" x14ac:dyDescent="0.3">
      <c r="A41" t="s">
        <v>64</v>
      </c>
      <c r="B41" t="str">
        <f>VLOOKUP(A41,[47]WRDS!$A$1:$N$100,2,FALSE)</f>
        <v>KAN</v>
      </c>
      <c r="C41" t="str">
        <f>VLOOKUP(A41,[47]WRDS!$A$1:$N$100,3,FALSE)</f>
        <v>WESTAR ENERGY</v>
      </c>
      <c r="D41">
        <f>VLOOKUP(A41,[47]WRDS!$A$1:$N$100,13,FALSE)</f>
        <v>1.85</v>
      </c>
      <c r="E41">
        <f>VLOOKUP(A41,[31]WRDS!$A$1:$N$100,13,FALSE)</f>
        <v>1.81</v>
      </c>
      <c r="F41" s="1">
        <f t="shared" si="3"/>
        <v>2.2979142303999716</v>
      </c>
      <c r="G41" s="1">
        <f t="shared" si="4"/>
        <v>2.2486865625000001</v>
      </c>
      <c r="H41" s="2">
        <f t="shared" si="0"/>
        <v>-5.4497941500659675E-3</v>
      </c>
      <c r="I41" s="2">
        <f>VLOOKUP(A41,[48]WRDS!$A$1:$O$100,10,FALSE)/100</f>
        <v>5.57E-2</v>
      </c>
      <c r="J41" s="2">
        <f>VLOOKUP(A41,[48]WRDS!$A$1:$O$100,9,FALSE)/100</f>
        <v>0.05</v>
      </c>
      <c r="K41" s="2">
        <f t="shared" si="1"/>
        <v>11.220569523589395</v>
      </c>
      <c r="L41" s="2">
        <f t="shared" si="2"/>
        <v>10.174658459236442</v>
      </c>
      <c r="M41">
        <f>VLOOKUP(A41,[48]WRDS!$A$1:$O$100,8,FALSE)</f>
        <v>3</v>
      </c>
      <c r="N41">
        <f>VLOOKUP(A41,[48]WRDS!$A$1:$O$100,11,FALSE)</f>
        <v>1.08</v>
      </c>
    </row>
    <row r="42" spans="1:14" x14ac:dyDescent="0.3">
      <c r="A42" t="s">
        <v>56</v>
      </c>
      <c r="B42" t="str">
        <f>VLOOKUP(A42,[47]WRDS!$A$1:$N$100,2,FALSE)</f>
        <v>NSP</v>
      </c>
      <c r="C42" t="str">
        <f>VLOOKUP(A42,[47]WRDS!$A$1:$N$100,3,FALSE)</f>
        <v>XCEL ENERGY INC</v>
      </c>
      <c r="D42">
        <f>VLOOKUP(A42,[47]WRDS!$A$1:$N$100,13,FALSE)</f>
        <v>1.43</v>
      </c>
      <c r="E42">
        <f>VLOOKUP(A42,[31]WRDS!$A$1:$N$100,13,FALSE)</f>
        <v>1.72</v>
      </c>
      <c r="F42" s="1">
        <f t="shared" si="3"/>
        <v>1.8053420528000004</v>
      </c>
      <c r="G42" s="1">
        <f t="shared" si="4"/>
        <v>1.8053420528000004</v>
      </c>
      <c r="H42" s="2">
        <f t="shared" si="0"/>
        <v>4.7244534200129973E-2</v>
      </c>
      <c r="I42" s="2">
        <f>VLOOKUP(A42,[48]WRDS!$A$1:$O$100,10,FALSE)/100</f>
        <v>0.06</v>
      </c>
      <c r="J42" s="2">
        <f>VLOOKUP(A42,[48]WRDS!$A$1:$O$100,9,FALSE)/100</f>
        <v>0.06</v>
      </c>
      <c r="K42" s="2">
        <f t="shared" si="1"/>
        <v>0.26998817992018503</v>
      </c>
      <c r="L42" s="2">
        <f t="shared" si="2"/>
        <v>0.26998817992018503</v>
      </c>
      <c r="M42">
        <f>VLOOKUP(A42,[48]WRDS!$A$1:$O$100,8,FALSE)</f>
        <v>5</v>
      </c>
      <c r="N42">
        <f>VLOOKUP(A42,[48]WRDS!$A$1:$O$100,11,FALSE)</f>
        <v>2.2400000000000002</v>
      </c>
    </row>
    <row r="43" spans="1:14" x14ac:dyDescent="0.3">
      <c r="A43" t="s">
        <v>132</v>
      </c>
      <c r="B43" t="str">
        <f>VLOOKUP(A43,'[5]Ticker List'!$H$4:$I$20,2,FALSE)</f>
        <v>EGAS</v>
      </c>
      <c r="C43" t="str">
        <f>VLOOKUP(A43,[49]mklxkfsu1rbweayr!$B$1:$O$22,2,FALSE)</f>
        <v>ATMOS ENERGY CP</v>
      </c>
      <c r="D43">
        <f>VLOOKUP(A43,[49]mklxkfsu1rbweayr!$B$1:$O$22,13,FALSE)</f>
        <v>2</v>
      </c>
      <c r="E43">
        <f>VLOOKUP(A43,[33]WRDS!$B$1:$N$11,12,FALSE)</f>
        <v>2.11</v>
      </c>
      <c r="F43" s="1">
        <f t="shared" si="3"/>
        <v>2.4898840022453923</v>
      </c>
      <c r="G43" s="1">
        <f t="shared" si="4"/>
        <v>2.4542478188281249</v>
      </c>
      <c r="H43" s="2">
        <f t="shared" si="0"/>
        <v>1.3475174441242466E-2</v>
      </c>
      <c r="I43" s="2">
        <f>VLOOKUP(A43,'[50]4tqqedlfvw39dav7'!$B$1:$N$18,9,FALSE)/100</f>
        <v>5.6299999999999996E-2</v>
      </c>
      <c r="J43" s="2">
        <f>VLOOKUP(A43,'[50]4tqqedlfvw39dav7'!$B$1:$N$18,8,FALSE)/100</f>
        <v>5.2499999999999998E-2</v>
      </c>
      <c r="K43" s="2">
        <f t="shared" si="1"/>
        <v>3.1780535194918715</v>
      </c>
      <c r="L43" s="2">
        <f t="shared" si="2"/>
        <v>2.896053459561692</v>
      </c>
      <c r="M43">
        <f>VLOOKUP(A43,'[50]4tqqedlfvw39dav7'!$B$1:$N$18,7,FALSE)</f>
        <v>4</v>
      </c>
      <c r="N43">
        <f>VLOOKUP(A43,'[50]4tqqedlfvw39dav7'!$B$1:$N$18,10,FALSE)</f>
        <v>0.95</v>
      </c>
    </row>
    <row r="44" spans="1:14" x14ac:dyDescent="0.3">
      <c r="A44" t="s">
        <v>133</v>
      </c>
      <c r="B44" t="str">
        <f>VLOOKUP(A44,'[5]Ticker List'!$H$4:$I$20,2,FALSE)</f>
        <v>CHPK</v>
      </c>
      <c r="C44" t="str">
        <f>VLOOKUP(A44,[49]mklxkfsu1rbweayr!$B$1:$O$22,2,FALSE)</f>
        <v>CHESAPEAKE UTIL</v>
      </c>
      <c r="D44">
        <f>VLOOKUP(A44,[49]mklxkfsu1rbweayr!$B$1:$O$22,13,FALSE)</f>
        <v>1.2932999999999999</v>
      </c>
      <c r="E44">
        <f>VLOOKUP(A44,[33]WRDS!$B$1:$N$11,12,FALSE)</f>
        <v>1.8733</v>
      </c>
      <c r="F44" s="1">
        <f t="shared" si="3"/>
        <v>1.695252479733</v>
      </c>
      <c r="G44" s="1">
        <f t="shared" si="4"/>
        <v>1.695252479733</v>
      </c>
      <c r="H44" s="2">
        <f t="shared" si="0"/>
        <v>9.7051495725168024E-2</v>
      </c>
      <c r="I44" s="2">
        <f>VLOOKUP(A44,'[50]4tqqedlfvw39dav7'!$B$1:$N$18,9,FALSE)/100</f>
        <v>7.0000000000000007E-2</v>
      </c>
      <c r="J44" s="2">
        <f>VLOOKUP(A44,'[50]4tqqedlfvw39dav7'!$B$1:$N$18,8,FALSE)/100</f>
        <v>7.0000000000000007E-2</v>
      </c>
      <c r="K44" s="2">
        <f t="shared" si="1"/>
        <v>-0.27873342417898306</v>
      </c>
      <c r="L44" s="2">
        <f t="shared" si="2"/>
        <v>-0.27873342417898306</v>
      </c>
      <c r="M44">
        <f>VLOOKUP(A44,'[50]4tqqedlfvw39dav7'!$B$1:$N$18,7,FALSE)</f>
        <v>2</v>
      </c>
      <c r="N44">
        <f>VLOOKUP(A44,'[50]4tqqedlfvw39dav7'!$B$1:$N$18,10,FALSE)</f>
        <v>1.41</v>
      </c>
    </row>
    <row r="45" spans="1:14" x14ac:dyDescent="0.3">
      <c r="A45" t="s">
        <v>134</v>
      </c>
      <c r="B45" t="str">
        <f>VLOOKUP(A45,'[5]Ticker List'!$H$4:$I$20,2,FALSE)</f>
        <v>NJR</v>
      </c>
      <c r="C45" t="str">
        <f>VLOOKUP(A45,[49]mklxkfsu1rbweayr!$B$1:$O$22,2,FALSE)</f>
        <v>NEW JERSEY RES</v>
      </c>
      <c r="D45">
        <f>VLOOKUP(A45,[49]mklxkfsu1rbweayr!$B$1:$O$22,13,FALSE)</f>
        <v>1.1200000000000001</v>
      </c>
      <c r="E45">
        <f>VLOOKUP(A45,[33]WRDS!$B$1:$N$11,12,FALSE)</f>
        <v>1.355</v>
      </c>
      <c r="F45" s="1">
        <f t="shared" si="3"/>
        <v>1.3613670000000002</v>
      </c>
      <c r="G45" s="1">
        <f t="shared" si="4"/>
        <v>1.3613670000000002</v>
      </c>
      <c r="H45" s="2">
        <f t="shared" si="0"/>
        <v>4.8770150306487459E-2</v>
      </c>
      <c r="I45" s="2">
        <f>VLOOKUP(A45,'[50]4tqqedlfvw39dav7'!$B$1:$N$18,9,FALSE)/100</f>
        <v>0.05</v>
      </c>
      <c r="J45" s="2">
        <f>VLOOKUP(A45,'[50]4tqqedlfvw39dav7'!$B$1:$N$18,8,FALSE)/100</f>
        <v>0.05</v>
      </c>
      <c r="K45" s="2">
        <f t="shared" si="1"/>
        <v>2.5217262726970686E-2</v>
      </c>
      <c r="L45" s="2">
        <f t="shared" si="2"/>
        <v>2.5217262726970686E-2</v>
      </c>
      <c r="M45">
        <f>VLOOKUP(A45,'[50]4tqqedlfvw39dav7'!$B$1:$N$18,7,FALSE)</f>
        <v>2</v>
      </c>
      <c r="N45">
        <f>VLOOKUP(A45,'[50]4tqqedlfvw39dav7'!$B$1:$N$18,10,FALSE)</f>
        <v>0</v>
      </c>
    </row>
    <row r="46" spans="1:14" x14ac:dyDescent="0.3">
      <c r="A46" t="s">
        <v>135</v>
      </c>
      <c r="B46" t="str">
        <f>VLOOKUP(A46,'[5]Ticker List'!$H$4:$I$20,2,FALSE)</f>
        <v>NI</v>
      </c>
      <c r="C46" t="str">
        <f>VLOOKUP(A46,[49]mklxkfsu1rbweayr!$B$1:$O$22,2,FALSE)</f>
        <v>NISOURCE INC</v>
      </c>
      <c r="D46">
        <f>VLOOKUP(A46,[49]mklxkfsu1rbweayr!$B$1:$O$22,13,FALSE)</f>
        <v>1.37</v>
      </c>
      <c r="E46">
        <f>VLOOKUP(A46,[33]WRDS!$B$1:$N$11,12,FALSE)</f>
        <v>1.35</v>
      </c>
      <c r="F46" s="1">
        <f t="shared" si="3"/>
        <v>1.5624077913074559</v>
      </c>
      <c r="G46" s="1">
        <f t="shared" si="4"/>
        <v>1.5419470697</v>
      </c>
      <c r="H46" s="2">
        <f t="shared" si="0"/>
        <v>-3.6697866607990903E-3</v>
      </c>
      <c r="I46" s="2">
        <f>VLOOKUP(A46,'[50]4tqqedlfvw39dav7'!$B$1:$N$18,9,FALSE)/100</f>
        <v>3.3399999999999999E-2</v>
      </c>
      <c r="J46" s="2">
        <f>VLOOKUP(A46,'[50]4tqqedlfvw39dav7'!$B$1:$N$18,8,FALSE)/100</f>
        <v>0.03</v>
      </c>
      <c r="K46" s="2">
        <f t="shared" si="1"/>
        <v>10.101346505174554</v>
      </c>
      <c r="L46" s="2">
        <f t="shared" si="2"/>
        <v>9.1748621303963063</v>
      </c>
      <c r="M46">
        <f>VLOOKUP(A46,'[50]4tqqedlfvw39dav7'!$B$1:$N$18,7,FALSE)</f>
        <v>5</v>
      </c>
      <c r="N46">
        <f>VLOOKUP(A46,'[50]4tqqedlfvw39dav7'!$B$1:$N$18,10,FALSE)</f>
        <v>1.04</v>
      </c>
    </row>
    <row r="47" spans="1:14" x14ac:dyDescent="0.3">
      <c r="A47" t="s">
        <v>136</v>
      </c>
      <c r="B47" t="str">
        <f>VLOOKUP(A47,'[5]Ticker List'!$H$4:$I$20,2,FALSE)</f>
        <v>NWNG</v>
      </c>
      <c r="C47" t="str">
        <f>VLOOKUP(A47,[49]mklxkfsu1rbweayr!$B$1:$O$22,2,FALSE)</f>
        <v>NW NATURAL GAS</v>
      </c>
      <c r="D47">
        <f>VLOOKUP(A47,[49]mklxkfsu1rbweayr!$B$1:$O$22,13,FALSE)</f>
        <v>2.76</v>
      </c>
      <c r="E47">
        <f>VLOOKUP(A47,[33]WRDS!$B$1:$N$11,12,FALSE)</f>
        <v>2.56</v>
      </c>
      <c r="F47" s="1">
        <f t="shared" si="3"/>
        <v>3.3394873046307461</v>
      </c>
      <c r="G47" s="1">
        <f t="shared" si="4"/>
        <v>3.3547972499999998</v>
      </c>
      <c r="H47" s="2">
        <f t="shared" si="0"/>
        <v>-1.8630128500903287E-2</v>
      </c>
      <c r="I47" s="2">
        <f>VLOOKUP(A47,'[50]4tqqedlfvw39dav7'!$B$1:$N$18,9,FALSE)/100</f>
        <v>4.8799999999999996E-2</v>
      </c>
      <c r="J47" s="2">
        <f>VLOOKUP(A47,'[50]4tqqedlfvw39dav7'!$B$1:$N$18,8,FALSE)/100</f>
        <v>0.05</v>
      </c>
      <c r="K47" s="2">
        <f t="shared" si="1"/>
        <v>3.6194129577600025</v>
      </c>
      <c r="L47" s="2">
        <f t="shared" si="2"/>
        <v>3.6838247518032814</v>
      </c>
      <c r="M47">
        <f>VLOOKUP(A47,'[50]4tqqedlfvw39dav7'!$B$1:$N$18,7,FALSE)</f>
        <v>4</v>
      </c>
      <c r="N47">
        <f>VLOOKUP(A47,'[50]4tqqedlfvw39dav7'!$B$1:$N$18,10,FALSE)</f>
        <v>1.03</v>
      </c>
    </row>
    <row r="48" spans="1:14" x14ac:dyDescent="0.3">
      <c r="A48" t="s">
        <v>138</v>
      </c>
      <c r="B48" t="str">
        <f>VLOOKUP(A48,'[5]Ticker List'!$H$4:$I$20,2,FALSE)</f>
        <v>SJI</v>
      </c>
      <c r="C48" t="str">
        <f>VLOOKUP(A48,[49]mklxkfsu1rbweayr!$B$1:$O$22,2,FALSE)</f>
        <v>SO JERSEY INDS</v>
      </c>
      <c r="D48">
        <f>VLOOKUP(A48,[49]mklxkfsu1rbweayr!$B$1:$O$22,13,FALSE)</f>
        <v>1.0449999999999999</v>
      </c>
      <c r="E48">
        <f>VLOOKUP(A48,[33]WRDS!$B$1:$N$11,12,FALSE)</f>
        <v>1.4450000000000001</v>
      </c>
      <c r="F48" s="1">
        <f t="shared" si="3"/>
        <v>1.3955652519531248</v>
      </c>
      <c r="G48" s="1">
        <f t="shared" si="4"/>
        <v>1.3955652519531248</v>
      </c>
      <c r="H48" s="2">
        <f t="shared" si="0"/>
        <v>8.4395955623372432E-2</v>
      </c>
      <c r="I48" s="2">
        <f>VLOOKUP(A48,'[50]4tqqedlfvw39dav7'!$B$1:$N$18,9,FALSE)/100</f>
        <v>7.4999999999999997E-2</v>
      </c>
      <c r="J48" s="2">
        <f>VLOOKUP(A48,'[50]4tqqedlfvw39dav7'!$B$1:$N$18,8,FALSE)/100</f>
        <v>7.4999999999999997E-2</v>
      </c>
      <c r="K48" s="2">
        <f t="shared" si="1"/>
        <v>-0.11133182335541135</v>
      </c>
      <c r="L48" s="2">
        <f t="shared" si="2"/>
        <v>-0.11133182335541135</v>
      </c>
      <c r="M48">
        <f>VLOOKUP(A48,'[50]4tqqedlfvw39dav7'!$B$1:$N$18,7,FALSE)</f>
        <v>2</v>
      </c>
      <c r="N48">
        <f>VLOOKUP(A48,'[50]4tqqedlfvw39dav7'!$B$1:$N$18,10,FALSE)</f>
        <v>0.71</v>
      </c>
    </row>
    <row r="49" spans="1:14" x14ac:dyDescent="0.3">
      <c r="A49" t="s">
        <v>139</v>
      </c>
      <c r="B49" t="str">
        <f>VLOOKUP(A49,'[5]Ticker List'!$H$4:$I$20,2,FALSE)</f>
        <v>SWX</v>
      </c>
      <c r="C49" t="str">
        <f>VLOOKUP(A49,[49]mklxkfsu1rbweayr!$B$1:$O$22,2,FALSE)</f>
        <v>SOUTHWEST GAS</v>
      </c>
      <c r="D49">
        <f>VLOOKUP(A49,[49]mklxkfsu1rbweayr!$B$1:$O$22,13,FALSE)</f>
        <v>1.95</v>
      </c>
      <c r="E49">
        <f>VLOOKUP(A49,[33]WRDS!$B$1:$N$11,12,FALSE)</f>
        <v>2.4300000000000002</v>
      </c>
      <c r="F49" s="1">
        <f t="shared" si="3"/>
        <v>2.3254112712187491</v>
      </c>
      <c r="G49" s="1">
        <f t="shared" si="4"/>
        <v>2.3254112712187491</v>
      </c>
      <c r="H49" s="2">
        <f t="shared" si="0"/>
        <v>5.6556960746970919E-2</v>
      </c>
      <c r="I49" s="2">
        <f>VLOOKUP(A49,'[50]4tqqedlfvw39dav7'!$B$1:$N$18,9,FALSE)/100</f>
        <v>4.4999999999999998E-2</v>
      </c>
      <c r="J49" s="2">
        <f>VLOOKUP(A49,'[50]4tqqedlfvw39dav7'!$B$1:$N$18,8,FALSE)/100</f>
        <v>4.4999999999999998E-2</v>
      </c>
      <c r="K49" s="2">
        <f t="shared" si="1"/>
        <v>-0.20434196948233094</v>
      </c>
      <c r="L49" s="2">
        <f t="shared" si="2"/>
        <v>-0.20434196948233094</v>
      </c>
      <c r="M49">
        <f>VLOOKUP(A49,'[50]4tqqedlfvw39dav7'!$B$1:$N$18,7,FALSE)</f>
        <v>2</v>
      </c>
      <c r="N49">
        <f>VLOOKUP(A49,'[50]4tqqedlfvw39dav7'!$B$1:$N$18,10,FALSE)</f>
        <v>2.12</v>
      </c>
    </row>
    <row r="50" spans="1:14" x14ac:dyDescent="0.3">
      <c r="A50" t="s">
        <v>144</v>
      </c>
      <c r="B50" t="str">
        <f>VLOOKUP(A50,'[5]Ticker List'!$H$4:$I$20,2,FALSE)</f>
        <v>GAS</v>
      </c>
      <c r="C50" t="s">
        <v>147</v>
      </c>
      <c r="D50">
        <v>2.72</v>
      </c>
      <c r="E50">
        <f>1.6+0.23-0.04+0.37</f>
        <v>2.16</v>
      </c>
      <c r="F50" s="1">
        <f t="shared" si="3"/>
        <v>3.0023710624999995</v>
      </c>
      <c r="G50" s="1">
        <f t="shared" si="4"/>
        <v>3.0023710624999995</v>
      </c>
      <c r="H50" s="2">
        <f t="shared" si="0"/>
        <v>-5.6001700913075325E-2</v>
      </c>
      <c r="I50" s="2">
        <f>VLOOKUP(A50,'[50]4tqqedlfvw39dav7'!$B$1:$N$18,9,FALSE)/100</f>
        <v>2.5000000000000001E-2</v>
      </c>
      <c r="J50" s="2">
        <f>VLOOKUP(A50,'[50]4tqqedlfvw39dav7'!$B$1:$N$18,8,FALSE)/100</f>
        <v>2.5000000000000001E-2</v>
      </c>
      <c r="K50" s="2">
        <f t="shared" si="1"/>
        <v>1.4464150122655108</v>
      </c>
      <c r="L50" s="2">
        <f t="shared" si="2"/>
        <v>1.4464150122655108</v>
      </c>
      <c r="M50">
        <f>VLOOKUP(A50,'[50]4tqqedlfvw39dav7'!$B$1:$N$18,7,FALSE)</f>
        <v>2</v>
      </c>
      <c r="N50">
        <f>VLOOKUP(A50,'[50]4tqqedlfvw39dav7'!$B$1:$N$18,10,FALSE)</f>
        <v>0.71</v>
      </c>
    </row>
    <row r="51" spans="1:14" x14ac:dyDescent="0.3">
      <c r="A51" t="s">
        <v>143</v>
      </c>
      <c r="B51" t="str">
        <f>VLOOKUP(A51,'[5]Ticker List'!$H$4:$I$20,2,FALSE)</f>
        <v>LG</v>
      </c>
      <c r="C51" t="str">
        <f>VLOOKUP(A51,[49]mklxkfsu1rbweayr!$B$1:$O$22,2,FALSE)</f>
        <v>LACLEDE GROUP</v>
      </c>
      <c r="D51">
        <f>VLOOKUP(A51,[49]mklxkfsu1rbweayr!$B$1:$O$22,13,FALSE)</f>
        <v>2.64</v>
      </c>
      <c r="E51">
        <f>VLOOKUP(A51,[33]WRDS!$B$1:$N$11,12,FALSE)</f>
        <v>2.79</v>
      </c>
      <c r="F51" s="1">
        <f t="shared" si="3"/>
        <v>2.9713432584000001</v>
      </c>
      <c r="G51" s="1">
        <f t="shared" si="4"/>
        <v>2.9713432584000001</v>
      </c>
      <c r="H51" s="2">
        <f t="shared" si="0"/>
        <v>1.3911547060942109E-2</v>
      </c>
      <c r="I51" s="2">
        <f>VLOOKUP(A51,'[50]4tqqedlfvw39dav7'!$B$1:$N$18,9,FALSE)/100</f>
        <v>0.03</v>
      </c>
      <c r="J51" s="2">
        <f>VLOOKUP(A51,'[50]4tqqedlfvw39dav7'!$B$1:$N$18,8,FALSE)/100</f>
        <v>0.03</v>
      </c>
      <c r="K51" s="2">
        <f t="shared" si="1"/>
        <v>1.156481940403856</v>
      </c>
      <c r="L51" s="2">
        <f t="shared" si="2"/>
        <v>1.156481940403856</v>
      </c>
      <c r="M51">
        <f>VLOOKUP(A51,'[50]4tqqedlfvw39dav7'!$B$1:$N$18,7,FALSE)</f>
        <v>1</v>
      </c>
      <c r="N51">
        <f>VLOOKUP(A51,'[50]4tqqedlfvw39dav7'!$B$1:$N$18,10,FALSE)</f>
        <v>0</v>
      </c>
    </row>
    <row r="52" spans="1:14" x14ac:dyDescent="0.3">
      <c r="A52" t="s">
        <v>146</v>
      </c>
      <c r="B52" t="str">
        <f>VLOOKUP(A52,'[5]Ticker List'!$H$4:$I$20,2,FALSE)</f>
        <v>PNY</v>
      </c>
      <c r="C52" t="str">
        <f>VLOOKUP(A52,[49]mklxkfsu1rbweayr!$B$1:$O$22,2,FALSE)</f>
        <v>PIEDMONT NAT GAS</v>
      </c>
      <c r="D52">
        <f>VLOOKUP(A52,[49]mklxkfsu1rbweayr!$B$1:$O$22,13,FALSE)</f>
        <v>1.4</v>
      </c>
      <c r="E52">
        <f>VLOOKUP(A52,[33]WRDS!$B$1:$N$11,12,FALSE)</f>
        <v>1.57</v>
      </c>
      <c r="F52" s="1">
        <f t="shared" si="3"/>
        <v>1.6855597894296881</v>
      </c>
      <c r="G52" s="1">
        <f t="shared" si="4"/>
        <v>1.6855597894296881</v>
      </c>
      <c r="H52" s="2">
        <f t="shared" si="0"/>
        <v>2.9065229176369556E-2</v>
      </c>
      <c r="I52" s="2">
        <f>VLOOKUP(A52,'[50]4tqqedlfvw39dav7'!$B$1:$N$18,9,FALSE)/100</f>
        <v>4.7500000000000001E-2</v>
      </c>
      <c r="J52" s="2">
        <f>VLOOKUP(A52,'[50]4tqqedlfvw39dav7'!$B$1:$N$18,8,FALSE)/100</f>
        <v>4.7500000000000001E-2</v>
      </c>
      <c r="K52" s="2">
        <f t="shared" si="1"/>
        <v>0.63425513391850963</v>
      </c>
      <c r="L52" s="2">
        <f t="shared" si="2"/>
        <v>0.63425513391850963</v>
      </c>
      <c r="M52">
        <f>VLOOKUP(A52,'[50]4tqqedlfvw39dav7'!$B$1:$N$18,7,FALSE)</f>
        <v>2</v>
      </c>
      <c r="N52">
        <f>VLOOKUP(A52,'[50]4tqqedlfvw39dav7'!$B$1:$N$18,10,FALSE)</f>
        <v>1.2</v>
      </c>
    </row>
    <row r="53" spans="1:14" x14ac:dyDescent="0.3">
      <c r="A53" t="s">
        <v>145</v>
      </c>
      <c r="B53" t="str">
        <f>VLOOKUP(A53,'[5]Ticker List'!$H$4:$I$20,2,FALSE)</f>
        <v>WGL</v>
      </c>
      <c r="C53" t="str">
        <f>VLOOKUP(A53,[49]mklxkfsu1rbweayr!$B$1:$O$22,2,FALSE)</f>
        <v>WGL HOLDING INC</v>
      </c>
      <c r="D53">
        <f>VLOOKUP(A53,[49]mklxkfsu1rbweayr!$B$1:$O$22,13,FALSE)</f>
        <v>2.33</v>
      </c>
      <c r="E53">
        <f>VLOOKUP(A53,[33]WRDS!$B$1:$N$11,12,FALSE)</f>
        <v>2.68</v>
      </c>
      <c r="F53" s="1">
        <f t="shared" si="3"/>
        <v>2.7257704448000006</v>
      </c>
      <c r="G53" s="1">
        <f t="shared" si="4"/>
        <v>2.7257704448000006</v>
      </c>
      <c r="H53" s="2">
        <f t="shared" si="0"/>
        <v>3.5606382257850955E-2</v>
      </c>
      <c r="I53" s="2">
        <f>VLOOKUP(A53,'[50]4tqqedlfvw39dav7'!$B$1:$N$18,9,FALSE)/100</f>
        <v>0.04</v>
      </c>
      <c r="J53" s="2">
        <f>VLOOKUP(A53,'[50]4tqqedlfvw39dav7'!$B$1:$N$18,8,FALSE)/100</f>
        <v>0.04</v>
      </c>
      <c r="K53" s="2">
        <f t="shared" si="1"/>
        <v>0.12339410699833973</v>
      </c>
      <c r="L53" s="2">
        <f t="shared" si="2"/>
        <v>0.12339410699833973</v>
      </c>
      <c r="M53">
        <f>VLOOKUP(A53,'[50]4tqqedlfvw39dav7'!$B$1:$N$18,7,FALSE)</f>
        <v>2</v>
      </c>
      <c r="N53">
        <f>VLOOKUP(A53,'[50]4tqqedlfvw39dav7'!$B$1:$N$18,10,FALSE)</f>
        <v>0</v>
      </c>
    </row>
  </sheetData>
  <mergeCells count="3">
    <mergeCell ref="P1:Q1"/>
    <mergeCell ref="P7:Q7"/>
    <mergeCell ref="P13:Q13"/>
  </mergeCells>
  <pageMargins left="0.7" right="0.7" top="0.75" bottom="0.75" header="0.3" footer="0.3"/>
  <pageSetup orientation="portrait" horizontalDpi="1200" verticalDpi="1200"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9FE51-5C16-4303-9C1F-EC5CCFD19461}">
  <dimension ref="A1:Q54"/>
  <sheetViews>
    <sheetView topLeftCell="A17" workbookViewId="0">
      <selection activeCell="A54" sqref="A54"/>
    </sheetView>
  </sheetViews>
  <sheetFormatPr defaultRowHeight="14.4" x14ac:dyDescent="0.3"/>
  <cols>
    <col min="1" max="1" width="13.33203125" bestFit="1" customWidth="1"/>
    <col min="2" max="2" width="10.44140625" bestFit="1" customWidth="1"/>
    <col min="3" max="3" width="15.109375" bestFit="1" customWidth="1"/>
    <col min="4" max="5" width="15.44140625" bestFit="1" customWidth="1"/>
    <col min="6" max="6" width="14.33203125" bestFit="1" customWidth="1"/>
    <col min="7" max="7" width="16" bestFit="1" customWidth="1"/>
    <col min="8" max="8" width="18.33203125" bestFit="1" customWidth="1"/>
    <col min="9" max="9" width="21.44140625" bestFit="1" customWidth="1"/>
    <col min="10" max="10" width="23.109375" bestFit="1" customWidth="1"/>
    <col min="11" max="11" width="22" bestFit="1" customWidth="1"/>
    <col min="12" max="12" width="24.109375" bestFit="1" customWidth="1"/>
    <col min="13" max="13" width="19.88671875" bestFit="1" customWidth="1"/>
    <col min="14" max="14" width="8.33203125" bestFit="1" customWidth="1"/>
    <col min="16" max="16" width="51.88671875" bestFit="1" customWidth="1"/>
    <col min="17" max="17" width="12" bestFit="1" customWidth="1"/>
  </cols>
  <sheetData>
    <row r="1" spans="1:17" x14ac:dyDescent="0.3">
      <c r="A1" s="4" t="s">
        <v>0</v>
      </c>
      <c r="B1" s="4" t="s">
        <v>1</v>
      </c>
      <c r="C1" s="4" t="s">
        <v>2</v>
      </c>
      <c r="D1" s="4" t="s">
        <v>85</v>
      </c>
      <c r="E1" s="4" t="s">
        <v>77</v>
      </c>
      <c r="F1" s="4" t="s">
        <v>5</v>
      </c>
      <c r="G1" s="4" t="s">
        <v>6</v>
      </c>
      <c r="H1" s="4" t="s">
        <v>7</v>
      </c>
      <c r="I1" s="4" t="s">
        <v>8</v>
      </c>
      <c r="J1" s="4" t="s">
        <v>9</v>
      </c>
      <c r="K1" s="4" t="s">
        <v>10</v>
      </c>
      <c r="L1" s="4" t="s">
        <v>11</v>
      </c>
      <c r="M1" s="4" t="s">
        <v>12</v>
      </c>
      <c r="N1" s="4" t="s">
        <v>13</v>
      </c>
      <c r="P1" s="111" t="s">
        <v>14</v>
      </c>
      <c r="Q1" s="111"/>
    </row>
    <row r="2" spans="1:17" x14ac:dyDescent="0.3">
      <c r="A2" t="s">
        <v>15</v>
      </c>
      <c r="B2" t="str">
        <f>VLOOKUP(A2,[51]WRDS!$A$1:$N$100,2,FALSE)</f>
        <v>UEP</v>
      </c>
      <c r="C2" t="str">
        <f>VLOOKUP(A2,[51]WRDS!$A$1:$N$100,3,FALSE)</f>
        <v>AMEREN CP</v>
      </c>
      <c r="D2">
        <f>VLOOKUP(A2,[51]WRDS!$A$1:$N$100,13,FALSE)</f>
        <v>2.79</v>
      </c>
      <c r="E2">
        <f>VLOOKUP(A2,[35]WRDS!$A$1:$N$100,13,FALSE)</f>
        <v>2.75</v>
      </c>
      <c r="F2" s="1">
        <f>D2*(1+I2)^4</f>
        <v>3.5556578063964843</v>
      </c>
      <c r="G2" s="1">
        <f>D2*(1+J2)^4</f>
        <v>3.3912624375</v>
      </c>
      <c r="H2" s="2">
        <f t="shared" ref="H2:H54" si="0">((E2/D2)^(1/4)-1)</f>
        <v>-3.6036622062562973E-3</v>
      </c>
      <c r="I2" s="2">
        <f>VLOOKUP(A2,[52]WRDS!$A$1:$O$100,10,FALSE)/100</f>
        <v>6.25E-2</v>
      </c>
      <c r="J2" s="2">
        <f>VLOOKUP(A2,[52]WRDS!$A$1:$O$100,9,FALSE)/100</f>
        <v>0.05</v>
      </c>
      <c r="K2" s="2">
        <f t="shared" ref="K2:K54" si="1">(I2-H2)/(ABS(H2))</f>
        <v>18.34346795642891</v>
      </c>
      <c r="L2" s="2">
        <f t="shared" ref="L2:L54" si="2">(J2-H2)/(ABS(H2))</f>
        <v>14.874774365143129</v>
      </c>
      <c r="M2">
        <f>VLOOKUP(A2,[52]WRDS!$A$1:$O$100,8,FALSE)</f>
        <v>4</v>
      </c>
      <c r="N2">
        <f>VLOOKUP(A2,[52]WRDS!$A$1:$O$100,11,FALSE)</f>
        <v>4.72</v>
      </c>
      <c r="P2" t="s">
        <v>16</v>
      </c>
      <c r="Q2" s="3">
        <f>AVERAGE(H2:H999)</f>
        <v>3.003669004755358E-2</v>
      </c>
    </row>
    <row r="3" spans="1:17" x14ac:dyDescent="0.3">
      <c r="A3" t="s">
        <v>17</v>
      </c>
      <c r="B3" t="str">
        <f>VLOOKUP(A3,[51]WRDS!$A$1:$N$100,2,FALSE)</f>
        <v>MPL</v>
      </c>
      <c r="C3" t="str">
        <f>VLOOKUP(A3,[51]WRDS!$A$1:$N$100,3,FALSE)</f>
        <v>ALLETE INC</v>
      </c>
      <c r="D3">
        <f>VLOOKUP(A3,[51]WRDS!$A$1:$N$100,13,FALSE)</f>
        <v>2.77</v>
      </c>
      <c r="E3">
        <f>VLOOKUP(A3,[35]WRDS!$A$1:$N$100,13,FALSE)</f>
        <v>2.19</v>
      </c>
      <c r="F3" s="1">
        <f t="shared" ref="F3:F54" si="3">D3*(1+I3)^4</f>
        <v>3.8388286007312495</v>
      </c>
      <c r="G3" s="1">
        <f t="shared" ref="G3:G54" si="4">D3*(1+J3)^4</f>
        <v>3.8388286007312495</v>
      </c>
      <c r="H3" s="2">
        <f t="shared" si="0"/>
        <v>-5.7044742161154405E-2</v>
      </c>
      <c r="I3" s="2">
        <f>VLOOKUP(A3,[52]WRDS!$A$1:$O$100,10,FALSE)/100</f>
        <v>8.5000000000000006E-2</v>
      </c>
      <c r="J3" s="2">
        <f>VLOOKUP(A3,[52]WRDS!$A$1:$O$100,9,FALSE)/100</f>
        <v>8.5000000000000006E-2</v>
      </c>
      <c r="K3" s="2">
        <f t="shared" si="1"/>
        <v>2.4900584485046937</v>
      </c>
      <c r="L3" s="2">
        <f t="shared" si="2"/>
        <v>2.4900584485046937</v>
      </c>
      <c r="M3">
        <f>VLOOKUP(A3,[52]WRDS!$A$1:$O$100,8,FALSE)</f>
        <v>2</v>
      </c>
      <c r="N3">
        <f>VLOOKUP(A3,[52]WRDS!$A$1:$O$100,11,FALSE)</f>
        <v>4.95</v>
      </c>
      <c r="P3" t="s">
        <v>18</v>
      </c>
      <c r="Q3" s="3">
        <f>AVERAGE(I2:I999)</f>
        <v>6.2711320754716998E-2</v>
      </c>
    </row>
    <row r="4" spans="1:17" x14ac:dyDescent="0.3">
      <c r="A4" t="s">
        <v>63</v>
      </c>
      <c r="B4" t="str">
        <f>VLOOKUP(A4,[51]WRDS!$A$1:$N$100,2,FALSE)</f>
        <v>WWP</v>
      </c>
      <c r="C4" t="str">
        <f>VLOOKUP(A4,[51]WRDS!$A$1:$N$100,3,FALSE)</f>
        <v>AVISTA CORP</v>
      </c>
      <c r="D4">
        <f>VLOOKUP(A4,[51]WRDS!$A$1:$N$100,13,FALSE)</f>
        <v>1.47</v>
      </c>
      <c r="E4">
        <f>VLOOKUP(A4,[35]WRDS!$A$1:$N$100,13,FALSE)</f>
        <v>1.65</v>
      </c>
      <c r="F4" s="1">
        <f t="shared" si="3"/>
        <v>1.8210722364187497</v>
      </c>
      <c r="G4" s="1">
        <f t="shared" si="4"/>
        <v>1.8210722364187497</v>
      </c>
      <c r="H4" s="2">
        <f t="shared" si="0"/>
        <v>2.9299240613706035E-2</v>
      </c>
      <c r="I4" s="2">
        <f>VLOOKUP(A4,[52]WRDS!$A$1:$O$100,10,FALSE)/100</f>
        <v>5.5E-2</v>
      </c>
      <c r="J4" s="2">
        <f>VLOOKUP(A4,[52]WRDS!$A$1:$O$100,9,FALSE)/100</f>
        <v>5.5E-2</v>
      </c>
      <c r="K4" s="2">
        <f t="shared" si="1"/>
        <v>0.87718175788731134</v>
      </c>
      <c r="L4" s="2">
        <f t="shared" si="2"/>
        <v>0.87718175788731134</v>
      </c>
      <c r="M4">
        <f>VLOOKUP(A4,[52]WRDS!$A$1:$O$100,8,FALSE)</f>
        <v>2</v>
      </c>
      <c r="N4">
        <f>VLOOKUP(A4,[52]WRDS!$A$1:$O$100,11,FALSE)</f>
        <v>0.71</v>
      </c>
      <c r="P4" t="s">
        <v>20</v>
      </c>
      <c r="Q4" s="3">
        <f>(Q3-Q2)/ABS(Q2)</f>
        <v>1.0878239464945538</v>
      </c>
    </row>
    <row r="5" spans="1:17" x14ac:dyDescent="0.3">
      <c r="A5" t="s">
        <v>19</v>
      </c>
      <c r="B5" t="str">
        <f>VLOOKUP(A5,[51]WRDS!$A$1:$N$100,2,FALSE)</f>
        <v>BHP</v>
      </c>
      <c r="C5" t="str">
        <f>VLOOKUP(A5,[51]WRDS!$A$1:$N$100,3,FALSE)</f>
        <v>BLACK HILLS CP</v>
      </c>
      <c r="D5">
        <f>VLOOKUP(A5,[51]WRDS!$A$1:$N$100,13,FALSE)</f>
        <v>2.14</v>
      </c>
      <c r="E5">
        <f>VLOOKUP(A5,[35]WRDS!$A$1:$N$100,13,FALSE)</f>
        <v>1.79</v>
      </c>
      <c r="F5" s="1">
        <f t="shared" si="3"/>
        <v>2.5519898053374992</v>
      </c>
      <c r="G5" s="1">
        <f t="shared" si="4"/>
        <v>2.5519898053374992</v>
      </c>
      <c r="H5" s="2">
        <f t="shared" si="0"/>
        <v>-4.3665519665018526E-2</v>
      </c>
      <c r="I5" s="2">
        <f>VLOOKUP(A5,[52]WRDS!$A$1:$O$100,10,FALSE)/100</f>
        <v>4.4999999999999998E-2</v>
      </c>
      <c r="J5" s="2">
        <f>VLOOKUP(A5,[52]WRDS!$A$1:$O$100,9,FALSE)/100</f>
        <v>4.4999999999999998E-2</v>
      </c>
      <c r="K5" s="2">
        <f t="shared" si="1"/>
        <v>2.030561421121722</v>
      </c>
      <c r="L5" s="2">
        <f t="shared" si="2"/>
        <v>2.030561421121722</v>
      </c>
      <c r="M5">
        <f>VLOOKUP(A5,[52]WRDS!$A$1:$O$100,8,FALSE)</f>
        <v>2</v>
      </c>
      <c r="N5">
        <f>VLOOKUP(A5,[52]WRDS!$A$1:$O$100,11,FALSE)</f>
        <v>2.12</v>
      </c>
      <c r="P5" t="s">
        <v>22</v>
      </c>
      <c r="Q5" s="3">
        <f>AVERAGE(J2:J999)</f>
        <v>6.1781132075471687E-2</v>
      </c>
    </row>
    <row r="6" spans="1:17" x14ac:dyDescent="0.3">
      <c r="A6" t="s">
        <v>83</v>
      </c>
      <c r="B6" t="str">
        <f>VLOOKUP(A6,[51]WRDS!$A$1:$N$100,2,FALSE)</f>
        <v>BGE</v>
      </c>
      <c r="C6" t="str">
        <f>VLOOKUP(A6,[51]WRDS!$A$1:$N$100,3,FALSE)</f>
        <v>CONSTELLATION EN</v>
      </c>
      <c r="D6">
        <f>VLOOKUP(A6,[51]WRDS!$A$1:$N$100,13,FALSE)</f>
        <v>3.61</v>
      </c>
      <c r="E6">
        <f>VLOOKUP(A6,[35]WRDS!$A$1:$N$100,13,FALSE)</f>
        <v>3.06</v>
      </c>
      <c r="F6" s="1">
        <f t="shared" si="3"/>
        <v>5.680404889600001</v>
      </c>
      <c r="G6" s="1">
        <f t="shared" si="4"/>
        <v>5.8860097320999971</v>
      </c>
      <c r="H6" s="2">
        <f t="shared" si="0"/>
        <v>-4.0481050225909421E-2</v>
      </c>
      <c r="I6" s="2">
        <f>VLOOKUP(A6,[52]WRDS!$A$1:$O$100,10,FALSE)/100</f>
        <v>0.12</v>
      </c>
      <c r="J6" s="2">
        <f>VLOOKUP(A6,[52]WRDS!$A$1:$O$100,9,FALSE)/100</f>
        <v>0.13</v>
      </c>
      <c r="K6" s="2">
        <f t="shared" si="1"/>
        <v>3.9643499694381794</v>
      </c>
      <c r="L6" s="2">
        <f t="shared" si="2"/>
        <v>4.2113791335580277</v>
      </c>
      <c r="M6">
        <f>VLOOKUP(A6,[52]WRDS!$A$1:$O$100,8,FALSE)</f>
        <v>3</v>
      </c>
      <c r="N6">
        <f>VLOOKUP(A6,[52]WRDS!$A$1:$O$100,11,FALSE)</f>
        <v>1.73</v>
      </c>
      <c r="P6" t="s">
        <v>24</v>
      </c>
      <c r="Q6" s="3">
        <f>(Q5-Q2)/ABS(Q2)</f>
        <v>1.0568555316068731</v>
      </c>
    </row>
    <row r="7" spans="1:17" x14ac:dyDescent="0.3">
      <c r="A7" t="s">
        <v>21</v>
      </c>
      <c r="B7" t="str">
        <f>VLOOKUP(A7,[51]WRDS!$A$1:$N$100,2,FALSE)</f>
        <v>CMS</v>
      </c>
      <c r="C7" t="str">
        <f>VLOOKUP(A7,[51]WRDS!$A$1:$N$100,3,FALSE)</f>
        <v>CMS ENERGY CORP</v>
      </c>
      <c r="D7">
        <f>VLOOKUP(A7,[51]WRDS!$A$1:$N$100,13,FALSE)</f>
        <v>1.1299999999999999</v>
      </c>
      <c r="E7">
        <f>VLOOKUP(A7,[35]WRDS!$A$1:$N$100,13,FALSE)</f>
        <v>1.36</v>
      </c>
      <c r="F7" s="1">
        <f t="shared" si="3"/>
        <v>1.3735220625</v>
      </c>
      <c r="G7" s="1">
        <f t="shared" si="4"/>
        <v>1.3219401728000002</v>
      </c>
      <c r="H7" s="2">
        <f t="shared" si="0"/>
        <v>4.7406141859198225E-2</v>
      </c>
      <c r="I7" s="2">
        <f>VLOOKUP(A7,[52]WRDS!$A$1:$O$100,10,FALSE)/100</f>
        <v>0.05</v>
      </c>
      <c r="J7" s="2">
        <f>VLOOKUP(A7,[52]WRDS!$A$1:$O$100,9,FALSE)/100</f>
        <v>0.04</v>
      </c>
      <c r="K7" s="2">
        <f t="shared" si="1"/>
        <v>5.4715655800588854E-2</v>
      </c>
      <c r="L7" s="2">
        <f t="shared" si="2"/>
        <v>-0.15622747535952894</v>
      </c>
      <c r="M7">
        <f>VLOOKUP(A7,[52]WRDS!$A$1:$O$100,8,FALSE)</f>
        <v>3</v>
      </c>
      <c r="N7">
        <f>VLOOKUP(A7,[52]WRDS!$A$1:$O$100,11,FALSE)</f>
        <v>2.65</v>
      </c>
      <c r="P7" s="111" t="s">
        <v>26</v>
      </c>
      <c r="Q7" s="111"/>
    </row>
    <row r="8" spans="1:17" x14ac:dyDescent="0.3">
      <c r="A8" t="s">
        <v>71</v>
      </c>
      <c r="B8" t="str">
        <f>VLOOKUP(A8,[51]WRDS!$A$1:$N$100,2,FALSE)</f>
        <v>CNL</v>
      </c>
      <c r="C8" t="str">
        <f>VLOOKUP(A8,[51]WRDS!$A$1:$N$100,3,FALSE)</f>
        <v>CLECO CORP</v>
      </c>
      <c r="D8">
        <f>VLOOKUP(A8,[51]WRDS!$A$1:$N$100,13,FALSE)</f>
        <v>1.36</v>
      </c>
      <c r="E8">
        <f>VLOOKUP(A8,[35]WRDS!$A$1:$N$100,13,FALSE)</f>
        <v>2.2599999999999998</v>
      </c>
      <c r="F8" s="1">
        <f t="shared" si="3"/>
        <v>1.9197509896000005</v>
      </c>
      <c r="G8" s="1">
        <f t="shared" si="4"/>
        <v>1.9197509896000005</v>
      </c>
      <c r="H8" s="2">
        <f t="shared" si="0"/>
        <v>0.13538298800866211</v>
      </c>
      <c r="I8" s="2">
        <f>VLOOKUP(A8,[52]WRDS!$A$1:$O$100,10,FALSE)/100</f>
        <v>0.09</v>
      </c>
      <c r="J8" s="2">
        <f>VLOOKUP(A8,[52]WRDS!$A$1:$O$100,9,FALSE)/100</f>
        <v>0.09</v>
      </c>
      <c r="K8" s="2">
        <f t="shared" si="1"/>
        <v>-0.3352192818034006</v>
      </c>
      <c r="L8" s="2">
        <f t="shared" si="2"/>
        <v>-0.3352192818034006</v>
      </c>
      <c r="M8">
        <f>VLOOKUP(A8,[52]WRDS!$A$1:$O$100,8,FALSE)</f>
        <v>1</v>
      </c>
      <c r="N8">
        <f>VLOOKUP(A8,[52]WRDS!$A$1:$O$100,11,FALSE)</f>
        <v>0</v>
      </c>
      <c r="P8" t="s">
        <v>28</v>
      </c>
      <c r="Q8" s="2">
        <f>MEDIAN(H2:H99)</f>
        <v>4.4916991100050208E-2</v>
      </c>
    </row>
    <row r="9" spans="1:17" x14ac:dyDescent="0.3">
      <c r="A9" t="s">
        <v>23</v>
      </c>
      <c r="B9" t="str">
        <f>VLOOKUP(A9,[51]WRDS!$A$1:$N$100,2,FALSE)</f>
        <v>HOU</v>
      </c>
      <c r="C9" t="str">
        <f>VLOOKUP(A9,[51]WRDS!$A$1:$N$100,3,FALSE)</f>
        <v>CENTERPOINT ENER</v>
      </c>
      <c r="D9">
        <f>VLOOKUP(A9,[51]WRDS!$A$1:$N$100,13,FALSE)</f>
        <v>1.1100000000000001</v>
      </c>
      <c r="E9">
        <f>VLOOKUP(A9,[35]WRDS!$A$1:$N$100,13,FALSE)</f>
        <v>0.97</v>
      </c>
      <c r="F9" s="1">
        <f t="shared" si="3"/>
        <v>1.6549012761937503</v>
      </c>
      <c r="G9" s="1">
        <f t="shared" si="4"/>
        <v>1.6549012761937503</v>
      </c>
      <c r="H9" s="2">
        <f t="shared" si="0"/>
        <v>-3.3143126848438231E-2</v>
      </c>
      <c r="I9" s="2">
        <f>VLOOKUP(A9,[52]WRDS!$A$1:$O$100,10,FALSE)/100</f>
        <v>0.105</v>
      </c>
      <c r="J9" s="2">
        <f>VLOOKUP(A9,[52]WRDS!$A$1:$O$100,9,FALSE)/100</f>
        <v>0.105</v>
      </c>
      <c r="K9" s="2">
        <f t="shared" si="1"/>
        <v>4.1680776675103539</v>
      </c>
      <c r="L9" s="2">
        <f t="shared" si="2"/>
        <v>4.1680776675103539</v>
      </c>
      <c r="M9">
        <f>VLOOKUP(A9,[52]WRDS!$A$1:$O$100,8,FALSE)</f>
        <v>2</v>
      </c>
      <c r="N9">
        <f>VLOOKUP(A9,[52]WRDS!$A$1:$O$100,11,FALSE)</f>
        <v>10.61</v>
      </c>
      <c r="P9" t="s">
        <v>30</v>
      </c>
      <c r="Q9" s="2">
        <f>MEDIAN(I2:I100)</f>
        <v>0.06</v>
      </c>
    </row>
    <row r="10" spans="1:17" x14ac:dyDescent="0.3">
      <c r="A10" t="s">
        <v>25</v>
      </c>
      <c r="B10" t="str">
        <f>VLOOKUP(A10,[51]WRDS!$A$1:$N$100,2,FALSE)</f>
        <v>D</v>
      </c>
      <c r="C10" t="str">
        <f>VLOOKUP(A10,[51]WRDS!$A$1:$N$100,3,FALSE)</f>
        <v>DOMINION RES INC</v>
      </c>
      <c r="D10">
        <f>VLOOKUP(A10,[51]WRDS!$A$1:$N$100,13,FALSE)</f>
        <v>2.56</v>
      </c>
      <c r="E10">
        <f>VLOOKUP(A10,[35]WRDS!$A$1:$N$100,13,FALSE)</f>
        <v>3.34</v>
      </c>
      <c r="F10" s="1">
        <f t="shared" si="3"/>
        <v>3.5477982735999998</v>
      </c>
      <c r="G10" s="1">
        <f t="shared" si="4"/>
        <v>3.5477982735999998</v>
      </c>
      <c r="H10" s="2">
        <f t="shared" si="0"/>
        <v>6.8751224633715413E-2</v>
      </c>
      <c r="I10" s="2">
        <f>VLOOKUP(A10,[52]WRDS!$A$1:$O$100,10,FALSE)/100</f>
        <v>8.5000000000000006E-2</v>
      </c>
      <c r="J10" s="2">
        <f>VLOOKUP(A10,[52]WRDS!$A$1:$O$100,9,FALSE)/100</f>
        <v>8.5000000000000006E-2</v>
      </c>
      <c r="K10" s="2">
        <f t="shared" si="1"/>
        <v>0.23634161359092704</v>
      </c>
      <c r="L10" s="2">
        <f t="shared" si="2"/>
        <v>0.23634161359092704</v>
      </c>
      <c r="M10">
        <f>VLOOKUP(A10,[52]WRDS!$A$1:$O$100,8,FALSE)</f>
        <v>2</v>
      </c>
      <c r="N10">
        <f>VLOOKUP(A10,[52]WRDS!$A$1:$O$100,11,FALSE)</f>
        <v>4.95</v>
      </c>
      <c r="P10" t="s">
        <v>32</v>
      </c>
      <c r="Q10" s="2">
        <f>(Q9-Q8)/ABS(Q8)</f>
        <v>0.33579740161920441</v>
      </c>
    </row>
    <row r="11" spans="1:17" x14ac:dyDescent="0.3">
      <c r="A11" t="s">
        <v>86</v>
      </c>
      <c r="B11" t="str">
        <f>VLOOKUP(A11,[51]WRDS!$A$1:$N$100,2,FALSE)</f>
        <v>DPL</v>
      </c>
      <c r="C11" t="str">
        <f>VLOOKUP(A11,[51]WRDS!$A$1:$N$100,3,FALSE)</f>
        <v>DPL INC</v>
      </c>
      <c r="D11">
        <f>VLOOKUP(A11,[51]WRDS!$A$1:$N$100,13,FALSE)</f>
        <v>1.35</v>
      </c>
      <c r="E11">
        <f>VLOOKUP(A11,[35]WRDS!$A$1:$N$100,13,FALSE)</f>
        <v>2.5</v>
      </c>
      <c r="F11" s="1">
        <f t="shared" si="3"/>
        <v>1.80288333984375</v>
      </c>
      <c r="G11" s="1">
        <f t="shared" si="4"/>
        <v>1.80288333984375</v>
      </c>
      <c r="H11" s="2">
        <f t="shared" si="0"/>
        <v>0.16654517052686102</v>
      </c>
      <c r="I11" s="2">
        <f>VLOOKUP(A11,[52]WRDS!$A$1:$O$100,10,FALSE)/100</f>
        <v>7.4999999999999997E-2</v>
      </c>
      <c r="J11" s="2">
        <f>VLOOKUP(A11,[52]WRDS!$A$1:$O$100,9,FALSE)/100</f>
        <v>7.4999999999999997E-2</v>
      </c>
      <c r="K11" s="2">
        <f t="shared" si="1"/>
        <v>-0.54967172111482077</v>
      </c>
      <c r="L11" s="2">
        <f t="shared" si="2"/>
        <v>-0.54967172111482077</v>
      </c>
      <c r="M11">
        <f>VLOOKUP(A11,[52]WRDS!$A$1:$O$100,8,FALSE)</f>
        <v>2</v>
      </c>
      <c r="N11">
        <f>VLOOKUP(A11,[52]WRDS!$A$1:$O$100,11,FALSE)</f>
        <v>3.54</v>
      </c>
      <c r="P11" t="s">
        <v>34</v>
      </c>
      <c r="Q11" s="2">
        <f>MEDIAN(J2:J99)</f>
        <v>5.5E-2</v>
      </c>
    </row>
    <row r="12" spans="1:17" x14ac:dyDescent="0.3">
      <c r="A12" t="s">
        <v>27</v>
      </c>
      <c r="B12" t="str">
        <f>VLOOKUP(A12,[51]WRDS!$A$1:$N$100,2,FALSE)</f>
        <v>DTE</v>
      </c>
      <c r="C12" t="str">
        <f>VLOOKUP(A12,[51]WRDS!$A$1:$N$100,3,FALSE)</f>
        <v>DTE ENERGY</v>
      </c>
      <c r="D12">
        <f>VLOOKUP(A12,[51]WRDS!$A$1:$N$100,13,FALSE)</f>
        <v>2.91</v>
      </c>
      <c r="E12">
        <f>VLOOKUP(A12,[35]WRDS!$A$1:$N$100,13,FALSE)</f>
        <v>3.6</v>
      </c>
      <c r="F12" s="1">
        <f t="shared" si="3"/>
        <v>3.5371231875000002</v>
      </c>
      <c r="G12" s="1">
        <f t="shared" si="4"/>
        <v>3.5371231875000002</v>
      </c>
      <c r="H12" s="2">
        <f t="shared" si="0"/>
        <v>5.4635480457630559E-2</v>
      </c>
      <c r="I12" s="2">
        <f>VLOOKUP(A12,[52]WRDS!$A$1:$O$100,10,FALSE)/100</f>
        <v>0.05</v>
      </c>
      <c r="J12" s="2">
        <f>VLOOKUP(A12,[52]WRDS!$A$1:$O$100,9,FALSE)/100</f>
        <v>0.05</v>
      </c>
      <c r="K12" s="2">
        <f t="shared" si="1"/>
        <v>-8.4843775854141879E-2</v>
      </c>
      <c r="L12" s="2">
        <f t="shared" si="2"/>
        <v>-8.4843775854141879E-2</v>
      </c>
      <c r="M12">
        <f>VLOOKUP(A12,[52]WRDS!$A$1:$O$100,8,FALSE)</f>
        <v>1</v>
      </c>
      <c r="N12">
        <f>VLOOKUP(A12,[52]WRDS!$A$1:$O$100,11,FALSE)</f>
        <v>0</v>
      </c>
      <c r="P12" t="s">
        <v>32</v>
      </c>
      <c r="Q12" s="2">
        <f>(Q11-Q8)/ABS(Q8)</f>
        <v>0.22448095148427077</v>
      </c>
    </row>
    <row r="13" spans="1:17" x14ac:dyDescent="0.3">
      <c r="A13" t="s">
        <v>29</v>
      </c>
      <c r="B13" t="str">
        <f>VLOOKUP(A13,[51]WRDS!$A$1:$N$100,2,FALSE)</f>
        <v>DUK</v>
      </c>
      <c r="C13" t="str">
        <f>VLOOKUP(A13,[51]WRDS!$A$1:$N$100,3,FALSE)</f>
        <v>DUKE ENERGY CORP</v>
      </c>
      <c r="D13">
        <f>VLOOKUP(A13,[51]WRDS!$A$1:$N$100,13,FALSE)</f>
        <v>5.43</v>
      </c>
      <c r="E13">
        <f>VLOOKUP(A13,[35]WRDS!$A$1:$N$100,13,FALSE)</f>
        <v>4.29</v>
      </c>
      <c r="F13" s="1">
        <f t="shared" si="3"/>
        <v>6.9410166326550113</v>
      </c>
      <c r="G13" s="1">
        <f t="shared" si="4"/>
        <v>6.6001989375000001</v>
      </c>
      <c r="H13" s="2">
        <f t="shared" si="0"/>
        <v>-5.7211306302172527E-2</v>
      </c>
      <c r="I13" s="2">
        <f>VLOOKUP(A13,[52]WRDS!$A$1:$O$100,10,FALSE)/100</f>
        <v>6.3299999999999995E-2</v>
      </c>
      <c r="J13" s="2">
        <f>VLOOKUP(A13,[52]WRDS!$A$1:$O$100,9,FALSE)/100</f>
        <v>0.05</v>
      </c>
      <c r="K13" s="2">
        <f t="shared" si="1"/>
        <v>2.1064246578406873</v>
      </c>
      <c r="L13" s="2">
        <f t="shared" si="2"/>
        <v>1.8739531262564673</v>
      </c>
      <c r="M13">
        <f>VLOOKUP(A13,[52]WRDS!$A$1:$O$100,8,FALSE)</f>
        <v>3</v>
      </c>
      <c r="N13">
        <f>VLOOKUP(A13,[52]WRDS!$A$1:$O$100,11,FALSE)</f>
        <v>3.21</v>
      </c>
      <c r="P13" s="111" t="s">
        <v>37</v>
      </c>
      <c r="Q13" s="111"/>
    </row>
    <row r="14" spans="1:17" x14ac:dyDescent="0.3">
      <c r="A14" t="s">
        <v>31</v>
      </c>
      <c r="B14" t="str">
        <f>VLOOKUP(A14,[51]WRDS!$A$1:$N$100,2,FALSE)</f>
        <v>ED</v>
      </c>
      <c r="C14" t="str">
        <f>VLOOKUP(A14,[51]WRDS!$A$1:$N$100,3,FALSE)</f>
        <v>CONSOLIDATED EDI</v>
      </c>
      <c r="D14">
        <f>VLOOKUP(A14,[51]WRDS!$A$1:$N$100,13,FALSE)</f>
        <v>2.95</v>
      </c>
      <c r="E14">
        <f>VLOOKUP(A14,[35]WRDS!$A$1:$N$100,13,FALSE)</f>
        <v>3.45</v>
      </c>
      <c r="F14" s="1">
        <f t="shared" si="3"/>
        <v>3.3215405951514549</v>
      </c>
      <c r="G14" s="1">
        <f t="shared" si="4"/>
        <v>3.3202509894999999</v>
      </c>
      <c r="H14" s="2">
        <f t="shared" si="0"/>
        <v>3.9918417300428777E-2</v>
      </c>
      <c r="I14" s="2">
        <f>VLOOKUP(A14,[52]WRDS!$A$1:$O$100,10,FALSE)/100</f>
        <v>3.0099999999999998E-2</v>
      </c>
      <c r="J14" s="2">
        <f>VLOOKUP(A14,[52]WRDS!$A$1:$O$100,9,FALSE)/100</f>
        <v>0.03</v>
      </c>
      <c r="K14" s="2">
        <f t="shared" si="1"/>
        <v>-0.24596208879061235</v>
      </c>
      <c r="L14" s="2">
        <f t="shared" si="2"/>
        <v>-0.2484671981301784</v>
      </c>
      <c r="M14">
        <f>VLOOKUP(A14,[52]WRDS!$A$1:$O$100,8,FALSE)</f>
        <v>6</v>
      </c>
      <c r="N14">
        <f>VLOOKUP(A14,[52]WRDS!$A$1:$O$100,11,FALSE)</f>
        <v>1.4</v>
      </c>
      <c r="P14" t="s">
        <v>39</v>
      </c>
      <c r="Q14" s="1">
        <f>AVERAGE(M2:M1002)</f>
        <v>3.1509433962264151</v>
      </c>
    </row>
    <row r="15" spans="1:17" x14ac:dyDescent="0.3">
      <c r="A15" t="s">
        <v>72</v>
      </c>
      <c r="B15" t="str">
        <f>VLOOKUP(A15,[51]WRDS!$A$1:$N$100,2,FALSE)</f>
        <v>EDE</v>
      </c>
      <c r="C15" t="str">
        <f>VLOOKUP(A15,[51]WRDS!$A$1:$N$100,3,FALSE)</f>
        <v>EMPIRE DIST ELEC</v>
      </c>
      <c r="D15">
        <f>VLOOKUP(A15,[51]WRDS!$A$1:$N$100,13,FALSE)</f>
        <v>1.39</v>
      </c>
      <c r="E15">
        <f>VLOOKUP(A15,[35]WRDS!$A$1:$N$100,13,FALSE)</f>
        <v>1.17</v>
      </c>
      <c r="F15" s="1">
        <f t="shared" si="3"/>
        <v>1.7548429744000003</v>
      </c>
      <c r="G15" s="1">
        <f t="shared" si="4"/>
        <v>1.7548429744000003</v>
      </c>
      <c r="H15" s="2">
        <f t="shared" si="0"/>
        <v>-4.2160450193970855E-2</v>
      </c>
      <c r="I15" s="2">
        <f>VLOOKUP(A15,[52]WRDS!$A$1:$O$100,10,FALSE)/100</f>
        <v>0.06</v>
      </c>
      <c r="J15" s="2">
        <f>VLOOKUP(A15,[52]WRDS!$A$1:$O$100,9,FALSE)/100</f>
        <v>0.06</v>
      </c>
      <c r="K15" s="2">
        <f t="shared" si="1"/>
        <v>2.4231347085705521</v>
      </c>
      <c r="L15" s="2">
        <f t="shared" si="2"/>
        <v>2.4231347085705521</v>
      </c>
      <c r="M15">
        <f>VLOOKUP(A15,[52]WRDS!$A$1:$O$100,8,FALSE)</f>
        <v>1</v>
      </c>
      <c r="N15">
        <f>VLOOKUP(A15,[52]WRDS!$A$1:$O$100,11,FALSE)</f>
        <v>0</v>
      </c>
      <c r="P15" t="s">
        <v>41</v>
      </c>
      <c r="Q15" s="1">
        <f>COUNT(N2:N1002)</f>
        <v>53</v>
      </c>
    </row>
    <row r="16" spans="1:17" x14ac:dyDescent="0.3">
      <c r="A16" t="s">
        <v>33</v>
      </c>
      <c r="B16" t="str">
        <f>VLOOKUP(A16,[51]WRDS!$A$1:$N$100,2,FALSE)</f>
        <v>SCE</v>
      </c>
      <c r="C16" t="str">
        <f>VLOOKUP(A16,[51]WRDS!$A$1:$N$100,3,FALSE)</f>
        <v>EDISON INTL</v>
      </c>
      <c r="D16">
        <f>VLOOKUP(A16,[51]WRDS!$A$1:$N$100,13,FALSE)</f>
        <v>3.07</v>
      </c>
      <c r="E16">
        <f>VLOOKUP(A16,[35]WRDS!$A$1:$N$100,13,FALSE)</f>
        <v>3.48</v>
      </c>
      <c r="F16" s="1">
        <f t="shared" si="3"/>
        <v>3.9494516964187487</v>
      </c>
      <c r="G16" s="1">
        <f t="shared" si="4"/>
        <v>3.9494516964187487</v>
      </c>
      <c r="H16" s="2">
        <f t="shared" si="0"/>
        <v>3.1834909705302783E-2</v>
      </c>
      <c r="I16" s="2">
        <f>VLOOKUP(A16,[52]WRDS!$A$1:$O$100,10,FALSE)/100</f>
        <v>6.5000000000000002E-2</v>
      </c>
      <c r="J16" s="2">
        <f>VLOOKUP(A16,[52]WRDS!$A$1:$O$100,9,FALSE)/100</f>
        <v>6.5000000000000002E-2</v>
      </c>
      <c r="K16" s="2">
        <f t="shared" si="1"/>
        <v>1.0417837085673551</v>
      </c>
      <c r="L16" s="2">
        <f t="shared" si="2"/>
        <v>1.0417837085673551</v>
      </c>
      <c r="M16">
        <f>VLOOKUP(A16,[52]WRDS!$A$1:$O$100,8,FALSE)</f>
        <v>2</v>
      </c>
      <c r="N16">
        <f>VLOOKUP(A16,[52]WRDS!$A$1:$O$100,11,FALSE)</f>
        <v>0.71</v>
      </c>
    </row>
    <row r="17" spans="1:14" x14ac:dyDescent="0.3">
      <c r="A17" t="s">
        <v>59</v>
      </c>
      <c r="B17" t="str">
        <f>VLOOKUP(A17,[51]WRDS!$A$1:$N$100,2,FALSE)</f>
        <v>MSU</v>
      </c>
      <c r="C17" t="str">
        <f>VLOOKUP(A17,[51]WRDS!$A$1:$N$100,3,FALSE)</f>
        <v>ENTERGY CP</v>
      </c>
      <c r="D17">
        <f>VLOOKUP(A17,[51]WRDS!$A$1:$N$100,13,FALSE)</f>
        <v>4.72</v>
      </c>
      <c r="E17">
        <f>VLOOKUP(A17,[35]WRDS!$A$1:$N$100,13,FALSE)</f>
        <v>7.1</v>
      </c>
      <c r="F17" s="1">
        <f t="shared" si="3"/>
        <v>6.4811730691843739</v>
      </c>
      <c r="G17" s="1">
        <f t="shared" si="4"/>
        <v>6.421507891200001</v>
      </c>
      <c r="H17" s="2">
        <f t="shared" si="0"/>
        <v>0.10746264817152507</v>
      </c>
      <c r="I17" s="2">
        <f>VLOOKUP(A17,[52]WRDS!$A$1:$O$100,10,FALSE)/100</f>
        <v>8.2500000000000004E-2</v>
      </c>
      <c r="J17" s="2">
        <f>VLOOKUP(A17,[52]WRDS!$A$1:$O$100,9,FALSE)/100</f>
        <v>0.08</v>
      </c>
      <c r="K17" s="2">
        <f t="shared" si="1"/>
        <v>-0.23229139236994481</v>
      </c>
      <c r="L17" s="2">
        <f t="shared" si="2"/>
        <v>-0.2555552895708556</v>
      </c>
      <c r="M17">
        <f>VLOOKUP(A17,[52]WRDS!$A$1:$O$100,8,FALSE)</f>
        <v>4</v>
      </c>
      <c r="N17">
        <f>VLOOKUP(A17,[52]WRDS!$A$1:$O$100,11,FALSE)</f>
        <v>1.26</v>
      </c>
    </row>
    <row r="18" spans="1:14" x14ac:dyDescent="0.3">
      <c r="A18" t="s">
        <v>35</v>
      </c>
      <c r="B18" t="str">
        <f>VLOOKUP(A18,[51]WRDS!$A$1:$N$100,2,FALSE)</f>
        <v>PE</v>
      </c>
      <c r="C18" t="str">
        <f>VLOOKUP(A18,[51]WRDS!$A$1:$N$100,3,FALSE)</f>
        <v>EXELON CORP</v>
      </c>
      <c r="D18">
        <f>VLOOKUP(A18,[51]WRDS!$A$1:$N$100,13,FALSE)</f>
        <v>3.22</v>
      </c>
      <c r="E18">
        <f>VLOOKUP(A18,[35]WRDS!$A$1:$N$100,13,FALSE)</f>
        <v>4.0599999999999996</v>
      </c>
      <c r="F18" s="1">
        <f t="shared" si="3"/>
        <v>4.8146222009987261</v>
      </c>
      <c r="G18" s="1">
        <f t="shared" si="4"/>
        <v>4.6292682610125002</v>
      </c>
      <c r="H18" s="2">
        <f t="shared" si="0"/>
        <v>5.9662438874017676E-2</v>
      </c>
      <c r="I18" s="2">
        <f>VLOOKUP(A18,[52]WRDS!$A$1:$O$100,10,FALSE)/100</f>
        <v>0.10580000000000001</v>
      </c>
      <c r="J18" s="2">
        <f>VLOOKUP(A18,[52]WRDS!$A$1:$O$100,9,FALSE)/100</f>
        <v>9.5000000000000001E-2</v>
      </c>
      <c r="K18" s="2">
        <f t="shared" si="1"/>
        <v>0.77331000872099309</v>
      </c>
      <c r="L18" s="2">
        <f t="shared" si="2"/>
        <v>0.59229159573246071</v>
      </c>
      <c r="M18">
        <f>VLOOKUP(A18,[52]WRDS!$A$1:$O$100,8,FALSE)</f>
        <v>6</v>
      </c>
      <c r="N18">
        <f>VLOOKUP(A18,[52]WRDS!$A$1:$O$100,11,FALSE)</f>
        <v>4.6100000000000003</v>
      </c>
    </row>
    <row r="19" spans="1:14" x14ac:dyDescent="0.3">
      <c r="A19" t="s">
        <v>67</v>
      </c>
      <c r="B19" t="str">
        <f>VLOOKUP(A19,[51]WRDS!$A$1:$N$100,2,FALSE)</f>
        <v>OEC</v>
      </c>
      <c r="C19" t="str">
        <f>VLOOKUP(A19,[51]WRDS!$A$1:$N$100,3,FALSE)</f>
        <v>FIRSTENERGY CORP</v>
      </c>
      <c r="D19">
        <f>VLOOKUP(A19,[51]WRDS!$A$1:$N$100,13,FALSE)</f>
        <v>3.88</v>
      </c>
      <c r="E19">
        <f>VLOOKUP(A19,[35]WRDS!$A$1:$N$100,13,FALSE)</f>
        <v>3.62</v>
      </c>
      <c r="F19" s="1">
        <f t="shared" si="3"/>
        <v>5.0385231740265608</v>
      </c>
      <c r="G19" s="1">
        <f t="shared" si="4"/>
        <v>4.7161642500000003</v>
      </c>
      <c r="H19" s="2">
        <f t="shared" si="0"/>
        <v>-1.7190804501079016E-2</v>
      </c>
      <c r="I19" s="2">
        <f>VLOOKUP(A19,[52]WRDS!$A$1:$O$100,10,FALSE)/100</f>
        <v>6.7500000000000004E-2</v>
      </c>
      <c r="J19" s="2">
        <f>VLOOKUP(A19,[52]WRDS!$A$1:$O$100,9,FALSE)/100</f>
        <v>0.05</v>
      </c>
      <c r="K19" s="2">
        <f t="shared" si="1"/>
        <v>4.9265178075734166</v>
      </c>
      <c r="L19" s="2">
        <f t="shared" si="2"/>
        <v>3.908531709313642</v>
      </c>
      <c r="M19">
        <f>VLOOKUP(A19,[52]WRDS!$A$1:$O$100,8,FALSE)</f>
        <v>4</v>
      </c>
      <c r="N19">
        <f>VLOOKUP(A19,[52]WRDS!$A$1:$O$100,11,FALSE)</f>
        <v>3.5</v>
      </c>
    </row>
    <row r="20" spans="1:14" x14ac:dyDescent="0.3">
      <c r="A20" t="s">
        <v>68</v>
      </c>
      <c r="B20" t="str">
        <f>VLOOKUP(A20,[51]WRDS!$A$1:$N$100,2,FALSE)</f>
        <v>KLT</v>
      </c>
      <c r="C20" t="str">
        <f>VLOOKUP(A20,[51]WRDS!$A$1:$N$100,3,FALSE)</f>
        <v>GREAT PLAINS</v>
      </c>
      <c r="D20">
        <f>VLOOKUP(A20,[51]WRDS!$A$1:$N$100,13,FALSE)</f>
        <v>2</v>
      </c>
      <c r="E20">
        <f>VLOOKUP(A20,[35]WRDS!$A$1:$N$100,13,FALSE)</f>
        <v>1.53</v>
      </c>
      <c r="F20" s="1">
        <f t="shared" si="3"/>
        <v>2.1513127852777472</v>
      </c>
      <c r="G20" s="1">
        <f t="shared" si="4"/>
        <v>2.16486432</v>
      </c>
      <c r="H20" s="2">
        <f t="shared" si="0"/>
        <v>-6.4776612660485733E-2</v>
      </c>
      <c r="I20" s="2">
        <f>VLOOKUP(A20,[52]WRDS!$A$1:$O$100,10,FALSE)/100</f>
        <v>1.84E-2</v>
      </c>
      <c r="J20" s="2">
        <f>VLOOKUP(A20,[52]WRDS!$A$1:$O$100,9,FALSE)/100</f>
        <v>0.02</v>
      </c>
      <c r="K20" s="2">
        <f t="shared" si="1"/>
        <v>1.2840531365300019</v>
      </c>
      <c r="L20" s="2">
        <f t="shared" si="2"/>
        <v>1.3087534092717412</v>
      </c>
      <c r="M20">
        <f>VLOOKUP(A20,[52]WRDS!$A$1:$O$100,8,FALSE)</f>
        <v>3</v>
      </c>
      <c r="N20">
        <f>VLOOKUP(A20,[52]WRDS!$A$1:$O$100,11,FALSE)</f>
        <v>1.25</v>
      </c>
    </row>
    <row r="21" spans="1:14" x14ac:dyDescent="0.3">
      <c r="A21" t="s">
        <v>36</v>
      </c>
      <c r="B21" t="str">
        <f>VLOOKUP(A21,[51]WRDS!$A$1:$N$100,2,FALSE)</f>
        <v>HE</v>
      </c>
      <c r="C21" t="str">
        <f>VLOOKUP(A21,[51]WRDS!$A$1:$N$100,3,FALSE)</f>
        <v>HAWAIIAN ELEC</v>
      </c>
      <c r="D21">
        <f>VLOOKUP(A21,[51]WRDS!$A$1:$N$100,13,FALSE)</f>
        <v>1.33</v>
      </c>
      <c r="E21">
        <f>VLOOKUP(A21,[35]WRDS!$A$1:$N$100,13,FALSE)</f>
        <v>1.21</v>
      </c>
      <c r="F21" s="1">
        <f t="shared" si="3"/>
        <v>1.5191398360660147</v>
      </c>
      <c r="G21" s="1">
        <f t="shared" si="4"/>
        <v>1.4969267173</v>
      </c>
      <c r="H21" s="2">
        <f t="shared" si="0"/>
        <v>-2.3362418050312805E-2</v>
      </c>
      <c r="I21" s="2">
        <f>VLOOKUP(A21,[52]WRDS!$A$1:$O$100,10,FALSE)/100</f>
        <v>3.3799999999999997E-2</v>
      </c>
      <c r="J21" s="2">
        <f>VLOOKUP(A21,[52]WRDS!$A$1:$O$100,9,FALSE)/100</f>
        <v>0.03</v>
      </c>
      <c r="K21" s="2">
        <f t="shared" si="1"/>
        <v>2.4467680497459225</v>
      </c>
      <c r="L21" s="2">
        <f t="shared" si="2"/>
        <v>2.2841136536206412</v>
      </c>
      <c r="M21">
        <f>VLOOKUP(A21,[52]WRDS!$A$1:$O$100,8,FALSE)</f>
        <v>4</v>
      </c>
      <c r="N21">
        <f>VLOOKUP(A21,[52]WRDS!$A$1:$O$100,11,FALSE)</f>
        <v>1.1100000000000001</v>
      </c>
    </row>
    <row r="22" spans="1:14" x14ac:dyDescent="0.3">
      <c r="A22" t="s">
        <v>38</v>
      </c>
      <c r="B22" t="str">
        <f>VLOOKUP(A22,[51]WRDS!$A$1:$N$100,2,FALSE)</f>
        <v>IDA</v>
      </c>
      <c r="C22" t="str">
        <f>VLOOKUP(A22,[51]WRDS!$A$1:$N$100,3,FALSE)</f>
        <v>IDACORP INC.</v>
      </c>
      <c r="D22">
        <f>VLOOKUP(A22,[51]WRDS!$A$1:$N$100,13,FALSE)</f>
        <v>2.15</v>
      </c>
      <c r="E22">
        <f>VLOOKUP(A22,[35]WRDS!$A$1:$N$100,13,FALSE)</f>
        <v>2.95</v>
      </c>
      <c r="F22" s="1">
        <f t="shared" si="3"/>
        <v>2.5806395960463626</v>
      </c>
      <c r="G22" s="1">
        <f t="shared" si="4"/>
        <v>2.6133384374999999</v>
      </c>
      <c r="H22" s="2">
        <f t="shared" si="0"/>
        <v>8.2295590430973009E-2</v>
      </c>
      <c r="I22" s="2">
        <f>VLOOKUP(A22,[52]WRDS!$A$1:$O$100,10,FALSE)/100</f>
        <v>4.6699999999999998E-2</v>
      </c>
      <c r="J22" s="2">
        <f>VLOOKUP(A22,[52]WRDS!$A$1:$O$100,9,FALSE)/100</f>
        <v>0.05</v>
      </c>
      <c r="K22" s="2">
        <f t="shared" si="1"/>
        <v>-0.43253338659535456</v>
      </c>
      <c r="L22" s="2">
        <f t="shared" si="2"/>
        <v>-0.3924340327573389</v>
      </c>
      <c r="M22">
        <f>VLOOKUP(A22,[52]WRDS!$A$1:$O$100,8,FALSE)</f>
        <v>3</v>
      </c>
      <c r="N22">
        <f>VLOOKUP(A22,[52]WRDS!$A$1:$O$100,11,FALSE)</f>
        <v>0.57999999999999996</v>
      </c>
    </row>
    <row r="23" spans="1:14" x14ac:dyDescent="0.3">
      <c r="A23" t="s">
        <v>40</v>
      </c>
      <c r="B23" t="str">
        <f>VLOOKUP(A23,[51]WRDS!$A$1:$N$100,2,FALSE)</f>
        <v>WPL</v>
      </c>
      <c r="C23" t="str">
        <f>VLOOKUP(A23,[51]WRDS!$A$1:$N$100,3,FALSE)</f>
        <v>ALLIANT ENER</v>
      </c>
      <c r="D23">
        <f>VLOOKUP(A23,[51]WRDS!$A$1:$N$100,13,FALSE)</f>
        <v>1.0900000000000001</v>
      </c>
      <c r="E23">
        <f>VLOOKUP(A23,[35]WRDS!$A$1:$N$100,13,FALSE)</f>
        <v>1.375</v>
      </c>
      <c r="F23" s="1">
        <f t="shared" si="3"/>
        <v>1.3249018125000001</v>
      </c>
      <c r="G23" s="1">
        <f t="shared" si="4"/>
        <v>1.3249018125000001</v>
      </c>
      <c r="H23" s="2">
        <f t="shared" si="0"/>
        <v>5.9788127808386493E-2</v>
      </c>
      <c r="I23" s="2">
        <f>VLOOKUP(A23,[52]WRDS!$A$1:$O$100,10,FALSE)/100</f>
        <v>0.05</v>
      </c>
      <c r="J23" s="2">
        <f>VLOOKUP(A23,[52]WRDS!$A$1:$O$100,9,FALSE)/100</f>
        <v>0.05</v>
      </c>
      <c r="K23" s="2">
        <f t="shared" si="1"/>
        <v>-0.16371356935203293</v>
      </c>
      <c r="L23" s="2">
        <f t="shared" si="2"/>
        <v>-0.16371356935203293</v>
      </c>
      <c r="M23">
        <f>VLOOKUP(A23,[52]WRDS!$A$1:$O$100,8,FALSE)</f>
        <v>1</v>
      </c>
      <c r="N23">
        <f>VLOOKUP(A23,[52]WRDS!$A$1:$O$100,11,FALSE)</f>
        <v>0</v>
      </c>
    </row>
    <row r="24" spans="1:14" x14ac:dyDescent="0.3">
      <c r="A24" t="s">
        <v>60</v>
      </c>
      <c r="B24" t="str">
        <f>VLOOKUP(A24,[51]WRDS!$A$1:$N$100,2,FALSE)</f>
        <v>BSE</v>
      </c>
      <c r="C24" t="str">
        <f>VLOOKUP(A24,[51]WRDS!$A$1:$N$100,3,FALSE)</f>
        <v>NSTAR</v>
      </c>
      <c r="D24">
        <f>VLOOKUP(A24,[51]WRDS!$A$1:$N$100,13,FALSE)</f>
        <v>1.93</v>
      </c>
      <c r="E24">
        <f>VLOOKUP(A24,[35]WRDS!$A$1:$N$100,13,FALSE)</f>
        <v>2.56</v>
      </c>
      <c r="F24" s="1">
        <f t="shared" si="3"/>
        <v>2.4670648436508604</v>
      </c>
      <c r="G24" s="1">
        <f t="shared" si="4"/>
        <v>2.5298362992999999</v>
      </c>
      <c r="H24" s="2">
        <f t="shared" si="0"/>
        <v>7.317528912937199E-2</v>
      </c>
      <c r="I24" s="2">
        <f>VLOOKUP(A24,[52]WRDS!$A$1:$O$100,10,FALSE)/100</f>
        <v>6.3299999999999995E-2</v>
      </c>
      <c r="J24" s="2">
        <f>VLOOKUP(A24,[52]WRDS!$A$1:$O$100,9,FALSE)/100</f>
        <v>7.0000000000000007E-2</v>
      </c>
      <c r="K24" s="2">
        <f t="shared" si="1"/>
        <v>-0.13495387919701612</v>
      </c>
      <c r="L24" s="2">
        <f t="shared" si="2"/>
        <v>-4.3392915383745942E-2</v>
      </c>
      <c r="M24">
        <f>VLOOKUP(A24,[52]WRDS!$A$1:$O$100,8,FALSE)</f>
        <v>3</v>
      </c>
      <c r="N24">
        <f>VLOOKUP(A24,[52]WRDS!$A$1:$O$100,11,FALSE)</f>
        <v>1.1499999999999999</v>
      </c>
    </row>
    <row r="25" spans="1:14" x14ac:dyDescent="0.3">
      <c r="A25" t="s">
        <v>78</v>
      </c>
      <c r="B25" t="str">
        <f>VLOOKUP(A25,[51]WRDS!$A$1:$N$100,2,FALSE)</f>
        <v>NU</v>
      </c>
      <c r="C25" t="str">
        <f>VLOOKUP(A25,[51]WRDS!$A$1:$N$100,3,FALSE)</f>
        <v>NORTHEAST UTILS</v>
      </c>
      <c r="D25">
        <f>VLOOKUP(A25,[51]WRDS!$A$1:$N$100,13,FALSE)</f>
        <v>1.1599999999999999</v>
      </c>
      <c r="E25">
        <f>VLOOKUP(A25,[35]WRDS!$A$1:$N$100,13,FALSE)</f>
        <v>2.19</v>
      </c>
      <c r="F25" s="1">
        <f t="shared" si="3"/>
        <v>1.7864824435385604</v>
      </c>
      <c r="G25" s="1">
        <f t="shared" si="4"/>
        <v>1.8252824576000004</v>
      </c>
      <c r="H25" s="2">
        <f t="shared" si="0"/>
        <v>0.17218600356701019</v>
      </c>
      <c r="I25" s="2">
        <f>VLOOKUP(A25,[52]WRDS!$A$1:$O$100,10,FALSE)/100</f>
        <v>0.114</v>
      </c>
      <c r="J25" s="2">
        <f>VLOOKUP(A25,[52]WRDS!$A$1:$O$100,9,FALSE)/100</f>
        <v>0.12</v>
      </c>
      <c r="K25" s="2">
        <f t="shared" si="1"/>
        <v>-0.33792528057813798</v>
      </c>
      <c r="L25" s="2">
        <f t="shared" si="2"/>
        <v>-0.30307924271382952</v>
      </c>
      <c r="M25">
        <f>VLOOKUP(A25,[52]WRDS!$A$1:$O$100,8,FALSE)</f>
        <v>5</v>
      </c>
      <c r="N25">
        <f>VLOOKUP(A25,[52]WRDS!$A$1:$O$100,11,FALSE)</f>
        <v>3.71</v>
      </c>
    </row>
    <row r="26" spans="1:14" x14ac:dyDescent="0.3">
      <c r="A26" t="s">
        <v>69</v>
      </c>
      <c r="B26" t="str">
        <f>VLOOKUP(A26,[51]WRDS!$A$1:$N$100,2,FALSE)</f>
        <v>OTTR</v>
      </c>
      <c r="C26" t="str">
        <f>VLOOKUP(A26,[51]WRDS!$A$1:$N$100,3,FALSE)</f>
        <v>OTTER TAIL CORP.</v>
      </c>
      <c r="D26">
        <f>VLOOKUP(A26,[51]WRDS!$A$1:$N$100,13,FALSE)</f>
        <v>1.69</v>
      </c>
      <c r="E26">
        <f>VLOOKUP(A26,[35]WRDS!$A$1:$N$100,13,FALSE)</f>
        <v>0.38</v>
      </c>
      <c r="F26" s="1">
        <f t="shared" si="3"/>
        <v>2.0856870668046401</v>
      </c>
      <c r="G26" s="1">
        <f t="shared" si="4"/>
        <v>2.0936136595562496</v>
      </c>
      <c r="H26" s="2">
        <f t="shared" si="0"/>
        <v>-0.31138857652804286</v>
      </c>
      <c r="I26" s="2">
        <f>VLOOKUP(A26,[52]WRDS!$A$1:$O$100,10,FALSE)/100</f>
        <v>5.4000000000000006E-2</v>
      </c>
      <c r="J26" s="2">
        <f>VLOOKUP(A26,[52]WRDS!$A$1:$O$100,9,FALSE)/100</f>
        <v>5.5E-2</v>
      </c>
      <c r="K26" s="2">
        <f t="shared" si="1"/>
        <v>1.1734167662863408</v>
      </c>
      <c r="L26" s="2">
        <f t="shared" si="2"/>
        <v>1.1766281878842362</v>
      </c>
      <c r="M26">
        <f>VLOOKUP(A26,[52]WRDS!$A$1:$O$100,8,FALSE)</f>
        <v>4</v>
      </c>
      <c r="N26">
        <f>VLOOKUP(A26,[52]WRDS!$A$1:$O$100,11,FALSE)</f>
        <v>1.1399999999999999</v>
      </c>
    </row>
    <row r="27" spans="1:14" x14ac:dyDescent="0.3">
      <c r="A27" t="s">
        <v>45</v>
      </c>
      <c r="B27" t="str">
        <f>VLOOKUP(A27,[51]WRDS!$A$1:$N$100,2,FALSE)</f>
        <v>PCG</v>
      </c>
      <c r="C27" t="str">
        <f>VLOOKUP(A27,[51]WRDS!$A$1:$N$100,3,FALSE)</f>
        <v>P G &amp; E CORP</v>
      </c>
      <c r="D27">
        <f>VLOOKUP(A27,[51]WRDS!$A$1:$N$100,13,FALSE)</f>
        <v>2.57</v>
      </c>
      <c r="E27">
        <f>VLOOKUP(A27,[35]WRDS!$A$1:$N$100,13,FALSE)</f>
        <v>3.42</v>
      </c>
      <c r="F27" s="1">
        <f t="shared" si="3"/>
        <v>3.4693411795407356</v>
      </c>
      <c r="G27" s="1">
        <f t="shared" si="4"/>
        <v>3.4641942672253889</v>
      </c>
      <c r="H27" s="2">
        <f t="shared" si="0"/>
        <v>7.4046899333824356E-2</v>
      </c>
      <c r="I27" s="2">
        <f>VLOOKUP(A27,[52]WRDS!$A$1:$O$100,10,FALSE)/100</f>
        <v>7.7899999999999997E-2</v>
      </c>
      <c r="J27" s="2">
        <f>VLOOKUP(A27,[52]WRDS!$A$1:$O$100,9,FALSE)/100</f>
        <v>7.7499999999999999E-2</v>
      </c>
      <c r="K27" s="2">
        <f t="shared" si="1"/>
        <v>5.2035948849185075E-2</v>
      </c>
      <c r="L27" s="2">
        <f t="shared" si="2"/>
        <v>4.6633967083592374E-2</v>
      </c>
      <c r="M27">
        <f>VLOOKUP(A27,[52]WRDS!$A$1:$O$100,8,FALSE)</f>
        <v>4</v>
      </c>
      <c r="N27">
        <f>VLOOKUP(A27,[52]WRDS!$A$1:$O$100,11,FALSE)</f>
        <v>0.49</v>
      </c>
    </row>
    <row r="28" spans="1:14" x14ac:dyDescent="0.3">
      <c r="A28" t="s">
        <v>46</v>
      </c>
      <c r="B28" t="str">
        <f>VLOOKUP(A28,[51]WRDS!$A$1:$N$100,2,FALSE)</f>
        <v>PEG</v>
      </c>
      <c r="C28" t="str">
        <f>VLOOKUP(A28,[51]WRDS!$A$1:$N$100,3,FALSE)</f>
        <v>PUB SVC ENTERS</v>
      </c>
      <c r="D28">
        <f>VLOOKUP(A28,[51]WRDS!$A$1:$N$100,13,FALSE)</f>
        <v>1.82</v>
      </c>
      <c r="E28">
        <f>VLOOKUP(A28,[35]WRDS!$A$1:$N$100,13,FALSE)</f>
        <v>3.12</v>
      </c>
      <c r="F28" s="1">
        <f t="shared" si="3"/>
        <v>2.2122213749999999</v>
      </c>
      <c r="G28" s="1">
        <f t="shared" si="4"/>
        <v>2.2122213749999999</v>
      </c>
      <c r="H28" s="2">
        <f t="shared" si="0"/>
        <v>0.1442496849097028</v>
      </c>
      <c r="I28" s="2">
        <f>VLOOKUP(A28,[52]WRDS!$A$1:$O$100,10,FALSE)/100</f>
        <v>0.05</v>
      </c>
      <c r="J28" s="2">
        <f>VLOOKUP(A28,[52]WRDS!$A$1:$O$100,9,FALSE)/100</f>
        <v>0.05</v>
      </c>
      <c r="K28" s="2">
        <f t="shared" si="1"/>
        <v>-0.65337879225664219</v>
      </c>
      <c r="L28" s="2">
        <f t="shared" si="2"/>
        <v>-0.65337879225664219</v>
      </c>
      <c r="M28">
        <f>VLOOKUP(A28,[52]WRDS!$A$1:$O$100,8,FALSE)</f>
        <v>2</v>
      </c>
      <c r="N28">
        <f>VLOOKUP(A28,[52]WRDS!$A$1:$O$100,11,FALSE)</f>
        <v>1.41</v>
      </c>
    </row>
    <row r="29" spans="1:14" x14ac:dyDescent="0.3">
      <c r="A29" t="s">
        <v>74</v>
      </c>
      <c r="B29" t="str">
        <f>VLOOKUP(A29,[51]WRDS!$A$1:$N$100,2,FALSE)</f>
        <v>CPL</v>
      </c>
      <c r="C29" t="str">
        <f>VLOOKUP(A29,[51]WRDS!$A$1:$N$100,3,FALSE)</f>
        <v>PROGRESS ENERGY</v>
      </c>
      <c r="D29">
        <f>VLOOKUP(A29,[51]WRDS!$A$1:$N$100,13,FALSE)</f>
        <v>2.3199999999999998</v>
      </c>
      <c r="E29">
        <f>VLOOKUP(A29,[35]WRDS!$A$1:$N$100,13,FALSE)</f>
        <v>3.06</v>
      </c>
      <c r="F29" s="1">
        <f t="shared" si="3"/>
        <v>2.7015670374792169</v>
      </c>
      <c r="G29" s="1">
        <f t="shared" si="4"/>
        <v>2.7666431534499987</v>
      </c>
      <c r="H29" s="2">
        <f t="shared" si="0"/>
        <v>7.1663305443069092E-2</v>
      </c>
      <c r="I29" s="2">
        <f>VLOOKUP(A29,[52]WRDS!$A$1:$O$100,10,FALSE)/100</f>
        <v>3.8800000000000001E-2</v>
      </c>
      <c r="J29" s="2">
        <f>VLOOKUP(A29,[52]WRDS!$A$1:$O$100,9,FALSE)/100</f>
        <v>4.4999999999999998E-2</v>
      </c>
      <c r="K29" s="2">
        <f t="shared" si="1"/>
        <v>-0.45857925809989919</v>
      </c>
      <c r="L29" s="2">
        <f t="shared" si="2"/>
        <v>-0.37206357253854289</v>
      </c>
      <c r="M29">
        <f>VLOOKUP(A29,[52]WRDS!$A$1:$O$100,8,FALSE)</f>
        <v>6</v>
      </c>
      <c r="N29">
        <f>VLOOKUP(A29,[52]WRDS!$A$1:$O$100,11,FALSE)</f>
        <v>1.5</v>
      </c>
    </row>
    <row r="30" spans="1:14" x14ac:dyDescent="0.3">
      <c r="A30" t="s">
        <v>47</v>
      </c>
      <c r="B30" t="str">
        <f>VLOOKUP(A30,[51]WRDS!$A$1:$N$100,2,FALSE)</f>
        <v>PNM</v>
      </c>
      <c r="C30" t="str">
        <f>VLOOKUP(A30,[51]WRDS!$A$1:$N$100,3,FALSE)</f>
        <v>PNM RESOURCES</v>
      </c>
      <c r="D30">
        <f>VLOOKUP(A30,[51]WRDS!$A$1:$N$100,13,FALSE)</f>
        <v>1.8</v>
      </c>
      <c r="E30">
        <f>VLOOKUP(A30,[35]WRDS!$A$1:$N$100,13,FALSE)</f>
        <v>0.87</v>
      </c>
      <c r="F30" s="1">
        <f t="shared" si="3"/>
        <v>2.859745568560172</v>
      </c>
      <c r="G30" s="1">
        <f t="shared" si="4"/>
        <v>2.8323348480000008</v>
      </c>
      <c r="H30" s="2">
        <f t="shared" si="0"/>
        <v>-0.16620039148857413</v>
      </c>
      <c r="I30" s="2">
        <f>VLOOKUP(A30,[52]WRDS!$A$1:$O$100,10,FALSE)/100</f>
        <v>0.12269999999999999</v>
      </c>
      <c r="J30" s="2">
        <f>VLOOKUP(A30,[52]WRDS!$A$1:$O$100,9,FALSE)/100</f>
        <v>0.12</v>
      </c>
      <c r="K30" s="2">
        <f t="shared" si="1"/>
        <v>1.7382654090103951</v>
      </c>
      <c r="L30" s="2">
        <f t="shared" si="2"/>
        <v>1.7220199599123671</v>
      </c>
      <c r="M30">
        <f>VLOOKUP(A30,[52]WRDS!$A$1:$O$100,8,FALSE)</f>
        <v>3</v>
      </c>
      <c r="N30">
        <f>VLOOKUP(A30,[52]WRDS!$A$1:$O$100,11,FALSE)</f>
        <v>6.4</v>
      </c>
    </row>
    <row r="31" spans="1:14" x14ac:dyDescent="0.3">
      <c r="A31" t="s">
        <v>48</v>
      </c>
      <c r="B31" t="str">
        <f>VLOOKUP(A31,[51]WRDS!$A$1:$N$100,2,FALSE)</f>
        <v>AZP</v>
      </c>
      <c r="C31" t="str">
        <f>VLOOKUP(A31,[51]WRDS!$A$1:$N$100,3,FALSE)</f>
        <v>PINNACLE WST CAP</v>
      </c>
      <c r="D31">
        <f>VLOOKUP(A31,[51]WRDS!$A$1:$N$100,13,FALSE)</f>
        <v>3.13</v>
      </c>
      <c r="E31">
        <f>VLOOKUP(A31,[35]WRDS!$A$1:$N$100,13,FALSE)</f>
        <v>3.08</v>
      </c>
      <c r="F31" s="1">
        <f t="shared" si="3"/>
        <v>3.8045345624999998</v>
      </c>
      <c r="G31" s="1">
        <f t="shared" si="4"/>
        <v>3.9515528848000008</v>
      </c>
      <c r="H31" s="2">
        <f t="shared" si="0"/>
        <v>-4.0177590138029684E-3</v>
      </c>
      <c r="I31" s="2">
        <f>VLOOKUP(A31,[52]WRDS!$A$1:$O$100,10,FALSE)/100</f>
        <v>0.05</v>
      </c>
      <c r="J31" s="2">
        <f>VLOOKUP(A31,[52]WRDS!$A$1:$O$100,9,FALSE)/100</f>
        <v>0.06</v>
      </c>
      <c r="K31" s="2">
        <f t="shared" si="1"/>
        <v>13.44474838541225</v>
      </c>
      <c r="L31" s="2">
        <f t="shared" si="2"/>
        <v>15.933698062494697</v>
      </c>
      <c r="M31">
        <f>VLOOKUP(A31,[52]WRDS!$A$1:$O$100,8,FALSE)</f>
        <v>3</v>
      </c>
      <c r="N31">
        <f>VLOOKUP(A31,[52]WRDS!$A$1:$O$100,11,FALSE)</f>
        <v>1.73</v>
      </c>
    </row>
    <row r="32" spans="1:14" x14ac:dyDescent="0.3">
      <c r="A32" t="s">
        <v>49</v>
      </c>
      <c r="B32" t="str">
        <f>VLOOKUP(A32,[51]WRDS!$A$1:$N$100,2,FALSE)</f>
        <v>POM</v>
      </c>
      <c r="C32" t="str">
        <f>VLOOKUP(A32,[51]WRDS!$A$1:$N$100,3,FALSE)</f>
        <v>PEPCO HOLDINGS</v>
      </c>
      <c r="D32">
        <f>VLOOKUP(A32,[51]WRDS!$A$1:$N$100,13,FALSE)</f>
        <v>1.33</v>
      </c>
      <c r="E32">
        <f>VLOOKUP(A32,[35]WRDS!$A$1:$N$100,13,FALSE)</f>
        <v>1.24</v>
      </c>
      <c r="F32" s="1">
        <f t="shared" si="3"/>
        <v>1.8094503168000005</v>
      </c>
      <c r="G32" s="1">
        <f t="shared" si="4"/>
        <v>1.8094503168000005</v>
      </c>
      <c r="H32" s="2">
        <f t="shared" si="0"/>
        <v>-1.7364361833846265E-2</v>
      </c>
      <c r="I32" s="2">
        <f>VLOOKUP(A32,[52]WRDS!$A$1:$O$100,10,FALSE)/100</f>
        <v>0.08</v>
      </c>
      <c r="J32" s="2">
        <f>VLOOKUP(A32,[52]WRDS!$A$1:$O$100,9,FALSE)/100</f>
        <v>0.08</v>
      </c>
      <c r="K32" s="2">
        <f t="shared" si="1"/>
        <v>5.6071373520946572</v>
      </c>
      <c r="L32" s="2">
        <f t="shared" si="2"/>
        <v>5.6071373520946572</v>
      </c>
      <c r="M32">
        <f>VLOOKUP(A32,[52]WRDS!$A$1:$O$100,8,FALSE)</f>
        <v>2</v>
      </c>
      <c r="N32">
        <f>VLOOKUP(A32,[52]WRDS!$A$1:$O$100,11,FALSE)</f>
        <v>5.66</v>
      </c>
    </row>
    <row r="33" spans="1:14" x14ac:dyDescent="0.3">
      <c r="A33" t="s">
        <v>50</v>
      </c>
      <c r="B33" t="str">
        <f>VLOOKUP(A33,[51]WRDS!$A$1:$N$100,2,FALSE)</f>
        <v>PORO</v>
      </c>
      <c r="C33" t="str">
        <f>VLOOKUP(A33,[51]WRDS!$A$1:$N$100,3,FALSE)</f>
        <v>PORTLAND GENERAL</v>
      </c>
      <c r="D33">
        <f>VLOOKUP(A33,[51]WRDS!$A$1:$N$100,13,FALSE)</f>
        <v>1.1399999999999999</v>
      </c>
      <c r="E33">
        <f>VLOOKUP(A33,[35]WRDS!$A$1:$N$100,13,FALSE)</f>
        <v>1.66</v>
      </c>
      <c r="F33" s="1">
        <f t="shared" si="3"/>
        <v>1.4787273912873118</v>
      </c>
      <c r="G33" s="1">
        <f t="shared" si="4"/>
        <v>1.4484787250643587</v>
      </c>
      <c r="H33" s="2">
        <f t="shared" si="0"/>
        <v>9.850189178118951E-2</v>
      </c>
      <c r="I33" s="2">
        <f>VLOOKUP(A33,[52]WRDS!$A$1:$O$100,10,FALSE)/100</f>
        <v>6.7199999999999996E-2</v>
      </c>
      <c r="J33" s="2">
        <f>VLOOKUP(A33,[52]WRDS!$A$1:$O$100,9,FALSE)/100</f>
        <v>6.1699999999999998E-2</v>
      </c>
      <c r="K33" s="2">
        <f t="shared" si="1"/>
        <v>-0.31777960011898071</v>
      </c>
      <c r="L33" s="2">
        <f t="shared" si="2"/>
        <v>-0.37361609118067124</v>
      </c>
      <c r="M33">
        <f>VLOOKUP(A33,[52]WRDS!$A$1:$O$100,8,FALSE)</f>
        <v>3</v>
      </c>
      <c r="N33">
        <f>VLOOKUP(A33,[52]WRDS!$A$1:$O$100,11,FALSE)</f>
        <v>3.04</v>
      </c>
    </row>
    <row r="34" spans="1:14" x14ac:dyDescent="0.3">
      <c r="A34" t="s">
        <v>51</v>
      </c>
      <c r="B34" t="str">
        <f>VLOOKUP(A34,[51]WRDS!$A$1:$N$100,2,FALSE)</f>
        <v>PPL</v>
      </c>
      <c r="C34" t="str">
        <f>VLOOKUP(A34,[51]WRDS!$A$1:$N$100,3,FALSE)</f>
        <v>PP&amp;L CORP</v>
      </c>
      <c r="D34">
        <f>VLOOKUP(A34,[51]WRDS!$A$1:$N$100,13,FALSE)</f>
        <v>2.2200000000000002</v>
      </c>
      <c r="E34">
        <f>VLOOKUP(A34,[35]WRDS!$A$1:$N$100,13,FALSE)</f>
        <v>3.13</v>
      </c>
      <c r="F34" s="1">
        <f t="shared" si="3"/>
        <v>3.3302176194345332</v>
      </c>
      <c r="G34" s="1">
        <f t="shared" si="4"/>
        <v>3.3098025523875005</v>
      </c>
      <c r="H34" s="2">
        <f t="shared" si="0"/>
        <v>8.9677141784026304E-2</v>
      </c>
      <c r="I34" s="2">
        <f>VLOOKUP(A34,[52]WRDS!$A$1:$O$100,10,FALSE)/100</f>
        <v>0.1067</v>
      </c>
      <c r="J34" s="2">
        <f>VLOOKUP(A34,[52]WRDS!$A$1:$O$100,9,FALSE)/100</f>
        <v>0.105</v>
      </c>
      <c r="K34" s="2">
        <f t="shared" si="1"/>
        <v>0.18982382664437111</v>
      </c>
      <c r="L34" s="2">
        <f t="shared" si="2"/>
        <v>0.1708669334363539</v>
      </c>
      <c r="M34">
        <f>VLOOKUP(A34,[52]WRDS!$A$1:$O$100,8,FALSE)</f>
        <v>6</v>
      </c>
      <c r="N34">
        <f>VLOOKUP(A34,[52]WRDS!$A$1:$O$100,11,FALSE)</f>
        <v>3.01</v>
      </c>
    </row>
    <row r="35" spans="1:14" x14ac:dyDescent="0.3">
      <c r="A35" t="s">
        <v>52</v>
      </c>
      <c r="B35" t="str">
        <f>VLOOKUP(A35,[51]WRDS!$A$1:$N$100,2,FALSE)</f>
        <v>SCG</v>
      </c>
      <c r="C35" t="str">
        <f>VLOOKUP(A35,[51]WRDS!$A$1:$N$100,3,FALSE)</f>
        <v>SCANA CP</v>
      </c>
      <c r="D35">
        <f>VLOOKUP(A35,[51]WRDS!$A$1:$N$100,13,FALSE)</f>
        <v>2.59</v>
      </c>
      <c r="E35">
        <f>VLOOKUP(A35,[35]WRDS!$A$1:$N$100,13,FALSE)</f>
        <v>3.01</v>
      </c>
      <c r="F35" s="1">
        <f t="shared" si="3"/>
        <v>3.0791760460766362</v>
      </c>
      <c r="G35" s="1">
        <f t="shared" si="4"/>
        <v>3.1481611875</v>
      </c>
      <c r="H35" s="2">
        <f t="shared" si="0"/>
        <v>3.8285246313548127E-2</v>
      </c>
      <c r="I35" s="2">
        <f>VLOOKUP(A35,[52]WRDS!$A$1:$O$100,10,FALSE)/100</f>
        <v>4.4199999999999996E-2</v>
      </c>
      <c r="J35" s="2">
        <f>VLOOKUP(A35,[52]WRDS!$A$1:$O$100,9,FALSE)/100</f>
        <v>0.05</v>
      </c>
      <c r="K35" s="2">
        <f t="shared" si="1"/>
        <v>0.15449172346995704</v>
      </c>
      <c r="L35" s="2">
        <f t="shared" si="2"/>
        <v>0.30598611252257601</v>
      </c>
      <c r="M35">
        <f>VLOOKUP(A35,[52]WRDS!$A$1:$O$100,8,FALSE)</f>
        <v>5</v>
      </c>
      <c r="N35">
        <f>VLOOKUP(A35,[52]WRDS!$A$1:$O$100,11,FALSE)</f>
        <v>0.85</v>
      </c>
    </row>
    <row r="36" spans="1:14" x14ac:dyDescent="0.3">
      <c r="A36" t="s">
        <v>53</v>
      </c>
      <c r="B36" t="str">
        <f>VLOOKUP(A36,[51]WRDS!$A$1:$N$100,2,FALSE)</f>
        <v>SO</v>
      </c>
      <c r="C36" t="str">
        <f>VLOOKUP(A36,[51]WRDS!$A$1:$N$100,3,FALSE)</f>
        <v>SOUTHN CO</v>
      </c>
      <c r="D36">
        <f>VLOOKUP(A36,[51]WRDS!$A$1:$N$100,13,FALSE)</f>
        <v>2.1</v>
      </c>
      <c r="E36">
        <f>VLOOKUP(A36,[35]WRDS!$A$1:$N$100,13,FALSE)</f>
        <v>2.37</v>
      </c>
      <c r="F36" s="1">
        <f t="shared" si="3"/>
        <v>2.5525631250000003</v>
      </c>
      <c r="G36" s="1">
        <f t="shared" si="4"/>
        <v>2.5525631250000003</v>
      </c>
      <c r="H36" s="2">
        <f t="shared" si="0"/>
        <v>3.0699968608800976E-2</v>
      </c>
      <c r="I36" s="2">
        <f>VLOOKUP(A36,[52]WRDS!$A$1:$O$100,10,FALSE)/100</f>
        <v>0.05</v>
      </c>
      <c r="J36" s="2">
        <f>VLOOKUP(A36,[52]WRDS!$A$1:$O$100,9,FALSE)/100</f>
        <v>0.05</v>
      </c>
      <c r="K36" s="2">
        <f t="shared" si="1"/>
        <v>0.62866616044897683</v>
      </c>
      <c r="L36" s="2">
        <f t="shared" si="2"/>
        <v>0.62866616044897683</v>
      </c>
      <c r="M36">
        <f>VLOOKUP(A36,[52]WRDS!$A$1:$O$100,8,FALSE)</f>
        <v>7</v>
      </c>
      <c r="N36">
        <f>VLOOKUP(A36,[52]WRDS!$A$1:$O$100,11,FALSE)</f>
        <v>0.57999999999999996</v>
      </c>
    </row>
    <row r="37" spans="1:14" x14ac:dyDescent="0.3">
      <c r="A37" t="s">
        <v>54</v>
      </c>
      <c r="B37" t="str">
        <f>VLOOKUP(A37,[51]WRDS!$A$1:$N$100,2,FALSE)</f>
        <v>SDO</v>
      </c>
      <c r="C37" t="str">
        <f>VLOOKUP(A37,[51]WRDS!$A$1:$N$100,3,FALSE)</f>
        <v>SEMPRA ENERGY</v>
      </c>
      <c r="D37">
        <f>VLOOKUP(A37,[51]WRDS!$A$1:$N$100,13,FALSE)</f>
        <v>4.24</v>
      </c>
      <c r="E37">
        <f>VLOOKUP(A37,[35]WRDS!$A$1:$N$100,13,FALSE)</f>
        <v>3.61</v>
      </c>
      <c r="F37" s="1">
        <f t="shared" si="3"/>
        <v>5.2925601907242399</v>
      </c>
      <c r="G37" s="1">
        <f t="shared" si="4"/>
        <v>5.0157574446114639</v>
      </c>
      <c r="H37" s="2">
        <f t="shared" si="0"/>
        <v>-3.9416026971404783E-2</v>
      </c>
      <c r="I37" s="2">
        <f>VLOOKUP(A37,[52]WRDS!$A$1:$O$100,10,FALSE)/100</f>
        <v>5.7000000000000002E-2</v>
      </c>
      <c r="J37" s="2">
        <f>VLOOKUP(A37,[52]WRDS!$A$1:$O$100,9,FALSE)/100</f>
        <v>4.2900000000000001E-2</v>
      </c>
      <c r="K37" s="2">
        <f t="shared" si="1"/>
        <v>2.4461122639618624</v>
      </c>
      <c r="L37" s="2">
        <f t="shared" si="2"/>
        <v>2.0883897565607699</v>
      </c>
      <c r="M37">
        <f>VLOOKUP(A37,[52]WRDS!$A$1:$O$100,8,FALSE)</f>
        <v>3</v>
      </c>
      <c r="N37">
        <f>VLOOKUP(A37,[52]WRDS!$A$1:$O$100,11,FALSE)</f>
        <v>3.61</v>
      </c>
    </row>
    <row r="38" spans="1:14" x14ac:dyDescent="0.3">
      <c r="A38" t="s">
        <v>75</v>
      </c>
      <c r="B38" t="str">
        <f>VLOOKUP(A38,[51]WRDS!$A$1:$N$100,2,FALSE)</f>
        <v>TE</v>
      </c>
      <c r="C38" t="str">
        <f>VLOOKUP(A38,[51]WRDS!$A$1:$N$100,3,FALSE)</f>
        <v>TECO ENERGY INC</v>
      </c>
      <c r="D38">
        <f>VLOOKUP(A38,[51]WRDS!$A$1:$N$100,13,FALSE)</f>
        <v>1</v>
      </c>
      <c r="E38">
        <f>VLOOKUP(A38,[35]WRDS!$A$1:$N$100,13,FALSE)</f>
        <v>1.28</v>
      </c>
      <c r="F38" s="1">
        <f t="shared" si="3"/>
        <v>1.1255088099999999</v>
      </c>
      <c r="G38" s="1">
        <f t="shared" si="4"/>
        <v>1.1255088099999999</v>
      </c>
      <c r="H38" s="2">
        <f t="shared" si="0"/>
        <v>6.3659179388997789E-2</v>
      </c>
      <c r="I38" s="2">
        <f>VLOOKUP(A38,[52]WRDS!$A$1:$O$100,10,FALSE)/100</f>
        <v>0.03</v>
      </c>
      <c r="J38" s="2">
        <f>VLOOKUP(A38,[52]WRDS!$A$1:$O$100,9,FALSE)/100</f>
        <v>0.03</v>
      </c>
      <c r="K38" s="2">
        <f t="shared" si="1"/>
        <v>-0.52874039081338053</v>
      </c>
      <c r="L38" s="2">
        <f t="shared" si="2"/>
        <v>-0.52874039081338053</v>
      </c>
      <c r="M38">
        <f>VLOOKUP(A38,[52]WRDS!$A$1:$O$100,8,FALSE)</f>
        <v>2</v>
      </c>
      <c r="N38">
        <f>VLOOKUP(A38,[52]WRDS!$A$1:$O$100,11,FALSE)</f>
        <v>0</v>
      </c>
    </row>
    <row r="39" spans="1:14" x14ac:dyDescent="0.3">
      <c r="A39" t="s">
        <v>79</v>
      </c>
      <c r="B39" t="str">
        <f>VLOOKUP(A39,[51]WRDS!$A$1:$N$100,2,FALSE)</f>
        <v>UIL</v>
      </c>
      <c r="C39" t="str">
        <f>VLOOKUP(A39,[51]WRDS!$A$1:$N$100,3,FALSE)</f>
        <v>UIL HOLDING CORP</v>
      </c>
      <c r="D39">
        <f>VLOOKUP(A39,[51]WRDS!$A$1:$N$100,13,FALSE)</f>
        <v>1.57</v>
      </c>
      <c r="E39">
        <f>VLOOKUP(A39,[35]WRDS!$A$1:$N$100,13,FALSE)</f>
        <v>2.04</v>
      </c>
      <c r="F39" s="1">
        <f t="shared" si="3"/>
        <v>2.5598435676999989</v>
      </c>
      <c r="G39" s="1">
        <f t="shared" si="4"/>
        <v>2.5598435676999989</v>
      </c>
      <c r="H39" s="2">
        <f t="shared" si="0"/>
        <v>6.7659155834320472E-2</v>
      </c>
      <c r="I39" s="2">
        <f>VLOOKUP(A39,[52]WRDS!$A$1:$O$100,10,FALSE)/100</f>
        <v>0.13</v>
      </c>
      <c r="J39" s="2">
        <f>VLOOKUP(A39,[52]WRDS!$A$1:$O$100,9,FALSE)/100</f>
        <v>0.13</v>
      </c>
      <c r="K39" s="2">
        <f t="shared" si="1"/>
        <v>0.92139553615383418</v>
      </c>
      <c r="L39" s="2">
        <f t="shared" si="2"/>
        <v>0.92139553615383418</v>
      </c>
      <c r="M39">
        <f>VLOOKUP(A39,[52]WRDS!$A$1:$O$100,8,FALSE)</f>
        <v>2</v>
      </c>
      <c r="N39">
        <f>VLOOKUP(A39,[52]WRDS!$A$1:$O$100,11,FALSE)</f>
        <v>7.07</v>
      </c>
    </row>
    <row r="40" spans="1:14" x14ac:dyDescent="0.3">
      <c r="A40" t="s">
        <v>76</v>
      </c>
      <c r="B40" t="str">
        <f>VLOOKUP(A40,[51]WRDS!$A$1:$N$100,2,FALSE)</f>
        <v>SIG</v>
      </c>
      <c r="C40" t="str">
        <f>VLOOKUP(A40,[51]WRDS!$A$1:$N$100,3,FALSE)</f>
        <v>VECTREN CORP</v>
      </c>
      <c r="D40">
        <f>VLOOKUP(A40,[51]WRDS!$A$1:$N$100,13,FALSE)</f>
        <v>1.53</v>
      </c>
      <c r="E40">
        <f>VLOOKUP(A40,[35]WRDS!$A$1:$N$100,13,FALSE)</f>
        <v>1.64</v>
      </c>
      <c r="F40" s="1">
        <f t="shared" si="3"/>
        <v>1.86681935487753</v>
      </c>
      <c r="G40" s="1">
        <f t="shared" si="4"/>
        <v>1.86681935487753</v>
      </c>
      <c r="H40" s="2">
        <f t="shared" si="0"/>
        <v>1.7508636854767001E-2</v>
      </c>
      <c r="I40" s="2">
        <f>VLOOKUP(A40,[52]WRDS!$A$1:$O$100,10,FALSE)/100</f>
        <v>5.0999999999999997E-2</v>
      </c>
      <c r="J40" s="2">
        <f>VLOOKUP(A40,[52]WRDS!$A$1:$O$100,9,FALSE)/100</f>
        <v>5.0999999999999997E-2</v>
      </c>
      <c r="K40" s="2">
        <f t="shared" si="1"/>
        <v>1.9128481230744383</v>
      </c>
      <c r="L40" s="2">
        <f t="shared" si="2"/>
        <v>1.9128481230744383</v>
      </c>
      <c r="M40">
        <f>VLOOKUP(A40,[52]WRDS!$A$1:$O$100,8,FALSE)</f>
        <v>2</v>
      </c>
      <c r="N40">
        <f>VLOOKUP(A40,[52]WRDS!$A$1:$O$100,11,FALSE)</f>
        <v>2.97</v>
      </c>
    </row>
    <row r="41" spans="1:14" x14ac:dyDescent="0.3">
      <c r="A41" t="s">
        <v>55</v>
      </c>
      <c r="B41" t="str">
        <f>VLOOKUP(A41,[51]WRDS!$A$1:$N$100,2,FALSE)</f>
        <v>WPC</v>
      </c>
      <c r="C41" t="str">
        <f>VLOOKUP(A41,[51]WRDS!$A$1:$N$100,3,FALSE)</f>
        <v>WISCONSIN ENERGY</v>
      </c>
      <c r="D41">
        <f>VLOOKUP(A41,[51]WRDS!$A$1:$N$100,13,FALSE)</f>
        <v>1.29</v>
      </c>
      <c r="E41">
        <f>VLOOKUP(A41,[35]WRDS!$A$1:$N$100,13,FALSE)</f>
        <v>1.92</v>
      </c>
      <c r="F41" s="1">
        <f t="shared" si="3"/>
        <v>1.7427130945939364</v>
      </c>
      <c r="G41" s="1">
        <f t="shared" si="4"/>
        <v>1.7550307584000004</v>
      </c>
      <c r="H41" s="2">
        <f t="shared" si="0"/>
        <v>0.1045309242664223</v>
      </c>
      <c r="I41" s="2">
        <f>VLOOKUP(A41,[52]WRDS!$A$1:$O$100,10,FALSE)/100</f>
        <v>7.8100000000000003E-2</v>
      </c>
      <c r="J41" s="2">
        <f>VLOOKUP(A41,[52]WRDS!$A$1:$O$100,9,FALSE)/100</f>
        <v>0.08</v>
      </c>
      <c r="K41" s="2">
        <f t="shared" si="1"/>
        <v>-0.25285267926127492</v>
      </c>
      <c r="L41" s="2">
        <f t="shared" si="2"/>
        <v>-0.23467623996033282</v>
      </c>
      <c r="M41">
        <f>VLOOKUP(A41,[52]WRDS!$A$1:$O$100,8,FALSE)</f>
        <v>6</v>
      </c>
      <c r="N41">
        <f>VLOOKUP(A41,[52]WRDS!$A$1:$O$100,11,FALSE)</f>
        <v>2.4</v>
      </c>
    </row>
    <row r="42" spans="1:14" x14ac:dyDescent="0.3">
      <c r="A42" t="s">
        <v>56</v>
      </c>
      <c r="B42" t="str">
        <f>VLOOKUP(A42,[51]WRDS!$A$1:$N$100,2,FALSE)</f>
        <v>NSP</v>
      </c>
      <c r="C42" t="str">
        <f>VLOOKUP(A42,[51]WRDS!$A$1:$N$100,3,FALSE)</f>
        <v>XCEL ENERGY INC</v>
      </c>
      <c r="D42">
        <f>VLOOKUP(A42,[51]WRDS!$A$1:$N$100,13,FALSE)</f>
        <v>1.35</v>
      </c>
      <c r="E42">
        <f>VLOOKUP(A42,[35]WRDS!$A$1:$N$100,13,FALSE)</f>
        <v>1.62</v>
      </c>
      <c r="F42" s="1">
        <f t="shared" si="3"/>
        <v>1.7302158268416008</v>
      </c>
      <c r="G42" s="1">
        <f t="shared" si="4"/>
        <v>1.7043438960000006</v>
      </c>
      <c r="H42" s="2">
        <f t="shared" si="0"/>
        <v>4.6635139392105618E-2</v>
      </c>
      <c r="I42" s="2">
        <f>VLOOKUP(A42,[52]WRDS!$A$1:$O$100,10,FALSE)/100</f>
        <v>6.4000000000000001E-2</v>
      </c>
      <c r="J42" s="2">
        <f>VLOOKUP(A42,[52]WRDS!$A$1:$O$100,9,FALSE)/100</f>
        <v>0.06</v>
      </c>
      <c r="K42" s="2">
        <f t="shared" si="1"/>
        <v>0.37235571361525516</v>
      </c>
      <c r="L42" s="2">
        <f t="shared" si="2"/>
        <v>0.28658348151430163</v>
      </c>
      <c r="M42">
        <f>VLOOKUP(A42,[52]WRDS!$A$1:$O$100,8,FALSE)</f>
        <v>5</v>
      </c>
      <c r="N42">
        <f>VLOOKUP(A42,[52]WRDS!$A$1:$O$100,11,FALSE)</f>
        <v>1.52</v>
      </c>
    </row>
    <row r="43" spans="1:14" x14ac:dyDescent="0.3">
      <c r="A43" t="s">
        <v>132</v>
      </c>
      <c r="B43" t="str">
        <f>VLOOKUP(A43,'[5]Ticker List'!$H$4:$I$20,2,FALSE)</f>
        <v>EGAS</v>
      </c>
      <c r="C43" t="str">
        <f>VLOOKUP(A43,[53]wixtw8wkz92sncvl!$B$1:$O$16,2,FALSE)</f>
        <v>ATMOS ENERGY CP</v>
      </c>
      <c r="D43">
        <f>VLOOKUP(A43,[53]wixtw8wkz92sncvl!$B$1:$O$16,13,FALSE)</f>
        <v>1.92</v>
      </c>
      <c r="E43">
        <f>VLOOKUP(A43,[37]WRDS!$B$1:$N$12,12,FALSE)</f>
        <v>2.34</v>
      </c>
      <c r="F43" s="1">
        <f t="shared" si="3"/>
        <v>2.4395431158978673</v>
      </c>
      <c r="G43" s="1">
        <f t="shared" si="4"/>
        <v>2.4239557632000004</v>
      </c>
      <c r="H43" s="2">
        <f t="shared" si="0"/>
        <v>5.0699818354881465E-2</v>
      </c>
      <c r="I43" s="2">
        <f>VLOOKUP(A43,'[54]4s4eumzpmcr8yucg'!$B$1:$N$15,9,FALSE)/100</f>
        <v>6.1699999999999998E-2</v>
      </c>
      <c r="J43" s="2">
        <f>VLOOKUP(A43,'[54]4s4eumzpmcr8yucg'!$B$1:$N$15,8,FALSE)/100</f>
        <v>0.06</v>
      </c>
      <c r="K43" s="2">
        <f t="shared" si="1"/>
        <v>0.21696688473558243</v>
      </c>
      <c r="L43" s="2">
        <f t="shared" si="2"/>
        <v>0.18343619261158745</v>
      </c>
      <c r="M43">
        <f>VLOOKUP(A43,'[54]4s4eumzpmcr8yucg'!$B$1:$N$15,7,FALSE)</f>
        <v>3</v>
      </c>
      <c r="N43">
        <f>VLOOKUP(A43,'[54]4s4eumzpmcr8yucg'!$B$1:$N$15,10,FALSE)</f>
        <v>0.76</v>
      </c>
    </row>
    <row r="44" spans="1:14" x14ac:dyDescent="0.3">
      <c r="A44" t="s">
        <v>133</v>
      </c>
      <c r="B44" t="str">
        <f>VLOOKUP(A44,'[5]Ticker List'!$H$4:$I$20,2,FALSE)</f>
        <v>CHPK</v>
      </c>
      <c r="C44" t="str">
        <f>VLOOKUP(A44,[53]wixtw8wkz92sncvl!$B$1:$O$16,2,FALSE)</f>
        <v>CHESAPEAKE UTIL</v>
      </c>
      <c r="D44">
        <f>VLOOKUP(A44,[53]wixtw8wkz92sncvl!$B$1:$O$16,13,FALSE)</f>
        <v>1.1467000000000001</v>
      </c>
      <c r="E44">
        <f>VLOOKUP(A44,[37]WRDS!$B$1:$N$12,12,FALSE)</f>
        <v>1.82</v>
      </c>
      <c r="F44" s="1">
        <f t="shared" si="3"/>
        <v>1.4476823300320005</v>
      </c>
      <c r="G44" s="1">
        <f t="shared" si="4"/>
        <v>1.4476823300320005</v>
      </c>
      <c r="H44" s="2">
        <f t="shared" si="0"/>
        <v>0.12241999287253691</v>
      </c>
      <c r="I44" s="2">
        <f>VLOOKUP(A44,'[54]4s4eumzpmcr8yucg'!$B$1:$N$15,9,FALSE)/100</f>
        <v>0.06</v>
      </c>
      <c r="J44" s="2">
        <f>VLOOKUP(A44,'[54]4s4eumzpmcr8yucg'!$B$1:$N$15,8,FALSE)/100</f>
        <v>0.06</v>
      </c>
      <c r="K44" s="2">
        <f t="shared" si="1"/>
        <v>-0.50988397734615376</v>
      </c>
      <c r="L44" s="2">
        <f t="shared" si="2"/>
        <v>-0.50988397734615376</v>
      </c>
      <c r="M44">
        <f>VLOOKUP(A44,'[54]4s4eumzpmcr8yucg'!$B$1:$N$15,7,FALSE)</f>
        <v>1</v>
      </c>
      <c r="N44">
        <f>VLOOKUP(A44,'[54]4s4eumzpmcr8yucg'!$B$1:$N$15,10,FALSE)</f>
        <v>0</v>
      </c>
    </row>
    <row r="45" spans="1:14" x14ac:dyDescent="0.3">
      <c r="A45" t="s">
        <v>134</v>
      </c>
      <c r="B45" t="str">
        <f>VLOOKUP(A45,'[5]Ticker List'!$H$4:$I$20,2,FALSE)</f>
        <v>NJR</v>
      </c>
      <c r="C45" t="str">
        <f>VLOOKUP(A45,[53]wixtw8wkz92sncvl!$B$1:$O$16,2,FALSE)</f>
        <v>NEW JERSEY RES</v>
      </c>
      <c r="D45">
        <f>VLOOKUP(A45,[53]wixtw8wkz92sncvl!$B$1:$O$16,13,FALSE)</f>
        <v>1.05</v>
      </c>
      <c r="E45">
        <f>VLOOKUP(A45,[37]WRDS!$B$1:$N$12,12,FALSE)</f>
        <v>1.28</v>
      </c>
      <c r="F45" s="1">
        <f t="shared" si="3"/>
        <v>1.3256008080000004</v>
      </c>
      <c r="G45" s="1">
        <f t="shared" si="4"/>
        <v>1.3256008080000004</v>
      </c>
      <c r="H45" s="2">
        <f t="shared" si="0"/>
        <v>5.0763957769663248E-2</v>
      </c>
      <c r="I45" s="2">
        <f>VLOOKUP(A45,'[54]4s4eumzpmcr8yucg'!$B$1:$N$15,9,FALSE)/100</f>
        <v>0.06</v>
      </c>
      <c r="J45" s="2">
        <f>VLOOKUP(A45,'[54]4s4eumzpmcr8yucg'!$B$1:$N$15,8,FALSE)/100</f>
        <v>0.06</v>
      </c>
      <c r="K45" s="2">
        <f t="shared" si="1"/>
        <v>0.18194094070136207</v>
      </c>
      <c r="L45" s="2">
        <f t="shared" si="2"/>
        <v>0.18194094070136207</v>
      </c>
      <c r="M45">
        <f>VLOOKUP(A45,'[54]4s4eumzpmcr8yucg'!$B$1:$N$15,7,FALSE)</f>
        <v>2</v>
      </c>
      <c r="N45">
        <f>VLOOKUP(A45,'[54]4s4eumzpmcr8yucg'!$B$1:$N$15,10,FALSE)</f>
        <v>1.41</v>
      </c>
    </row>
    <row r="46" spans="1:14" x14ac:dyDescent="0.3">
      <c r="A46" t="s">
        <v>135</v>
      </c>
      <c r="B46" t="str">
        <f>VLOOKUP(A46,'[5]Ticker List'!$H$4:$I$20,2,FALSE)</f>
        <v>NI</v>
      </c>
      <c r="C46" t="str">
        <f>VLOOKUP(A46,[53]wixtw8wkz92sncvl!$B$1:$O$16,2,FALSE)</f>
        <v>NISOURCE INC</v>
      </c>
      <c r="D46">
        <f>VLOOKUP(A46,[53]wixtw8wkz92sncvl!$B$1:$O$16,13,FALSE)</f>
        <v>1.28</v>
      </c>
      <c r="E46">
        <f>VLOOKUP(A46,[37]WRDS!$B$1:$N$12,12,FALSE)</f>
        <v>1.22</v>
      </c>
      <c r="F46" s="1">
        <f t="shared" si="3"/>
        <v>1.4592029104448418</v>
      </c>
      <c r="G46" s="1">
        <f t="shared" si="4"/>
        <v>1.4688294407999996</v>
      </c>
      <c r="H46" s="2">
        <f t="shared" si="0"/>
        <v>-1.1930564439759705E-2</v>
      </c>
      <c r="I46" s="2">
        <f>VLOOKUP(A46,'[54]4s4eumzpmcr8yucg'!$B$1:$N$15,9,FALSE)/100</f>
        <v>3.3300000000000003E-2</v>
      </c>
      <c r="J46" s="2">
        <f>VLOOKUP(A46,'[54]4s4eumzpmcr8yucg'!$B$1:$N$15,8,FALSE)/100</f>
        <v>3.5000000000000003E-2</v>
      </c>
      <c r="K46" s="2">
        <f t="shared" si="1"/>
        <v>3.79115042445307</v>
      </c>
      <c r="L46" s="2">
        <f t="shared" si="2"/>
        <v>3.9336415872629864</v>
      </c>
      <c r="M46">
        <f>VLOOKUP(A46,'[54]4s4eumzpmcr8yucg'!$B$1:$N$15,7,FALSE)</f>
        <v>6</v>
      </c>
      <c r="N46">
        <f>VLOOKUP(A46,'[54]4s4eumzpmcr8yucg'!$B$1:$N$15,10,FALSE)</f>
        <v>1.21</v>
      </c>
    </row>
    <row r="47" spans="1:14" x14ac:dyDescent="0.3">
      <c r="A47" t="s">
        <v>136</v>
      </c>
      <c r="B47" t="str">
        <f>VLOOKUP(A47,'[5]Ticker List'!$H$4:$I$20,2,FALSE)</f>
        <v>NWNG</v>
      </c>
      <c r="C47" t="str">
        <f>VLOOKUP(A47,[53]wixtw8wkz92sncvl!$B$1:$O$16,2,FALSE)</f>
        <v>NW NATURAL GAS</v>
      </c>
      <c r="D47">
        <f>VLOOKUP(A47,[53]wixtw8wkz92sncvl!$B$1:$O$16,13,FALSE)</f>
        <v>2.29</v>
      </c>
      <c r="E47">
        <f>VLOOKUP(A47,[37]WRDS!$B$1:$N$12,12,FALSE)</f>
        <v>2.73</v>
      </c>
      <c r="F47" s="1">
        <f t="shared" si="3"/>
        <v>2.7708064955088436</v>
      </c>
      <c r="G47" s="1">
        <f t="shared" si="4"/>
        <v>2.7835093125000001</v>
      </c>
      <c r="H47" s="2">
        <f t="shared" si="0"/>
        <v>4.4916991100050208E-2</v>
      </c>
      <c r="I47" s="2">
        <f>VLOOKUP(A47,'[54]4s4eumzpmcr8yucg'!$B$1:$N$15,9,FALSE)/100</f>
        <v>4.8799999999999996E-2</v>
      </c>
      <c r="J47" s="2">
        <f>VLOOKUP(A47,'[54]4s4eumzpmcr8yucg'!$B$1:$N$15,8,FALSE)/100</f>
        <v>0.05</v>
      </c>
      <c r="K47" s="2">
        <f t="shared" si="1"/>
        <v>8.6448553316952892E-2</v>
      </c>
      <c r="L47" s="2">
        <f t="shared" si="2"/>
        <v>0.11316450134933712</v>
      </c>
      <c r="M47">
        <f>VLOOKUP(A47,'[54]4s4eumzpmcr8yucg'!$B$1:$N$15,7,FALSE)</f>
        <v>4</v>
      </c>
      <c r="N47">
        <f>VLOOKUP(A47,'[54]4s4eumzpmcr8yucg'!$B$1:$N$15,10,FALSE)</f>
        <v>1.03</v>
      </c>
    </row>
    <row r="48" spans="1:14" x14ac:dyDescent="0.3">
      <c r="A48" t="s">
        <v>138</v>
      </c>
      <c r="B48" t="str">
        <f>VLOOKUP(A48,'[5]Ticker List'!$H$4:$I$20,2,FALSE)</f>
        <v>SJI</v>
      </c>
      <c r="C48" t="str">
        <f>VLOOKUP(A48,[53]wixtw8wkz92sncvl!$B$1:$O$16,2,FALSE)</f>
        <v>SO JERSEY INDS</v>
      </c>
      <c r="D48">
        <f>VLOOKUP(A48,[53]wixtw8wkz92sncvl!$B$1:$O$16,13,FALSE)</f>
        <v>0.92500000000000004</v>
      </c>
      <c r="E48">
        <f>VLOOKUP(A48,[37]WRDS!$B$1:$N$12,12,FALSE)</f>
        <v>1.35</v>
      </c>
      <c r="F48" s="1">
        <f t="shared" si="3"/>
        <v>1.1899813743281247</v>
      </c>
      <c r="G48" s="1">
        <f t="shared" si="4"/>
        <v>1.1899813743281247</v>
      </c>
      <c r="H48" s="2">
        <f t="shared" si="0"/>
        <v>9.9127335382595216E-2</v>
      </c>
      <c r="I48" s="2">
        <f>VLOOKUP(A48,'[54]4s4eumzpmcr8yucg'!$B$1:$N$15,9,FALSE)/100</f>
        <v>6.5000000000000002E-2</v>
      </c>
      <c r="J48" s="2">
        <f>VLOOKUP(A48,'[54]4s4eumzpmcr8yucg'!$B$1:$N$15,8,FALSE)/100</f>
        <v>6.5000000000000002E-2</v>
      </c>
      <c r="K48" s="2">
        <f t="shared" si="1"/>
        <v>-0.34427774388241345</v>
      </c>
      <c r="L48" s="2">
        <f t="shared" si="2"/>
        <v>-0.34427774388241345</v>
      </c>
      <c r="M48">
        <f>VLOOKUP(A48,'[54]4s4eumzpmcr8yucg'!$B$1:$N$15,7,FALSE)</f>
        <v>2</v>
      </c>
      <c r="N48">
        <f>VLOOKUP(A48,'[54]4s4eumzpmcr8yucg'!$B$1:$N$15,10,FALSE)</f>
        <v>0.71</v>
      </c>
    </row>
    <row r="49" spans="1:14" x14ac:dyDescent="0.3">
      <c r="A49" t="s">
        <v>139</v>
      </c>
      <c r="B49" t="str">
        <f>VLOOKUP(A49,'[5]Ticker List'!$H$4:$I$20,2,FALSE)</f>
        <v>SWX</v>
      </c>
      <c r="C49" t="str">
        <f>VLOOKUP(A49,[53]wixtw8wkz92sncvl!$B$1:$O$16,2,FALSE)</f>
        <v>SOUTHWEST GAS</v>
      </c>
      <c r="D49">
        <f>VLOOKUP(A49,[53]wixtw8wkz92sncvl!$B$1:$O$16,13,FALSE)</f>
        <v>1.98</v>
      </c>
      <c r="E49">
        <f>VLOOKUP(A49,[37]WRDS!$B$1:$N$12,12,FALSE)</f>
        <v>2.27</v>
      </c>
      <c r="F49" s="1">
        <f t="shared" si="3"/>
        <v>2.2285074437999999</v>
      </c>
      <c r="G49" s="1">
        <f t="shared" si="4"/>
        <v>2.2285074437999999</v>
      </c>
      <c r="H49" s="2">
        <f t="shared" si="0"/>
        <v>3.4761273714413843E-2</v>
      </c>
      <c r="I49" s="2">
        <f>VLOOKUP(A49,'[54]4s4eumzpmcr8yucg'!$B$1:$N$15,9,FALSE)/100</f>
        <v>0.03</v>
      </c>
      <c r="J49" s="2">
        <f>VLOOKUP(A49,'[54]4s4eumzpmcr8yucg'!$B$1:$N$15,8,FALSE)/100</f>
        <v>0.03</v>
      </c>
      <c r="K49" s="2">
        <f t="shared" si="1"/>
        <v>-0.13697063443447904</v>
      </c>
      <c r="L49" s="2">
        <f t="shared" si="2"/>
        <v>-0.13697063443447904</v>
      </c>
      <c r="M49">
        <f>VLOOKUP(A49,'[54]4s4eumzpmcr8yucg'!$B$1:$N$15,7,FALSE)</f>
        <v>1</v>
      </c>
      <c r="N49">
        <f>VLOOKUP(A49,'[54]4s4eumzpmcr8yucg'!$B$1:$N$15,10,FALSE)</f>
        <v>0</v>
      </c>
    </row>
    <row r="50" spans="1:14" x14ac:dyDescent="0.3">
      <c r="A50" t="s">
        <v>148</v>
      </c>
      <c r="B50" t="str">
        <f>VLOOKUP(A50,'[5]Ticker List'!$H$4:$I$20,2,FALSE)</f>
        <v>AGLT</v>
      </c>
      <c r="C50" t="str">
        <f>VLOOKUP(A50,[53]wixtw8wkz92sncvl!$B$1:$O$16,2,FALSE)</f>
        <v>AGL RESOURCES</v>
      </c>
      <c r="D50">
        <f>VLOOKUP(A50,[53]wixtw8wkz92sncvl!$B$1:$O$16,13,FALSE)</f>
        <v>2.72</v>
      </c>
      <c r="E50" s="1">
        <v>3</v>
      </c>
      <c r="F50" s="1">
        <f t="shared" si="3"/>
        <v>3.2077941247648867</v>
      </c>
      <c r="G50" s="1">
        <f t="shared" si="4"/>
        <v>3.1979552158765423</v>
      </c>
      <c r="H50" s="2">
        <f t="shared" si="0"/>
        <v>2.4797571728684131E-2</v>
      </c>
      <c r="I50" s="2">
        <f>VLOOKUP(A50,'[54]4s4eumzpmcr8yucg'!$B$1:$N$15,9,FALSE)/100</f>
        <v>4.2099999999999999E-2</v>
      </c>
      <c r="J50" s="2">
        <f>VLOOKUP(A50,'[54]4s4eumzpmcr8yucg'!$B$1:$N$15,8,FALSE)/100</f>
        <v>4.1299999999999996E-2</v>
      </c>
      <c r="K50" s="2">
        <f t="shared" si="1"/>
        <v>0.69774687863092677</v>
      </c>
      <c r="L50" s="2">
        <f t="shared" si="2"/>
        <v>0.66548565528402071</v>
      </c>
      <c r="M50">
        <f>VLOOKUP(A50,'[54]4s4eumzpmcr8yucg'!$B$1:$N$15,7,FALSE)</f>
        <v>6</v>
      </c>
      <c r="N50">
        <f>VLOOKUP(A50,'[54]4s4eumzpmcr8yucg'!$B$1:$N$15,10,FALSE)</f>
        <v>0.75</v>
      </c>
    </row>
    <row r="51" spans="1:14" x14ac:dyDescent="0.3">
      <c r="A51" t="s">
        <v>143</v>
      </c>
      <c r="B51" t="str">
        <f>VLOOKUP(A51,'[5]Ticker List'!$H$4:$I$20,2,FALSE)</f>
        <v>LG</v>
      </c>
      <c r="C51" t="str">
        <f>VLOOKUP(A51,[53]wixtw8wkz92sncvl!$B$1:$O$16,2,FALSE)</f>
        <v>LACLEDE GROUP</v>
      </c>
      <c r="D51">
        <f>VLOOKUP(A51,[53]wixtw8wkz92sncvl!$B$1:$O$16,13,FALSE)</f>
        <v>2.31</v>
      </c>
      <c r="E51">
        <f>VLOOKUP(A51,[37]WRDS!$B$1:$N$12,12,FALSE)</f>
        <v>2.86</v>
      </c>
      <c r="F51" s="1">
        <f t="shared" si="3"/>
        <v>2.7023732736000006</v>
      </c>
      <c r="G51" s="1">
        <f t="shared" si="4"/>
        <v>2.7023732736000006</v>
      </c>
      <c r="H51" s="2">
        <f t="shared" si="0"/>
        <v>5.4844671280266599E-2</v>
      </c>
      <c r="I51" s="2">
        <f>VLOOKUP(A51,'[54]4s4eumzpmcr8yucg'!$B$1:$N$15,9,FALSE)/100</f>
        <v>0.04</v>
      </c>
      <c r="J51" s="2">
        <f>VLOOKUP(A51,'[54]4s4eumzpmcr8yucg'!$B$1:$N$15,8,FALSE)/100</f>
        <v>0.04</v>
      </c>
      <c r="K51" s="2">
        <f t="shared" si="1"/>
        <v>-0.27066752218109819</v>
      </c>
      <c r="L51" s="2">
        <f t="shared" si="2"/>
        <v>-0.27066752218109819</v>
      </c>
      <c r="M51">
        <f>VLOOKUP(A51,'[54]4s4eumzpmcr8yucg'!$B$1:$N$15,7,FALSE)</f>
        <v>1</v>
      </c>
      <c r="N51">
        <f>VLOOKUP(A51,'[54]4s4eumzpmcr8yucg'!$B$1:$N$15,10,FALSE)</f>
        <v>0</v>
      </c>
    </row>
    <row r="52" spans="1:14" x14ac:dyDescent="0.3">
      <c r="A52" t="s">
        <v>144</v>
      </c>
      <c r="B52" t="str">
        <f>VLOOKUP(A52,'[5]Ticker List'!$H$4:$I$20,2,FALSE)</f>
        <v>GAS</v>
      </c>
      <c r="C52" t="str">
        <f>VLOOKUP(A52,[53]wixtw8wkz92sncvl!$B$1:$O$16,2,FALSE)</f>
        <v>NICOR INC</v>
      </c>
      <c r="D52">
        <f>VLOOKUP(A52,[53]wixtw8wkz92sncvl!$B$1:$O$16,13,FALSE)</f>
        <v>3.03</v>
      </c>
      <c r="E52">
        <f>VLOOKUP(A52,[37]WRDS!$B$1:$N$12,12,FALSE)</f>
        <v>3.08</v>
      </c>
      <c r="F52" s="1">
        <f t="shared" si="3"/>
        <v>3.4769946918937489</v>
      </c>
      <c r="G52" s="1">
        <f t="shared" si="4"/>
        <v>3.4769946918937489</v>
      </c>
      <c r="H52" s="2">
        <f t="shared" si="0"/>
        <v>4.1001269813032426E-3</v>
      </c>
      <c r="I52" s="2">
        <f>VLOOKUP(A52,'[54]4s4eumzpmcr8yucg'!$B$1:$N$15,9,FALSE)/100</f>
        <v>3.5000000000000003E-2</v>
      </c>
      <c r="J52" s="2">
        <f>VLOOKUP(A52,'[54]4s4eumzpmcr8yucg'!$B$1:$N$15,8,FALSE)/100</f>
        <v>3.5000000000000003E-2</v>
      </c>
      <c r="K52" s="2">
        <f t="shared" si="1"/>
        <v>7.5363209870332133</v>
      </c>
      <c r="L52" s="2">
        <f t="shared" si="2"/>
        <v>7.5363209870332133</v>
      </c>
      <c r="M52">
        <f>VLOOKUP(A52,'[54]4s4eumzpmcr8yucg'!$B$1:$N$15,7,FALSE)</f>
        <v>2</v>
      </c>
      <c r="N52">
        <f>VLOOKUP(A52,'[54]4s4eumzpmcr8yucg'!$B$1:$N$15,10,FALSE)</f>
        <v>0.71</v>
      </c>
    </row>
    <row r="53" spans="1:14" x14ac:dyDescent="0.3">
      <c r="A53" t="s">
        <v>146</v>
      </c>
      <c r="B53" t="str">
        <f>VLOOKUP(A53,'[5]Ticker List'!$H$4:$I$20,2,FALSE)</f>
        <v>PNY</v>
      </c>
      <c r="C53" t="str">
        <f>VLOOKUP(A53,[53]wixtw8wkz92sncvl!$B$1:$O$16,2,FALSE)</f>
        <v>PIEDMONT NAT GAS</v>
      </c>
      <c r="D53">
        <f>VLOOKUP(A53,[53]wixtw8wkz92sncvl!$B$1:$O$16,13,FALSE)</f>
        <v>1.28</v>
      </c>
      <c r="E53">
        <f>VLOOKUP(A53,[37]WRDS!$B$1:$N$12,12,FALSE)</f>
        <v>1.53</v>
      </c>
      <c r="F53" s="1">
        <f t="shared" si="3"/>
        <v>1.4974189568000003</v>
      </c>
      <c r="G53" s="1">
        <f t="shared" si="4"/>
        <v>1.4974189568000003</v>
      </c>
      <c r="H53" s="2">
        <f t="shared" si="0"/>
        <v>4.5611534119385011E-2</v>
      </c>
      <c r="I53" s="2">
        <f>VLOOKUP(A53,'[54]4s4eumzpmcr8yucg'!$B$1:$N$15,9,FALSE)/100</f>
        <v>0.04</v>
      </c>
      <c r="J53" s="2">
        <f>VLOOKUP(A53,'[54]4s4eumzpmcr8yucg'!$B$1:$N$15,8,FALSE)/100</f>
        <v>0.04</v>
      </c>
      <c r="K53" s="2">
        <f t="shared" si="1"/>
        <v>-0.12302883969430212</v>
      </c>
      <c r="L53" s="2">
        <f t="shared" si="2"/>
        <v>-0.12302883969430212</v>
      </c>
      <c r="M53">
        <f>VLOOKUP(A53,'[54]4s4eumzpmcr8yucg'!$B$1:$N$15,7,FALSE)</f>
        <v>2</v>
      </c>
      <c r="N53">
        <f>VLOOKUP(A53,'[54]4s4eumzpmcr8yucg'!$B$1:$N$15,10,FALSE)</f>
        <v>0</v>
      </c>
    </row>
    <row r="54" spans="1:14" x14ac:dyDescent="0.3">
      <c r="A54" t="s">
        <v>145</v>
      </c>
      <c r="B54" t="str">
        <f>VLOOKUP(A54,'[5]Ticker List'!$H$4:$I$20,2,FALSE)</f>
        <v>WGL</v>
      </c>
      <c r="C54" t="str">
        <f>VLOOKUP(A54,[53]wixtw8wkz92sncvl!$B$1:$O$16,2,FALSE)</f>
        <v>WGL HOLDING INC</v>
      </c>
      <c r="D54">
        <f>VLOOKUP(A54,[53]wixtw8wkz92sncvl!$B$1:$O$16,13,FALSE)</f>
        <v>2.1</v>
      </c>
      <c r="E54">
        <f>VLOOKUP(A54,[37]WRDS!$B$1:$N$12,12,FALSE)</f>
        <v>2.25</v>
      </c>
      <c r="F54" s="1">
        <f t="shared" si="3"/>
        <v>2.3940047749485687</v>
      </c>
      <c r="G54" s="1">
        <f t="shared" si="4"/>
        <v>2.363568501</v>
      </c>
      <c r="H54" s="2">
        <f t="shared" si="0"/>
        <v>1.7397827309224789E-2</v>
      </c>
      <c r="I54" s="2">
        <f>VLOOKUP(A54,'[54]4s4eumzpmcr8yucg'!$B$1:$N$15,9,FALSE)/100</f>
        <v>3.3300000000000003E-2</v>
      </c>
      <c r="J54" s="2">
        <f>VLOOKUP(A54,'[54]4s4eumzpmcr8yucg'!$B$1:$N$15,8,FALSE)/100</f>
        <v>0.03</v>
      </c>
      <c r="K54" s="2">
        <f t="shared" si="1"/>
        <v>0.91403210344221897</v>
      </c>
      <c r="L54" s="2">
        <f t="shared" si="2"/>
        <v>0.72435324634434117</v>
      </c>
      <c r="M54">
        <f>VLOOKUP(A54,'[54]4s4eumzpmcr8yucg'!$B$1:$N$15,7,FALSE)</f>
        <v>3</v>
      </c>
      <c r="N54">
        <f>VLOOKUP(A54,'[54]4s4eumzpmcr8yucg'!$B$1:$N$15,10,FALSE)</f>
        <v>0.57999999999999996</v>
      </c>
    </row>
  </sheetData>
  <mergeCells count="3">
    <mergeCell ref="P1:Q1"/>
    <mergeCell ref="P7:Q7"/>
    <mergeCell ref="P13:Q13"/>
  </mergeCells>
  <pageMargins left="0.7" right="0.7" top="0.75" bottom="0.75" header="0.3" footer="0.3"/>
  <legacy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F73DC-7414-4ABF-8ED2-F3094EF19829}">
  <dimension ref="A1:Q56"/>
  <sheetViews>
    <sheetView topLeftCell="A20" workbookViewId="0">
      <selection activeCell="A56" sqref="A56"/>
    </sheetView>
  </sheetViews>
  <sheetFormatPr defaultRowHeight="14.4" x14ac:dyDescent="0.3"/>
  <cols>
    <col min="1" max="1" width="13.33203125" bestFit="1" customWidth="1"/>
    <col min="2" max="2" width="10.44140625" bestFit="1" customWidth="1"/>
    <col min="3" max="3" width="15.109375" bestFit="1" customWidth="1"/>
    <col min="4" max="5" width="15.44140625" bestFit="1" customWidth="1"/>
    <col min="6" max="6" width="14.33203125" bestFit="1" customWidth="1"/>
    <col min="7" max="7" width="16" bestFit="1" customWidth="1"/>
    <col min="8" max="8" width="18.33203125" bestFit="1" customWidth="1"/>
    <col min="9" max="9" width="21.44140625" bestFit="1" customWidth="1"/>
    <col min="10" max="10" width="23.109375" bestFit="1" customWidth="1"/>
    <col min="11" max="11" width="22" bestFit="1" customWidth="1"/>
    <col min="12" max="12" width="24.109375" bestFit="1" customWidth="1"/>
    <col min="13" max="13" width="19.88671875" bestFit="1" customWidth="1"/>
    <col min="14" max="14" width="8.33203125" bestFit="1" customWidth="1"/>
    <col min="16" max="16" width="51.88671875" bestFit="1" customWidth="1"/>
    <col min="17" max="17" width="12" bestFit="1" customWidth="1"/>
  </cols>
  <sheetData>
    <row r="1" spans="1:17" x14ac:dyDescent="0.3">
      <c r="A1" s="4" t="s">
        <v>0</v>
      </c>
      <c r="B1" s="4" t="s">
        <v>1</v>
      </c>
      <c r="C1" s="4" t="s">
        <v>2</v>
      </c>
      <c r="D1" s="4" t="s">
        <v>87</v>
      </c>
      <c r="E1" s="4" t="s">
        <v>80</v>
      </c>
      <c r="F1" s="4" t="s">
        <v>5</v>
      </c>
      <c r="G1" s="4" t="s">
        <v>6</v>
      </c>
      <c r="H1" s="4" t="s">
        <v>7</v>
      </c>
      <c r="I1" s="4" t="s">
        <v>8</v>
      </c>
      <c r="J1" s="4" t="s">
        <v>9</v>
      </c>
      <c r="K1" s="4" t="s">
        <v>10</v>
      </c>
      <c r="L1" s="4" t="s">
        <v>11</v>
      </c>
      <c r="M1" s="4" t="s">
        <v>12</v>
      </c>
      <c r="N1" s="4" t="s">
        <v>13</v>
      </c>
      <c r="P1" s="111" t="s">
        <v>14</v>
      </c>
      <c r="Q1" s="111"/>
    </row>
    <row r="2" spans="1:17" x14ac:dyDescent="0.3">
      <c r="A2" t="s">
        <v>15</v>
      </c>
      <c r="B2" t="str">
        <f>VLOOKUP(A2,[55]WRDS!$A$1:$N$100,2,FALSE)</f>
        <v>UEP</v>
      </c>
      <c r="C2" t="str">
        <f>VLOOKUP(A2,[55]WRDS!$A$1:$N$100,3,FALSE)</f>
        <v>AMEREN CP</v>
      </c>
      <c r="D2">
        <f>VLOOKUP(A2,[55]WRDS!$A$1:$N$100,13,FALSE)</f>
        <v>3.13</v>
      </c>
      <c r="E2">
        <f>VLOOKUP(A2,[39]WRDS!$A$1:$N$100,13,FALSE)</f>
        <v>2.79</v>
      </c>
      <c r="F2" s="1">
        <f>D2*(1+I2)^4</f>
        <v>3.7325832199562483</v>
      </c>
      <c r="G2" s="1">
        <f>D2*(1+J2)^4</f>
        <v>3.5228425752999994</v>
      </c>
      <c r="H2" s="2">
        <f t="shared" ref="H2:H56" si="0">((E2/D2)^(1/4)-1)</f>
        <v>-2.83385641060655E-2</v>
      </c>
      <c r="I2" s="2">
        <f>VLOOKUP(A2,[56]WRDS!$A$1:$O$100,10,FALSE)/100</f>
        <v>4.4999999999999998E-2</v>
      </c>
      <c r="J2" s="2">
        <f>VLOOKUP(A2,[56]WRDS!$A$1:$O$100,9,FALSE)/100</f>
        <v>0.03</v>
      </c>
      <c r="K2" s="2">
        <f t="shared" ref="K2:K56" si="1">(I2-H2)/(ABS(H2))</f>
        <v>2.5879421353733423</v>
      </c>
      <c r="L2" s="2">
        <f t="shared" ref="L2:L56" si="2">(J2-H2)/(ABS(H2))</f>
        <v>2.0586280902488947</v>
      </c>
      <c r="M2">
        <f>VLOOKUP(A2,[56]WRDS!$A$1:$O$100,8,FALSE)</f>
        <v>5</v>
      </c>
      <c r="N2">
        <f>VLOOKUP(A2,[56]WRDS!$A$1:$O$100,11,FALSE)</f>
        <v>3.32</v>
      </c>
      <c r="P2" t="s">
        <v>16</v>
      </c>
      <c r="Q2" s="3">
        <f>AVERAGE(H2:H999)</f>
        <v>4.3011337850378098E-2</v>
      </c>
    </row>
    <row r="3" spans="1:17" x14ac:dyDescent="0.3">
      <c r="A3" t="s">
        <v>17</v>
      </c>
      <c r="B3" t="str">
        <f>VLOOKUP(A3,[55]WRDS!$A$1:$N$100,2,FALSE)</f>
        <v>MPL</v>
      </c>
      <c r="C3" t="str">
        <f>VLOOKUP(A3,[55]WRDS!$A$1:$N$100,3,FALSE)</f>
        <v>ALLETE INC</v>
      </c>
      <c r="D3">
        <f>VLOOKUP(A3,[55]WRDS!$A$1:$N$100,13,FALSE)</f>
        <v>2.63</v>
      </c>
      <c r="E3">
        <f>VLOOKUP(A3,[39]WRDS!$A$1:$N$100,13,FALSE)</f>
        <v>2.04</v>
      </c>
      <c r="F3" s="1">
        <f t="shared" ref="F3:F56" si="3">D3*(1+I3)^4</f>
        <v>3.5057539158084143</v>
      </c>
      <c r="G3" s="1">
        <f t="shared" ref="G3:G56" si="4">D3*(1+J3)^4</f>
        <v>3.3707167589580811</v>
      </c>
      <c r="H3" s="2">
        <f t="shared" si="0"/>
        <v>-6.1533866689131966E-2</v>
      </c>
      <c r="I3" s="2">
        <f>VLOOKUP(A3,[56]WRDS!$A$1:$O$100,10,FALSE)/100</f>
        <v>7.4499999999999997E-2</v>
      </c>
      <c r="J3" s="2">
        <f>VLOOKUP(A3,[56]WRDS!$A$1:$O$100,9,FALSE)/100</f>
        <v>6.4000000000000001E-2</v>
      </c>
      <c r="K3" s="2">
        <f t="shared" si="1"/>
        <v>2.2107153996411881</v>
      </c>
      <c r="L3" s="2">
        <f t="shared" si="2"/>
        <v>2.0400776587521614</v>
      </c>
      <c r="M3">
        <f>VLOOKUP(A3,[56]WRDS!$A$1:$O$100,8,FALSE)</f>
        <v>4</v>
      </c>
      <c r="N3">
        <f>VLOOKUP(A3,[56]WRDS!$A$1:$O$100,11,FALSE)</f>
        <v>3.31</v>
      </c>
      <c r="P3" t="s">
        <v>18</v>
      </c>
      <c r="Q3" s="3">
        <f>AVERAGE(I2:I999)</f>
        <v>5.342363636363634E-2</v>
      </c>
    </row>
    <row r="4" spans="1:17" x14ac:dyDescent="0.3">
      <c r="A4" t="s">
        <v>63</v>
      </c>
      <c r="B4" t="str">
        <f>VLOOKUP(A4,[55]WRDS!$A$1:$N$100,2,FALSE)</f>
        <v>WWP</v>
      </c>
      <c r="C4" t="str">
        <f>VLOOKUP(A4,[55]WRDS!$A$1:$N$100,3,FALSE)</f>
        <v>AVISTA CORP</v>
      </c>
      <c r="D4">
        <f>VLOOKUP(A4,[55]WRDS!$A$1:$N$100,13,FALSE)</f>
        <v>0.92</v>
      </c>
      <c r="E4">
        <f>VLOOKUP(A4,[39]WRDS!$A$1:$N$100,13,FALSE)</f>
        <v>1.58</v>
      </c>
      <c r="F4" s="1">
        <f t="shared" si="3"/>
        <v>1.139718678575</v>
      </c>
      <c r="G4" s="1">
        <f t="shared" si="4"/>
        <v>1.139718678575</v>
      </c>
      <c r="H4" s="2">
        <f t="shared" si="0"/>
        <v>0.14476756224748377</v>
      </c>
      <c r="I4" s="2">
        <f>VLOOKUP(A4,[56]WRDS!$A$1:$O$100,10,FALSE)/100</f>
        <v>5.5E-2</v>
      </c>
      <c r="J4" s="2">
        <f>VLOOKUP(A4,[56]WRDS!$A$1:$O$100,9,FALSE)/100</f>
        <v>5.5E-2</v>
      </c>
      <c r="K4" s="2">
        <f t="shared" si="1"/>
        <v>-0.62008063722192053</v>
      </c>
      <c r="L4" s="2">
        <f t="shared" si="2"/>
        <v>-0.62008063722192053</v>
      </c>
      <c r="M4">
        <f>VLOOKUP(A4,[56]WRDS!$A$1:$O$100,8,FALSE)</f>
        <v>2</v>
      </c>
      <c r="N4">
        <f>VLOOKUP(A4,[56]WRDS!$A$1:$O$100,11,FALSE)</f>
        <v>0.71</v>
      </c>
      <c r="P4" t="s">
        <v>20</v>
      </c>
      <c r="Q4" s="3">
        <f>(Q3-Q2)/ABS(Q2)</f>
        <v>0.242082646893689</v>
      </c>
    </row>
    <row r="5" spans="1:17" x14ac:dyDescent="0.3">
      <c r="A5" t="s">
        <v>19</v>
      </c>
      <c r="B5" t="str">
        <f>VLOOKUP(A5,[55]WRDS!$A$1:$N$100,2,FALSE)</f>
        <v>BHP</v>
      </c>
      <c r="C5" t="str">
        <f>VLOOKUP(A5,[55]WRDS!$A$1:$N$100,3,FALSE)</f>
        <v>BLACK HILLS CP</v>
      </c>
      <c r="D5">
        <f>VLOOKUP(A5,[55]WRDS!$A$1:$N$100,13,FALSE)</f>
        <v>2.27</v>
      </c>
      <c r="E5">
        <f>VLOOKUP(A5,[39]WRDS!$A$1:$N$100,13,FALSE)</f>
        <v>2.04</v>
      </c>
      <c r="F5" s="1">
        <f t="shared" si="3"/>
        <v>2.8658226992000007</v>
      </c>
      <c r="G5" s="1">
        <f t="shared" si="4"/>
        <v>2.8658226992000007</v>
      </c>
      <c r="H5" s="2">
        <f t="shared" si="0"/>
        <v>-2.6354014423451311E-2</v>
      </c>
      <c r="I5" s="2">
        <f>VLOOKUP(A5,[56]WRDS!$A$1:$O$100,10,FALSE)/100</f>
        <v>0.06</v>
      </c>
      <c r="J5" s="2">
        <f>VLOOKUP(A5,[56]WRDS!$A$1:$O$100,9,FALSE)/100</f>
        <v>0.06</v>
      </c>
      <c r="K5" s="2">
        <f t="shared" si="1"/>
        <v>3.2766929939375218</v>
      </c>
      <c r="L5" s="2">
        <f t="shared" si="2"/>
        <v>3.2766929939375218</v>
      </c>
      <c r="M5">
        <f>VLOOKUP(A5,[56]WRDS!$A$1:$O$100,8,FALSE)</f>
        <v>1</v>
      </c>
      <c r="N5">
        <f>VLOOKUP(A5,[56]WRDS!$A$1:$O$100,11,FALSE)</f>
        <v>0</v>
      </c>
      <c r="P5" t="s">
        <v>22</v>
      </c>
      <c r="Q5" s="3">
        <f>AVERAGE(J2:J999)</f>
        <v>5.0947272727272716E-2</v>
      </c>
    </row>
    <row r="6" spans="1:17" x14ac:dyDescent="0.3">
      <c r="A6" t="s">
        <v>83</v>
      </c>
      <c r="B6" t="str">
        <f>VLOOKUP(A6,[55]WRDS!$A$1:$N$100,2,FALSE)</f>
        <v>BGE</v>
      </c>
      <c r="C6" t="str">
        <f>VLOOKUP(A6,[55]WRDS!$A$1:$N$100,3,FALSE)</f>
        <v>CONSTELLATION EN</v>
      </c>
      <c r="D6">
        <f>VLOOKUP(A6,[55]WRDS!$A$1:$N$100,13,FALSE)</f>
        <v>3.62</v>
      </c>
      <c r="E6">
        <f>VLOOKUP(A6,[39]WRDS!$A$1:$N$100,13,FALSE)</f>
        <v>3.36</v>
      </c>
      <c r="F6" s="1">
        <f t="shared" si="3"/>
        <v>5.5810651547315979</v>
      </c>
      <c r="G6" s="1">
        <f t="shared" si="4"/>
        <v>5.6961400832000013</v>
      </c>
      <c r="H6" s="2">
        <f t="shared" si="0"/>
        <v>-1.8460736957269241E-2</v>
      </c>
      <c r="I6" s="2">
        <f>VLOOKUP(A6,[56]WRDS!$A$1:$O$100,10,FALSE)/100</f>
        <v>0.1143</v>
      </c>
      <c r="J6" s="2">
        <f>VLOOKUP(A6,[56]WRDS!$A$1:$O$100,9,FALSE)/100</f>
        <v>0.12</v>
      </c>
      <c r="K6" s="2">
        <f t="shared" si="1"/>
        <v>7.1915188036408466</v>
      </c>
      <c r="L6" s="2">
        <f t="shared" si="2"/>
        <v>7.5002822085468193</v>
      </c>
      <c r="M6">
        <f>VLOOKUP(A6,[56]WRDS!$A$1:$O$100,8,FALSE)</f>
        <v>7</v>
      </c>
      <c r="N6">
        <f>VLOOKUP(A6,[56]WRDS!$A$1:$O$100,11,FALSE)</f>
        <v>2.7</v>
      </c>
      <c r="P6" t="s">
        <v>24</v>
      </c>
      <c r="Q6" s="3">
        <f>(Q5-Q2)/ABS(Q2)</f>
        <v>0.18450797565286278</v>
      </c>
    </row>
    <row r="7" spans="1:17" x14ac:dyDescent="0.3">
      <c r="A7" t="s">
        <v>88</v>
      </c>
      <c r="B7" t="str">
        <f>VLOOKUP(A7,[55]WRDS!$A$1:$N$100,2,FALSE)</f>
        <v>CIN</v>
      </c>
      <c r="C7" t="str">
        <f>VLOOKUP(A7,[55]WRDS!$A$1:$N$100,3,FALSE)</f>
        <v>CINERGY CORP</v>
      </c>
      <c r="D7">
        <f>VLOOKUP(A7,[55]WRDS!$A$1:$N$100,13,FALSE)</f>
        <v>2.81</v>
      </c>
      <c r="E7">
        <f>VLOOKUP(A7,[39]WRDS!$A$1:$N$100,13,FALSE)</f>
        <v>28.267399999999999</v>
      </c>
      <c r="F7" s="1">
        <f t="shared" si="3"/>
        <v>3.3896234107289613</v>
      </c>
      <c r="G7" s="1">
        <f t="shared" si="4"/>
        <v>3.4155725625</v>
      </c>
      <c r="H7" s="2">
        <f t="shared" si="0"/>
        <v>0.78092194787761127</v>
      </c>
      <c r="I7" s="2">
        <f>VLOOKUP(A7,[56]WRDS!$A$1:$O$100,10,FALSE)/100</f>
        <v>4.8000000000000001E-2</v>
      </c>
      <c r="J7" s="2">
        <f>VLOOKUP(A7,[56]WRDS!$A$1:$O$100,9,FALSE)/100</f>
        <v>0.05</v>
      </c>
      <c r="K7" s="2">
        <f t="shared" si="1"/>
        <v>-0.93853419009357542</v>
      </c>
      <c r="L7" s="2">
        <f t="shared" si="2"/>
        <v>-0.93597311468080779</v>
      </c>
      <c r="M7">
        <f>VLOOKUP(A7,[56]WRDS!$A$1:$O$100,8,FALSE)</f>
        <v>5</v>
      </c>
      <c r="N7">
        <f>VLOOKUP(A7,[56]WRDS!$A$1:$O$100,11,FALSE)</f>
        <v>0.45</v>
      </c>
      <c r="P7" s="111" t="s">
        <v>26</v>
      </c>
      <c r="Q7" s="111"/>
    </row>
    <row r="8" spans="1:17" x14ac:dyDescent="0.3">
      <c r="A8" t="s">
        <v>21</v>
      </c>
      <c r="B8" t="str">
        <f>VLOOKUP(A8,[55]WRDS!$A$1:$N$100,2,FALSE)</f>
        <v>CMS</v>
      </c>
      <c r="C8" t="str">
        <f>VLOOKUP(A8,[55]WRDS!$A$1:$N$100,3,FALSE)</f>
        <v>CMS ENERGY CORP</v>
      </c>
      <c r="D8">
        <f>VLOOKUP(A8,[55]WRDS!$A$1:$N$100,13,FALSE)</f>
        <v>0.96</v>
      </c>
      <c r="E8">
        <f>VLOOKUP(A8,[39]WRDS!$A$1:$N$100,13,FALSE)</f>
        <v>1.26</v>
      </c>
      <c r="F8" s="1">
        <f t="shared" si="3"/>
        <v>1.2739598777231538</v>
      </c>
      <c r="G8" s="1">
        <f t="shared" si="4"/>
        <v>1.2350076965999996</v>
      </c>
      <c r="H8" s="2">
        <f t="shared" si="0"/>
        <v>7.0347571464036251E-2</v>
      </c>
      <c r="I8" s="2">
        <f>VLOOKUP(A8,[56]WRDS!$A$1:$O$100,10,FALSE)/100</f>
        <v>7.3300000000000004E-2</v>
      </c>
      <c r="J8" s="2">
        <f>VLOOKUP(A8,[56]WRDS!$A$1:$O$100,9,FALSE)/100</f>
        <v>6.5000000000000002E-2</v>
      </c>
      <c r="K8" s="2">
        <f t="shared" si="1"/>
        <v>4.1969160761620904E-2</v>
      </c>
      <c r="L8" s="2">
        <f t="shared" si="2"/>
        <v>-7.6016433158180671E-2</v>
      </c>
      <c r="M8">
        <f>VLOOKUP(A8,[56]WRDS!$A$1:$O$100,8,FALSE)</f>
        <v>6</v>
      </c>
      <c r="N8">
        <f>VLOOKUP(A8,[56]WRDS!$A$1:$O$100,11,FALSE)</f>
        <v>3.56</v>
      </c>
      <c r="P8" t="s">
        <v>28</v>
      </c>
      <c r="Q8" s="2">
        <f>MEDIAN(H2:H99)</f>
        <v>4.9817416359329902E-2</v>
      </c>
    </row>
    <row r="9" spans="1:17" x14ac:dyDescent="0.3">
      <c r="A9" t="s">
        <v>71</v>
      </c>
      <c r="B9" t="str">
        <f>VLOOKUP(A9,[55]WRDS!$A$1:$N$100,2,FALSE)</f>
        <v>CNL</v>
      </c>
      <c r="C9" t="str">
        <f>VLOOKUP(A9,[55]WRDS!$A$1:$N$100,3,FALSE)</f>
        <v>CLECO CORP</v>
      </c>
      <c r="D9">
        <f>VLOOKUP(A9,[55]WRDS!$A$1:$N$100,13,FALSE)</f>
        <v>1.43</v>
      </c>
      <c r="E9">
        <f>VLOOKUP(A9,[39]WRDS!$A$1:$N$100,13,FALSE)</f>
        <v>1.73</v>
      </c>
      <c r="F9" s="1">
        <f t="shared" si="3"/>
        <v>1.7368499928299546</v>
      </c>
      <c r="G9" s="1">
        <f t="shared" si="4"/>
        <v>1.7335434400707848</v>
      </c>
      <c r="H9" s="2">
        <f t="shared" si="0"/>
        <v>4.8763384505781326E-2</v>
      </c>
      <c r="I9" s="2">
        <f>VLOOKUP(A9,[56]WRDS!$A$1:$O$100,10,FALSE)/100</f>
        <v>4.9800000000000004E-2</v>
      </c>
      <c r="J9" s="2">
        <f>VLOOKUP(A9,[56]WRDS!$A$1:$O$100,9,FALSE)/100</f>
        <v>4.9299999999999997E-2</v>
      </c>
      <c r="K9" s="2">
        <f t="shared" si="1"/>
        <v>2.1258071086016961E-2</v>
      </c>
      <c r="L9" s="2">
        <f t="shared" si="2"/>
        <v>1.1004475994791742E-2</v>
      </c>
      <c r="M9">
        <f>VLOOKUP(A9,[56]WRDS!$A$1:$O$100,8,FALSE)</f>
        <v>3</v>
      </c>
      <c r="N9">
        <f>VLOOKUP(A9,[56]WRDS!$A$1:$O$100,11,FALSE)</f>
        <v>1</v>
      </c>
      <c r="P9" t="s">
        <v>30</v>
      </c>
      <c r="Q9" s="2">
        <f>MEDIAN(I2:I100)</f>
        <v>4.8000000000000001E-2</v>
      </c>
    </row>
    <row r="10" spans="1:17" x14ac:dyDescent="0.3">
      <c r="A10" t="s">
        <v>23</v>
      </c>
      <c r="B10" t="str">
        <f>VLOOKUP(A10,[55]WRDS!$A$1:$N$100,2,FALSE)</f>
        <v>HOU</v>
      </c>
      <c r="C10" t="str">
        <f>VLOOKUP(A10,[55]WRDS!$A$1:$N$100,3,FALSE)</f>
        <v>CENTERPOINT ENER</v>
      </c>
      <c r="D10">
        <f>VLOOKUP(A10,[55]WRDS!$A$1:$N$100,13,FALSE)</f>
        <v>0.67</v>
      </c>
      <c r="E10">
        <f>VLOOKUP(A10,[39]WRDS!$A$1:$N$100,13,FALSE)</f>
        <v>1.01</v>
      </c>
      <c r="F10" s="1">
        <f t="shared" si="3"/>
        <v>1.0542579712000002</v>
      </c>
      <c r="G10" s="1">
        <f t="shared" si="4"/>
        <v>1.1718341874999998</v>
      </c>
      <c r="H10" s="2">
        <f t="shared" si="0"/>
        <v>0.10805582913602185</v>
      </c>
      <c r="I10" s="2">
        <f>VLOOKUP(A10,[56]WRDS!$A$1:$O$100,10,FALSE)/100</f>
        <v>0.12</v>
      </c>
      <c r="J10" s="2">
        <f>VLOOKUP(A10,[56]WRDS!$A$1:$O$100,9,FALSE)/100</f>
        <v>0.15</v>
      </c>
      <c r="K10" s="2">
        <f t="shared" si="1"/>
        <v>0.11053703404508322</v>
      </c>
      <c r="L10" s="2">
        <f t="shared" si="2"/>
        <v>0.38817129255635402</v>
      </c>
      <c r="M10">
        <f>VLOOKUP(A10,[56]WRDS!$A$1:$O$100,8,FALSE)</f>
        <v>3</v>
      </c>
      <c r="N10">
        <f>VLOOKUP(A10,[56]WRDS!$A$1:$O$100,11,FALSE)</f>
        <v>7.94</v>
      </c>
      <c r="P10" t="s">
        <v>32</v>
      </c>
      <c r="Q10" s="2">
        <f>(Q9-Q8)/ABS(Q8)</f>
        <v>-3.6481545855790498E-2</v>
      </c>
    </row>
    <row r="11" spans="1:17" x14ac:dyDescent="0.3">
      <c r="A11" t="s">
        <v>25</v>
      </c>
      <c r="B11" t="str">
        <f>VLOOKUP(A11,[55]WRDS!$A$1:$N$100,2,FALSE)</f>
        <v>D</v>
      </c>
      <c r="C11" t="str">
        <f>VLOOKUP(A11,[55]WRDS!$A$1:$N$100,3,FALSE)</f>
        <v>DOMINION RES INC</v>
      </c>
      <c r="D11">
        <f>VLOOKUP(A11,[55]WRDS!$A$1:$N$100,13,FALSE)</f>
        <v>2.2650000000000001</v>
      </c>
      <c r="E11">
        <f>VLOOKUP(A11,[39]WRDS!$A$1:$N$100,13,FALSE)</f>
        <v>3.27</v>
      </c>
      <c r="F11" s="1">
        <f t="shared" si="3"/>
        <v>3.1274137061030403</v>
      </c>
      <c r="G11" s="1">
        <f t="shared" si="4"/>
        <v>2.7531216562500003</v>
      </c>
      <c r="H11" s="2">
        <f t="shared" si="0"/>
        <v>9.6149743521213082E-2</v>
      </c>
      <c r="I11" s="2">
        <f>VLOOKUP(A11,[56]WRDS!$A$1:$O$100,10,FALSE)/100</f>
        <v>8.4000000000000005E-2</v>
      </c>
      <c r="J11" s="2">
        <f>VLOOKUP(A11,[56]WRDS!$A$1:$O$100,9,FALSE)/100</f>
        <v>0.05</v>
      </c>
      <c r="K11" s="2">
        <f t="shared" si="1"/>
        <v>-0.12636272418690889</v>
      </c>
      <c r="L11" s="2">
        <f t="shared" si="2"/>
        <v>-0.47997781201601719</v>
      </c>
      <c r="M11">
        <f>VLOOKUP(A11,[56]WRDS!$A$1:$O$100,8,FALSE)</f>
        <v>5</v>
      </c>
      <c r="N11">
        <f>VLOOKUP(A11,[56]WRDS!$A$1:$O$100,11,FALSE)</f>
        <v>4.7699999999999996</v>
      </c>
      <c r="P11" t="s">
        <v>34</v>
      </c>
      <c r="Q11" s="2">
        <f>MEDIAN(J2:J99)</f>
        <v>0.05</v>
      </c>
    </row>
    <row r="12" spans="1:17" x14ac:dyDescent="0.3">
      <c r="A12" t="s">
        <v>86</v>
      </c>
      <c r="B12" t="str">
        <f>VLOOKUP(A12,[55]WRDS!$A$1:$N$100,2,FALSE)</f>
        <v>DPL</v>
      </c>
      <c r="C12" t="str">
        <f>VLOOKUP(A12,[55]WRDS!$A$1:$N$100,3,FALSE)</f>
        <v>DPL INC</v>
      </c>
      <c r="D12">
        <f>VLOOKUP(A12,[55]WRDS!$A$1:$N$100,13,FALSE)</f>
        <v>1.1499999999999999</v>
      </c>
      <c r="E12">
        <f>VLOOKUP(A12,[39]WRDS!$A$1:$N$100,13,FALSE)</f>
        <v>2.0099999999999998</v>
      </c>
      <c r="F12" s="1">
        <f t="shared" si="3"/>
        <v>1.3803421095131705</v>
      </c>
      <c r="G12" s="1">
        <f t="shared" si="4"/>
        <v>1.3978321874999999</v>
      </c>
      <c r="H12" s="2">
        <f t="shared" si="0"/>
        <v>0.14980595680372533</v>
      </c>
      <c r="I12" s="2">
        <f>VLOOKUP(A12,[56]WRDS!$A$1:$O$100,10,FALSE)/100</f>
        <v>4.6699999999999998E-2</v>
      </c>
      <c r="J12" s="2">
        <f>VLOOKUP(A12,[56]WRDS!$A$1:$O$100,9,FALSE)/100</f>
        <v>0.05</v>
      </c>
      <c r="K12" s="2">
        <f t="shared" si="1"/>
        <v>-0.68826339755510524</v>
      </c>
      <c r="L12" s="2">
        <f t="shared" si="2"/>
        <v>-0.66623490102259664</v>
      </c>
      <c r="M12">
        <f>VLOOKUP(A12,[56]WRDS!$A$1:$O$100,8,FALSE)</f>
        <v>3</v>
      </c>
      <c r="N12">
        <f>VLOOKUP(A12,[56]WRDS!$A$1:$O$100,11,FALSE)</f>
        <v>0.57999999999999996</v>
      </c>
      <c r="P12" t="s">
        <v>32</v>
      </c>
      <c r="Q12" s="2">
        <f>(Q11-Q8)/ABS(Q8)</f>
        <v>3.665056400218269E-3</v>
      </c>
    </row>
    <row r="13" spans="1:17" x14ac:dyDescent="0.3">
      <c r="A13" t="s">
        <v>27</v>
      </c>
      <c r="B13" t="str">
        <f>VLOOKUP(A13,[55]WRDS!$A$1:$N$100,2,FALSE)</f>
        <v>DTE</v>
      </c>
      <c r="C13" t="str">
        <f>VLOOKUP(A13,[55]WRDS!$A$1:$N$100,3,FALSE)</f>
        <v>DTE ENERGY</v>
      </c>
      <c r="D13">
        <f>VLOOKUP(A13,[55]WRDS!$A$1:$N$100,13,FALSE)</f>
        <v>3.27</v>
      </c>
      <c r="E13">
        <f>VLOOKUP(A13,[39]WRDS!$A$1:$N$100,13,FALSE)</f>
        <v>3.3</v>
      </c>
      <c r="F13" s="1">
        <f t="shared" si="3"/>
        <v>3.8742227067448738</v>
      </c>
      <c r="G13" s="1">
        <f t="shared" si="4"/>
        <v>3.8254374912000007</v>
      </c>
      <c r="H13" s="2">
        <f t="shared" si="0"/>
        <v>2.2857291959668125E-3</v>
      </c>
      <c r="I13" s="2">
        <f>VLOOKUP(A13,[56]WRDS!$A$1:$O$100,10,FALSE)/100</f>
        <v>4.3299999999999998E-2</v>
      </c>
      <c r="J13" s="2">
        <f>VLOOKUP(A13,[56]WRDS!$A$1:$O$100,9,FALSE)/100</f>
        <v>0.04</v>
      </c>
      <c r="K13" s="2">
        <f t="shared" si="1"/>
        <v>17.943626426263968</v>
      </c>
      <c r="L13" s="2">
        <f t="shared" si="2"/>
        <v>16.499885844123757</v>
      </c>
      <c r="M13">
        <f>VLOOKUP(A13,[56]WRDS!$A$1:$O$100,8,FALSE)</f>
        <v>3</v>
      </c>
      <c r="N13">
        <f>VLOOKUP(A13,[56]WRDS!$A$1:$O$100,11,FALSE)</f>
        <v>0.57999999999999996</v>
      </c>
      <c r="P13" s="111" t="s">
        <v>37</v>
      </c>
      <c r="Q13" s="111"/>
    </row>
    <row r="14" spans="1:17" x14ac:dyDescent="0.3">
      <c r="A14" t="s">
        <v>29</v>
      </c>
      <c r="B14" t="str">
        <f>VLOOKUP(A14,[55]WRDS!$A$1:$N$100,2,FALSE)</f>
        <v>DUK</v>
      </c>
      <c r="C14" t="str">
        <f>VLOOKUP(A14,[55]WRDS!$A$1:$N$100,3,FALSE)</f>
        <v>DUKE ENERGY CORP</v>
      </c>
      <c r="D14">
        <f>VLOOKUP(A14,[55]WRDS!$A$1:$N$100,13,FALSE)</f>
        <v>5.19</v>
      </c>
      <c r="E14">
        <f>VLOOKUP(A14,[39]WRDS!$A$1:$N$100,13,FALSE)</f>
        <v>3.66</v>
      </c>
      <c r="F14" s="1">
        <f t="shared" si="3"/>
        <v>6.3760375040327038</v>
      </c>
      <c r="G14" s="1">
        <f t="shared" si="4"/>
        <v>6.3084774375000006</v>
      </c>
      <c r="H14" s="2">
        <f t="shared" si="0"/>
        <v>-8.361402909534299E-2</v>
      </c>
      <c r="I14" s="2">
        <f>VLOOKUP(A14,[56]WRDS!$A$1:$O$100,10,FALSE)/100</f>
        <v>5.28E-2</v>
      </c>
      <c r="J14" s="2">
        <f>VLOOKUP(A14,[56]WRDS!$A$1:$O$100,9,FALSE)/100</f>
        <v>0.05</v>
      </c>
      <c r="K14" s="2">
        <f t="shared" si="1"/>
        <v>1.6314729785332254</v>
      </c>
      <c r="L14" s="2">
        <f t="shared" si="2"/>
        <v>1.5979857751261601</v>
      </c>
      <c r="M14">
        <f>VLOOKUP(A14,[56]WRDS!$A$1:$O$100,8,FALSE)</f>
        <v>12</v>
      </c>
      <c r="N14">
        <f>VLOOKUP(A14,[56]WRDS!$A$1:$O$100,11,FALSE)</f>
        <v>2.3199999999999998</v>
      </c>
      <c r="P14" t="s">
        <v>39</v>
      </c>
      <c r="Q14" s="1">
        <f>AVERAGE(M2:M1002)</f>
        <v>4.6363636363636367</v>
      </c>
    </row>
    <row r="15" spans="1:17" x14ac:dyDescent="0.3">
      <c r="A15" t="s">
        <v>31</v>
      </c>
      <c r="B15" t="str">
        <f>VLOOKUP(A15,[55]WRDS!$A$1:$N$100,2,FALSE)</f>
        <v>ED</v>
      </c>
      <c r="C15" t="str">
        <f>VLOOKUP(A15,[55]WRDS!$A$1:$N$100,3,FALSE)</f>
        <v>CONSOLIDATED EDI</v>
      </c>
      <c r="D15">
        <f>VLOOKUP(A15,[55]WRDS!$A$1:$N$100,13,FALSE)</f>
        <v>3</v>
      </c>
      <c r="E15">
        <f>VLOOKUP(A15,[39]WRDS!$A$1:$N$100,13,FALSE)</f>
        <v>3.07</v>
      </c>
      <c r="F15" s="1">
        <f t="shared" si="3"/>
        <v>3.4186830972150517</v>
      </c>
      <c r="G15" s="1">
        <f t="shared" si="4"/>
        <v>3.3765264299999997</v>
      </c>
      <c r="H15" s="2">
        <f t="shared" si="0"/>
        <v>5.7829754472720207E-3</v>
      </c>
      <c r="I15" s="2">
        <f>VLOOKUP(A15,[56]WRDS!$A$1:$O$100,10,FALSE)/100</f>
        <v>3.32E-2</v>
      </c>
      <c r="J15" s="2">
        <f>VLOOKUP(A15,[56]WRDS!$A$1:$O$100,9,FALSE)/100</f>
        <v>0.03</v>
      </c>
      <c r="K15" s="2">
        <f t="shared" si="1"/>
        <v>4.7409892714763817</v>
      </c>
      <c r="L15" s="2">
        <f t="shared" si="2"/>
        <v>4.1876409079605859</v>
      </c>
      <c r="M15">
        <f>VLOOKUP(A15,[56]WRDS!$A$1:$O$100,8,FALSE)</f>
        <v>7</v>
      </c>
      <c r="N15">
        <f>VLOOKUP(A15,[56]WRDS!$A$1:$O$100,11,FALSE)</f>
        <v>1.47</v>
      </c>
      <c r="P15" t="s">
        <v>41</v>
      </c>
      <c r="Q15" s="1">
        <f>COUNT(N2:N1002)</f>
        <v>55</v>
      </c>
    </row>
    <row r="16" spans="1:17" x14ac:dyDescent="0.3">
      <c r="A16" t="s">
        <v>72</v>
      </c>
      <c r="B16" t="str">
        <f>VLOOKUP(A16,[55]WRDS!$A$1:$N$100,2,FALSE)</f>
        <v>EDE</v>
      </c>
      <c r="C16" t="str">
        <f>VLOOKUP(A16,[55]WRDS!$A$1:$N$100,3,FALSE)</f>
        <v>EMPIRE DIST ELEC</v>
      </c>
      <c r="D16">
        <f>VLOOKUP(A16,[55]WRDS!$A$1:$N$100,13,FALSE)</f>
        <v>0.92</v>
      </c>
      <c r="E16">
        <f>VLOOKUP(A16,[39]WRDS!$A$1:$N$100,13,FALSE)</f>
        <v>1.18</v>
      </c>
      <c r="F16" s="1">
        <f t="shared" si="3"/>
        <v>0.99583758720000004</v>
      </c>
      <c r="G16" s="1">
        <f t="shared" si="4"/>
        <v>0.99583758720000004</v>
      </c>
      <c r="H16" s="2">
        <f t="shared" si="0"/>
        <v>6.4200711603134453E-2</v>
      </c>
      <c r="I16" s="2">
        <f>VLOOKUP(A16,[56]WRDS!$A$1:$O$100,10,FALSE)/100</f>
        <v>0.02</v>
      </c>
      <c r="J16" s="2">
        <f>VLOOKUP(A16,[56]WRDS!$A$1:$O$100,9,FALSE)/100</f>
        <v>0.02</v>
      </c>
      <c r="K16" s="2">
        <f t="shared" si="1"/>
        <v>-0.68847697322059664</v>
      </c>
      <c r="L16" s="2">
        <f t="shared" si="2"/>
        <v>-0.68847697322059664</v>
      </c>
      <c r="M16">
        <f>VLOOKUP(A16,[56]WRDS!$A$1:$O$100,8,FALSE)</f>
        <v>2</v>
      </c>
      <c r="N16">
        <f>VLOOKUP(A16,[56]WRDS!$A$1:$O$100,11,FALSE)</f>
        <v>1.41</v>
      </c>
    </row>
    <row r="17" spans="1:14" x14ac:dyDescent="0.3">
      <c r="A17" t="s">
        <v>33</v>
      </c>
      <c r="B17" t="str">
        <f>VLOOKUP(A17,[55]WRDS!$A$1:$N$100,2,FALSE)</f>
        <v>SCE</v>
      </c>
      <c r="C17" t="str">
        <f>VLOOKUP(A17,[55]WRDS!$A$1:$N$100,3,FALSE)</f>
        <v>EDISON INTL</v>
      </c>
      <c r="D17">
        <f>VLOOKUP(A17,[55]WRDS!$A$1:$N$100,13,FALSE)</f>
        <v>3.13</v>
      </c>
      <c r="E17">
        <f>VLOOKUP(A17,[39]WRDS!$A$1:$N$100,13,FALSE)</f>
        <v>3.25</v>
      </c>
      <c r="F17" s="1">
        <f t="shared" si="3"/>
        <v>4.1412699492785157</v>
      </c>
      <c r="G17" s="1">
        <f t="shared" si="4"/>
        <v>4.1027915112999995</v>
      </c>
      <c r="H17" s="2">
        <f t="shared" si="0"/>
        <v>9.4498686436115253E-3</v>
      </c>
      <c r="I17" s="2">
        <f>VLOOKUP(A17,[56]WRDS!$A$1:$O$100,10,FALSE)/100</f>
        <v>7.2499999999999995E-2</v>
      </c>
      <c r="J17" s="2">
        <f>VLOOKUP(A17,[56]WRDS!$A$1:$O$100,9,FALSE)/100</f>
        <v>7.0000000000000007E-2</v>
      </c>
      <c r="K17" s="2">
        <f t="shared" si="1"/>
        <v>6.6720643147788916</v>
      </c>
      <c r="L17" s="2">
        <f t="shared" si="2"/>
        <v>6.4075103728899663</v>
      </c>
      <c r="M17">
        <f>VLOOKUP(A17,[56]WRDS!$A$1:$O$100,8,FALSE)</f>
        <v>4</v>
      </c>
      <c r="N17">
        <f>VLOOKUP(A17,[56]WRDS!$A$1:$O$100,11,FALSE)</f>
        <v>1.26</v>
      </c>
    </row>
    <row r="18" spans="1:14" x14ac:dyDescent="0.3">
      <c r="A18" t="s">
        <v>59</v>
      </c>
      <c r="B18" t="str">
        <f>VLOOKUP(A18,[55]WRDS!$A$1:$N$100,2,FALSE)</f>
        <v>MSU</v>
      </c>
      <c r="C18" t="str">
        <f>VLOOKUP(A18,[55]WRDS!$A$1:$N$100,3,FALSE)</f>
        <v>ENTERGY CP</v>
      </c>
      <c r="D18">
        <f>VLOOKUP(A18,[55]WRDS!$A$1:$N$100,13,FALSE)</f>
        <v>4.3600000000000003</v>
      </c>
      <c r="E18">
        <f>VLOOKUP(A18,[39]WRDS!$A$1:$N$100,13,FALSE)</f>
        <v>6.67</v>
      </c>
      <c r="F18" s="1">
        <f t="shared" si="3"/>
        <v>5.9317318656000015</v>
      </c>
      <c r="G18" s="1">
        <f t="shared" si="4"/>
        <v>5.7150706036000001</v>
      </c>
      <c r="H18" s="2">
        <f t="shared" si="0"/>
        <v>0.11214096028585008</v>
      </c>
      <c r="I18" s="2">
        <f>VLOOKUP(A18,[56]WRDS!$A$1:$O$100,10,FALSE)/100</f>
        <v>0.08</v>
      </c>
      <c r="J18" s="2">
        <f>VLOOKUP(A18,[56]WRDS!$A$1:$O$100,9,FALSE)/100</f>
        <v>7.0000000000000007E-2</v>
      </c>
      <c r="K18" s="2">
        <f t="shared" si="1"/>
        <v>-0.28661213711673211</v>
      </c>
      <c r="L18" s="2">
        <f t="shared" si="2"/>
        <v>-0.37578561997714055</v>
      </c>
      <c r="M18">
        <f>VLOOKUP(A18,[56]WRDS!$A$1:$O$100,8,FALSE)</f>
        <v>7</v>
      </c>
      <c r="N18">
        <f>VLOOKUP(A18,[56]WRDS!$A$1:$O$100,11,FALSE)</f>
        <v>3.42</v>
      </c>
    </row>
    <row r="19" spans="1:14" x14ac:dyDescent="0.3">
      <c r="A19" t="s">
        <v>35</v>
      </c>
      <c r="B19" t="str">
        <f>VLOOKUP(A19,[55]WRDS!$A$1:$N$100,2,FALSE)</f>
        <v>PE</v>
      </c>
      <c r="C19" t="str">
        <f>VLOOKUP(A19,[55]WRDS!$A$1:$N$100,3,FALSE)</f>
        <v>EXELON CORP</v>
      </c>
      <c r="D19">
        <f>VLOOKUP(A19,[55]WRDS!$A$1:$N$100,13,FALSE)</f>
        <v>3.09</v>
      </c>
      <c r="E19">
        <f>VLOOKUP(A19,[39]WRDS!$A$1:$N$100,13,FALSE)</f>
        <v>4.12</v>
      </c>
      <c r="F19" s="1">
        <f t="shared" si="3"/>
        <v>4.1527647708544642</v>
      </c>
      <c r="G19" s="1">
        <f t="shared" si="4"/>
        <v>3.9010538064000007</v>
      </c>
      <c r="H19" s="2">
        <f t="shared" si="0"/>
        <v>7.4569931823541991E-2</v>
      </c>
      <c r="I19" s="2">
        <f>VLOOKUP(A19,[56]WRDS!$A$1:$O$100,10,FALSE)/100</f>
        <v>7.6700000000000004E-2</v>
      </c>
      <c r="J19" s="2">
        <f>VLOOKUP(A19,[56]WRDS!$A$1:$O$100,9,FALSE)/100</f>
        <v>0.06</v>
      </c>
      <c r="K19" s="2">
        <f t="shared" si="1"/>
        <v>2.8564705966186009E-2</v>
      </c>
      <c r="L19" s="2">
        <f t="shared" si="2"/>
        <v>-0.19538614917899408</v>
      </c>
      <c r="M19">
        <f>VLOOKUP(A19,[56]WRDS!$A$1:$O$100,8,FALSE)</f>
        <v>9</v>
      </c>
      <c r="N19">
        <f>VLOOKUP(A19,[56]WRDS!$A$1:$O$100,11,FALSE)</f>
        <v>4.12</v>
      </c>
    </row>
    <row r="20" spans="1:14" x14ac:dyDescent="0.3">
      <c r="A20" t="s">
        <v>67</v>
      </c>
      <c r="B20" t="str">
        <f>VLOOKUP(A20,[55]WRDS!$A$1:$N$100,2,FALSE)</f>
        <v>OEC</v>
      </c>
      <c r="C20" t="str">
        <f>VLOOKUP(A20,[55]WRDS!$A$1:$N$100,3,FALSE)</f>
        <v>FIRSTENERGY CORP</v>
      </c>
      <c r="D20">
        <f>VLOOKUP(A20,[55]WRDS!$A$1:$N$100,13,FALSE)</f>
        <v>3</v>
      </c>
      <c r="E20">
        <f>VLOOKUP(A20,[39]WRDS!$A$1:$N$100,13,FALSE)</f>
        <v>3.77</v>
      </c>
      <c r="F20" s="1">
        <f t="shared" si="3"/>
        <v>3.6008924595995757</v>
      </c>
      <c r="G20" s="1">
        <f t="shared" si="4"/>
        <v>3.6465187500000003</v>
      </c>
      <c r="H20" s="2">
        <f t="shared" si="0"/>
        <v>5.8778280875344091E-2</v>
      </c>
      <c r="I20" s="2">
        <f>VLOOKUP(A20,[56]WRDS!$A$1:$O$100,10,FALSE)/100</f>
        <v>4.6699999999999998E-2</v>
      </c>
      <c r="J20" s="2">
        <f>VLOOKUP(A20,[56]WRDS!$A$1:$O$100,9,FALSE)/100</f>
        <v>0.05</v>
      </c>
      <c r="K20" s="2">
        <f t="shared" si="1"/>
        <v>-0.20548884205986717</v>
      </c>
      <c r="L20" s="2">
        <f t="shared" si="2"/>
        <v>-0.14934565531035021</v>
      </c>
      <c r="M20">
        <f>VLOOKUP(A20,[56]WRDS!$A$1:$O$100,8,FALSE)</f>
        <v>6</v>
      </c>
      <c r="N20">
        <f>VLOOKUP(A20,[56]WRDS!$A$1:$O$100,11,FALSE)</f>
        <v>0.82</v>
      </c>
    </row>
    <row r="21" spans="1:14" x14ac:dyDescent="0.3">
      <c r="A21" t="s">
        <v>89</v>
      </c>
      <c r="B21" t="str">
        <f>VLOOKUP(A21,[55]WRDS!$A$1:$N$100,2,FALSE)</f>
        <v>FPL</v>
      </c>
      <c r="C21" t="str">
        <f>VLOOKUP(A21,[55]WRDS!$A$1:$N$100,3,FALSE)</f>
        <v>FPL GROUP</v>
      </c>
      <c r="D21">
        <f>VLOOKUP(A21,[55]WRDS!$A$1:$N$100,13,FALSE)</f>
        <v>0.64500000000000002</v>
      </c>
      <c r="E21">
        <f>VLOOKUP(A21,[39]WRDS!$A$1:$N$100,13,FALSE)</f>
        <v>1.0125</v>
      </c>
      <c r="F21" s="1">
        <f t="shared" si="3"/>
        <v>0.82510589809834001</v>
      </c>
      <c r="G21" s="1">
        <f t="shared" si="4"/>
        <v>0.78699247313464504</v>
      </c>
      <c r="H21" s="2">
        <f t="shared" si="0"/>
        <v>0.11933176689346014</v>
      </c>
      <c r="I21" s="2">
        <f>VLOOKUP(A21,[56]WRDS!$A$1:$O$100,10,FALSE)/100</f>
        <v>6.3500000000000001E-2</v>
      </c>
      <c r="J21" s="2">
        <f>VLOOKUP(A21,[56]WRDS!$A$1:$O$100,9,FALSE)/100</f>
        <v>5.0999999999999997E-2</v>
      </c>
      <c r="K21" s="2">
        <f t="shared" si="1"/>
        <v>-0.46787010992057931</v>
      </c>
      <c r="L21" s="2">
        <f t="shared" si="2"/>
        <v>-0.57262008828267008</v>
      </c>
      <c r="M21">
        <f>VLOOKUP(A21,[56]WRDS!$A$1:$O$100,8,FALSE)</f>
        <v>8</v>
      </c>
      <c r="N21">
        <f>VLOOKUP(A21,[56]WRDS!$A$1:$O$100,11,FALSE)</f>
        <v>2.59</v>
      </c>
    </row>
    <row r="22" spans="1:14" x14ac:dyDescent="0.3">
      <c r="A22" t="s">
        <v>68</v>
      </c>
      <c r="B22" t="str">
        <f>VLOOKUP(A22,[55]WRDS!$A$1:$N$100,2,FALSE)</f>
        <v>KLT</v>
      </c>
      <c r="C22" t="str">
        <f>VLOOKUP(A22,[55]WRDS!$A$1:$N$100,3,FALSE)</f>
        <v>GREAT PLAINS</v>
      </c>
      <c r="D22">
        <f>VLOOKUP(A22,[55]WRDS!$A$1:$N$100,13,FALSE)</f>
        <v>2.23</v>
      </c>
      <c r="E22">
        <f>VLOOKUP(A22,[39]WRDS!$A$1:$N$100,13,FALSE)</f>
        <v>1.1299999999999999</v>
      </c>
      <c r="F22" s="1">
        <f t="shared" si="3"/>
        <v>2.5108595007416081</v>
      </c>
      <c r="G22" s="1">
        <f t="shared" si="4"/>
        <v>2.5128100615358635</v>
      </c>
      <c r="H22" s="2">
        <f t="shared" si="0"/>
        <v>-0.15628961430663724</v>
      </c>
      <c r="I22" s="2">
        <f>VLOOKUP(A22,[56]WRDS!$A$1:$O$100,10,FALSE)/100</f>
        <v>3.0099999999999998E-2</v>
      </c>
      <c r="J22" s="2">
        <f>VLOOKUP(A22,[56]WRDS!$A$1:$O$100,9,FALSE)/100</f>
        <v>3.0299999999999997E-2</v>
      </c>
      <c r="K22" s="2">
        <f t="shared" si="1"/>
        <v>1.1925911720592282</v>
      </c>
      <c r="L22" s="2">
        <f t="shared" si="2"/>
        <v>1.1938708476210835</v>
      </c>
      <c r="M22">
        <f>VLOOKUP(A22,[56]WRDS!$A$1:$O$100,8,FALSE)</f>
        <v>4</v>
      </c>
      <c r="N22">
        <f>VLOOKUP(A22,[56]WRDS!$A$1:$O$100,11,FALSE)</f>
        <v>0.82</v>
      </c>
    </row>
    <row r="23" spans="1:14" x14ac:dyDescent="0.3">
      <c r="A23" t="s">
        <v>36</v>
      </c>
      <c r="B23" t="str">
        <f>VLOOKUP(A23,[55]WRDS!$A$1:$N$100,2,FALSE)</f>
        <v>HE</v>
      </c>
      <c r="C23" t="str">
        <f>VLOOKUP(A23,[55]WRDS!$A$1:$N$100,3,FALSE)</f>
        <v>HAWAIIAN ELEC</v>
      </c>
      <c r="D23">
        <f>VLOOKUP(A23,[55]WRDS!$A$1:$N$100,13,FALSE)</f>
        <v>1.57</v>
      </c>
      <c r="E23">
        <f>VLOOKUP(A23,[39]WRDS!$A$1:$N$100,13,FALSE)</f>
        <v>1.1200000000000001</v>
      </c>
      <c r="F23" s="1">
        <f t="shared" si="3"/>
        <v>1.8686735122473979</v>
      </c>
      <c r="G23" s="1">
        <f t="shared" si="4"/>
        <v>1.8366779392000003</v>
      </c>
      <c r="H23" s="2">
        <f t="shared" si="0"/>
        <v>-8.097020267595989E-2</v>
      </c>
      <c r="I23" s="2">
        <f>VLOOKUP(A23,[56]WRDS!$A$1:$O$100,10,FALSE)/100</f>
        <v>4.4500000000000005E-2</v>
      </c>
      <c r="J23" s="2">
        <f>VLOOKUP(A23,[56]WRDS!$A$1:$O$100,9,FALSE)/100</f>
        <v>0.04</v>
      </c>
      <c r="K23" s="2">
        <f t="shared" si="1"/>
        <v>1.5495848908528433</v>
      </c>
      <c r="L23" s="2">
        <f t="shared" si="2"/>
        <v>1.494008890654241</v>
      </c>
      <c r="M23">
        <f>VLOOKUP(A23,[56]WRDS!$A$1:$O$100,8,FALSE)</f>
        <v>4</v>
      </c>
      <c r="N23">
        <f>VLOOKUP(A23,[56]WRDS!$A$1:$O$100,11,FALSE)</f>
        <v>2.19</v>
      </c>
    </row>
    <row r="24" spans="1:14" x14ac:dyDescent="0.3">
      <c r="A24" t="s">
        <v>38</v>
      </c>
      <c r="B24" t="str">
        <f>VLOOKUP(A24,[55]WRDS!$A$1:$N$100,2,FALSE)</f>
        <v>IDA</v>
      </c>
      <c r="C24" t="str">
        <f>VLOOKUP(A24,[55]WRDS!$A$1:$N$100,3,FALSE)</f>
        <v>IDACORP INC.</v>
      </c>
      <c r="D24">
        <f>VLOOKUP(A24,[55]WRDS!$A$1:$N$100,13,FALSE)</f>
        <v>1.62</v>
      </c>
      <c r="E24">
        <f>VLOOKUP(A24,[39]WRDS!$A$1:$N$100,13,FALSE)</f>
        <v>2.64</v>
      </c>
      <c r="F24" s="1">
        <f t="shared" si="3"/>
        <v>1.9193396895800294</v>
      </c>
      <c r="G24" s="1">
        <f t="shared" si="4"/>
        <v>1.9691201250000001</v>
      </c>
      <c r="H24" s="2">
        <f t="shared" si="0"/>
        <v>0.12985374142339801</v>
      </c>
      <c r="I24" s="2">
        <f>VLOOKUP(A24,[56]WRDS!$A$1:$O$100,10,FALSE)/100</f>
        <v>4.3299999999999998E-2</v>
      </c>
      <c r="J24" s="2">
        <f>VLOOKUP(A24,[56]WRDS!$A$1:$O$100,9,FALSE)/100</f>
        <v>0.05</v>
      </c>
      <c r="K24" s="2">
        <f t="shared" si="1"/>
        <v>-0.66654792133545804</v>
      </c>
      <c r="L24" s="2">
        <f t="shared" si="2"/>
        <v>-0.61495141031808087</v>
      </c>
      <c r="M24">
        <f>VLOOKUP(A24,[56]WRDS!$A$1:$O$100,8,FALSE)</f>
        <v>3</v>
      </c>
      <c r="N24">
        <f>VLOOKUP(A24,[56]WRDS!$A$1:$O$100,11,FALSE)</f>
        <v>1.1499999999999999</v>
      </c>
    </row>
    <row r="25" spans="1:14" x14ac:dyDescent="0.3">
      <c r="A25" t="s">
        <v>40</v>
      </c>
      <c r="B25" t="str">
        <f>VLOOKUP(A25,[55]WRDS!$A$1:$N$100,2,FALSE)</f>
        <v>WPL</v>
      </c>
      <c r="C25" t="str">
        <f>VLOOKUP(A25,[55]WRDS!$A$1:$N$100,3,FALSE)</f>
        <v>ALLIANT ENER</v>
      </c>
      <c r="D25">
        <f>VLOOKUP(A25,[55]WRDS!$A$1:$N$100,13,FALSE)</f>
        <v>1.1599999999999999</v>
      </c>
      <c r="E25">
        <f>VLOOKUP(A25,[39]WRDS!$A$1:$N$100,13,FALSE)</f>
        <v>0.98</v>
      </c>
      <c r="F25" s="1">
        <f t="shared" si="3"/>
        <v>1.3440344814453131</v>
      </c>
      <c r="G25" s="1">
        <f t="shared" si="4"/>
        <v>1.3311266807249995</v>
      </c>
      <c r="H25" s="2">
        <f t="shared" si="0"/>
        <v>-4.1279482842857984E-2</v>
      </c>
      <c r="I25" s="2">
        <f>VLOOKUP(A25,[56]WRDS!$A$1:$O$100,10,FALSE)/100</f>
        <v>3.7499999999999999E-2</v>
      </c>
      <c r="J25" s="2">
        <f>VLOOKUP(A25,[56]WRDS!$A$1:$O$100,9,FALSE)/100</f>
        <v>3.5000000000000003E-2</v>
      </c>
      <c r="K25" s="2">
        <f t="shared" si="1"/>
        <v>1.9084416135433273</v>
      </c>
      <c r="L25" s="2">
        <f t="shared" si="2"/>
        <v>1.8478788393071055</v>
      </c>
      <c r="M25">
        <f>VLOOKUP(A25,[56]WRDS!$A$1:$O$100,8,FALSE)</f>
        <v>4</v>
      </c>
      <c r="N25">
        <f>VLOOKUP(A25,[56]WRDS!$A$1:$O$100,11,FALSE)</f>
        <v>0.96</v>
      </c>
    </row>
    <row r="26" spans="1:14" x14ac:dyDescent="0.3">
      <c r="A26" t="s">
        <v>60</v>
      </c>
      <c r="B26" t="str">
        <f>VLOOKUP(A26,[55]WRDS!$A$1:$N$100,2,FALSE)</f>
        <v>BSE</v>
      </c>
      <c r="C26" t="str">
        <f>VLOOKUP(A26,[55]WRDS!$A$1:$N$100,3,FALSE)</f>
        <v>NSTAR</v>
      </c>
      <c r="D26">
        <f>VLOOKUP(A26,[55]WRDS!$A$1:$N$100,13,FALSE)</f>
        <v>1.83</v>
      </c>
      <c r="E26">
        <f>VLOOKUP(A26,[39]WRDS!$A$1:$N$100,13,FALSE)</f>
        <v>2.35</v>
      </c>
      <c r="F26" s="1">
        <f t="shared" si="3"/>
        <v>2.2032674390402356</v>
      </c>
      <c r="G26" s="1">
        <f t="shared" si="4"/>
        <v>2.2243764375000001</v>
      </c>
      <c r="H26" s="2">
        <f t="shared" si="0"/>
        <v>6.4520901635329864E-2</v>
      </c>
      <c r="I26" s="2">
        <f>VLOOKUP(A26,[56]WRDS!$A$1:$O$100,10,FALSE)/100</f>
        <v>4.7500000000000001E-2</v>
      </c>
      <c r="J26" s="2">
        <f>VLOOKUP(A26,[56]WRDS!$A$1:$O$100,9,FALSE)/100</f>
        <v>0.05</v>
      </c>
      <c r="K26" s="2">
        <f t="shared" si="1"/>
        <v>-0.26380446032095878</v>
      </c>
      <c r="L26" s="2">
        <f t="shared" si="2"/>
        <v>-0.22505732665364081</v>
      </c>
      <c r="M26">
        <f>VLOOKUP(A26,[56]WRDS!$A$1:$O$100,8,FALSE)</f>
        <v>4</v>
      </c>
      <c r="N26">
        <f>VLOOKUP(A26,[56]WRDS!$A$1:$O$100,11,FALSE)</f>
        <v>0.5</v>
      </c>
    </row>
    <row r="27" spans="1:14" x14ac:dyDescent="0.3">
      <c r="A27" t="s">
        <v>78</v>
      </c>
      <c r="B27" t="str">
        <f>VLOOKUP(A27,[55]WRDS!$A$1:$N$100,2,FALSE)</f>
        <v>NU</v>
      </c>
      <c r="C27" t="str">
        <f>VLOOKUP(A27,[55]WRDS!$A$1:$N$100,3,FALSE)</f>
        <v>NORTHEAST UTILS</v>
      </c>
      <c r="D27">
        <f>VLOOKUP(A27,[55]WRDS!$A$1:$N$100,13,FALSE)</f>
        <v>0.83</v>
      </c>
      <c r="E27">
        <f>VLOOKUP(A27,[39]WRDS!$A$1:$N$100,13,FALSE)</f>
        <v>1.91</v>
      </c>
      <c r="F27" s="1">
        <f t="shared" si="3"/>
        <v>1.1187864754074213</v>
      </c>
      <c r="G27" s="1">
        <f t="shared" si="4"/>
        <v>1.0879606882999999</v>
      </c>
      <c r="H27" s="2">
        <f t="shared" si="0"/>
        <v>0.23165427533767335</v>
      </c>
      <c r="I27" s="2">
        <f>VLOOKUP(A27,[56]WRDS!$A$1:$O$100,10,FALSE)/100</f>
        <v>7.7499999999999999E-2</v>
      </c>
      <c r="J27" s="2">
        <f>VLOOKUP(A27,[56]WRDS!$A$1:$O$100,9,FALSE)/100</f>
        <v>7.0000000000000007E-2</v>
      </c>
      <c r="K27" s="2">
        <f t="shared" si="1"/>
        <v>-0.66544973155780829</v>
      </c>
      <c r="L27" s="2">
        <f t="shared" si="2"/>
        <v>-0.69782556398769779</v>
      </c>
      <c r="M27">
        <f>VLOOKUP(A27,[56]WRDS!$A$1:$O$100,8,FALSE)</f>
        <v>4</v>
      </c>
      <c r="N27">
        <f>VLOOKUP(A27,[56]WRDS!$A$1:$O$100,11,FALSE)</f>
        <v>3.4</v>
      </c>
    </row>
    <row r="28" spans="1:14" x14ac:dyDescent="0.3">
      <c r="A28" t="s">
        <v>44</v>
      </c>
      <c r="B28" t="str">
        <f>VLOOKUP(A28,[55]WRDS!$A$1:$N$100,2,FALSE)</f>
        <v>OGE</v>
      </c>
      <c r="C28" t="str">
        <f>VLOOKUP(A28,[55]WRDS!$A$1:$N$100,3,FALSE)</f>
        <v>OGE ENERGY CORP</v>
      </c>
      <c r="D28">
        <f>VLOOKUP(A28,[55]WRDS!$A$1:$N$100,13,FALSE)</f>
        <v>0.91500000000000004</v>
      </c>
      <c r="E28">
        <f>VLOOKUP(A28,[39]WRDS!$A$1:$N$100,13,FALSE)</f>
        <v>1.33</v>
      </c>
      <c r="F28" s="1">
        <f t="shared" si="3"/>
        <v>1.0298405611499999</v>
      </c>
      <c r="G28" s="1">
        <f t="shared" si="4"/>
        <v>1.0298405611499999</v>
      </c>
      <c r="H28" s="2">
        <f t="shared" si="0"/>
        <v>9.8013391177366849E-2</v>
      </c>
      <c r="I28" s="2">
        <f>VLOOKUP(A28,[56]WRDS!$A$1:$O$100,10,FALSE)/100</f>
        <v>0.03</v>
      </c>
      <c r="J28" s="2">
        <f>VLOOKUP(A28,[56]WRDS!$A$1:$O$100,9,FALSE)/100</f>
        <v>0.03</v>
      </c>
      <c r="K28" s="2">
        <f t="shared" si="1"/>
        <v>-0.69391937530544734</v>
      </c>
      <c r="L28" s="2">
        <f t="shared" si="2"/>
        <v>-0.69391937530544734</v>
      </c>
      <c r="M28">
        <f>VLOOKUP(A28,[56]WRDS!$A$1:$O$100,8,FALSE)</f>
        <v>3</v>
      </c>
      <c r="N28">
        <f>VLOOKUP(A28,[56]WRDS!$A$1:$O$100,11,FALSE)</f>
        <v>1</v>
      </c>
    </row>
    <row r="29" spans="1:14" x14ac:dyDescent="0.3">
      <c r="A29" t="s">
        <v>69</v>
      </c>
      <c r="B29" t="str">
        <f>VLOOKUP(A29,[55]WRDS!$A$1:$N$100,2,FALSE)</f>
        <v>OTTR</v>
      </c>
      <c r="C29" t="str">
        <f>VLOOKUP(A29,[55]WRDS!$A$1:$N$100,3,FALSE)</f>
        <v>OTTER TAIL CORP.</v>
      </c>
      <c r="D29">
        <f>VLOOKUP(A29,[55]WRDS!$A$1:$N$100,13,FALSE)</f>
        <v>1.78</v>
      </c>
      <c r="E29">
        <f>VLOOKUP(A29,[39]WRDS!$A$1:$N$100,13,FALSE)</f>
        <v>0.71</v>
      </c>
      <c r="F29" s="1">
        <f t="shared" si="3"/>
        <v>2.1430688751320321</v>
      </c>
      <c r="G29" s="1">
        <f t="shared" si="4"/>
        <v>2.1226831091124989</v>
      </c>
      <c r="H29" s="2">
        <f t="shared" si="0"/>
        <v>-0.20528833711710448</v>
      </c>
      <c r="I29" s="2">
        <f>VLOOKUP(A29,[56]WRDS!$A$1:$O$100,10,FALSE)/100</f>
        <v>4.7500000000000001E-2</v>
      </c>
      <c r="J29" s="2">
        <f>VLOOKUP(A29,[56]WRDS!$A$1:$O$100,9,FALSE)/100</f>
        <v>4.4999999999999998E-2</v>
      </c>
      <c r="K29" s="2">
        <f t="shared" si="1"/>
        <v>1.2313818732571453</v>
      </c>
      <c r="L29" s="2">
        <f t="shared" si="2"/>
        <v>1.2192038799278218</v>
      </c>
      <c r="M29">
        <f>VLOOKUP(A29,[56]WRDS!$A$1:$O$100,8,FALSE)</f>
        <v>4</v>
      </c>
      <c r="N29">
        <f>VLOOKUP(A29,[56]WRDS!$A$1:$O$100,11,FALSE)</f>
        <v>0.96</v>
      </c>
    </row>
    <row r="30" spans="1:14" x14ac:dyDescent="0.3">
      <c r="A30" t="s">
        <v>45</v>
      </c>
      <c r="B30" t="str">
        <f>VLOOKUP(A30,[55]WRDS!$A$1:$N$100,2,FALSE)</f>
        <v>PCG</v>
      </c>
      <c r="C30" t="str">
        <f>VLOOKUP(A30,[55]WRDS!$A$1:$N$100,3,FALSE)</f>
        <v>P G &amp; E CORP</v>
      </c>
      <c r="D30">
        <f>VLOOKUP(A30,[55]WRDS!$A$1:$N$100,13,FALSE)</f>
        <v>2.34</v>
      </c>
      <c r="E30">
        <f>VLOOKUP(A30,[39]WRDS!$A$1:$N$100,13,FALSE)</f>
        <v>3.21</v>
      </c>
      <c r="F30" s="1">
        <f t="shared" si="3"/>
        <v>2.8999489286680844</v>
      </c>
      <c r="G30" s="1">
        <f t="shared" si="4"/>
        <v>2.8442846249999998</v>
      </c>
      <c r="H30" s="2">
        <f t="shared" si="0"/>
        <v>8.2236790789844916E-2</v>
      </c>
      <c r="I30" s="2">
        <f>VLOOKUP(A30,[56]WRDS!$A$1:$O$100,10,FALSE)/100</f>
        <v>5.5099999999999996E-2</v>
      </c>
      <c r="J30" s="2">
        <f>VLOOKUP(A30,[56]WRDS!$A$1:$O$100,9,FALSE)/100</f>
        <v>0.05</v>
      </c>
      <c r="K30" s="2">
        <f t="shared" si="1"/>
        <v>-0.32998358191277971</v>
      </c>
      <c r="L30" s="2">
        <f t="shared" si="2"/>
        <v>-0.39199962061050786</v>
      </c>
      <c r="M30">
        <f>VLOOKUP(A30,[56]WRDS!$A$1:$O$100,8,FALSE)</f>
        <v>8</v>
      </c>
      <c r="N30">
        <f>VLOOKUP(A30,[56]WRDS!$A$1:$O$100,11,FALSE)</f>
        <v>1.57</v>
      </c>
    </row>
    <row r="31" spans="1:14" x14ac:dyDescent="0.3">
      <c r="A31" t="s">
        <v>46</v>
      </c>
      <c r="B31" t="str">
        <f>VLOOKUP(A31,[55]WRDS!$A$1:$N$100,2,FALSE)</f>
        <v>PEG</v>
      </c>
      <c r="C31" t="str">
        <f>VLOOKUP(A31,[55]WRDS!$A$1:$N$100,3,FALSE)</f>
        <v>PUB SVC ENTERS</v>
      </c>
      <c r="D31">
        <f>VLOOKUP(A31,[55]WRDS!$A$1:$N$100,13,FALSE)</f>
        <v>1.825</v>
      </c>
      <c r="E31">
        <f>VLOOKUP(A31,[39]WRDS!$A$1:$N$100,13,FALSE)</f>
        <v>3.12</v>
      </c>
      <c r="F31" s="1">
        <f t="shared" si="3"/>
        <v>2.0740685688994138</v>
      </c>
      <c r="G31" s="1">
        <f t="shared" si="4"/>
        <v>2.0942294761406242</v>
      </c>
      <c r="H31" s="2">
        <f t="shared" si="0"/>
        <v>0.14346514575473135</v>
      </c>
      <c r="I31" s="2">
        <f>VLOOKUP(A31,[56]WRDS!$A$1:$O$100,10,FALSE)/100</f>
        <v>3.2500000000000001E-2</v>
      </c>
      <c r="J31" s="2">
        <f>VLOOKUP(A31,[56]WRDS!$A$1:$O$100,9,FALSE)/100</f>
        <v>3.5000000000000003E-2</v>
      </c>
      <c r="K31" s="2">
        <f t="shared" si="1"/>
        <v>-0.77346414120986473</v>
      </c>
      <c r="L31" s="2">
        <f t="shared" si="2"/>
        <v>-0.75603830591831578</v>
      </c>
      <c r="M31">
        <f>VLOOKUP(A31,[56]WRDS!$A$1:$O$100,8,FALSE)</f>
        <v>4</v>
      </c>
      <c r="N31">
        <f>VLOOKUP(A31,[56]WRDS!$A$1:$O$100,11,FALSE)</f>
        <v>0.96</v>
      </c>
    </row>
    <row r="32" spans="1:14" x14ac:dyDescent="0.3">
      <c r="A32" t="s">
        <v>74</v>
      </c>
      <c r="B32" t="str">
        <f>VLOOKUP(A32,[55]WRDS!$A$1:$N$100,2,FALSE)</f>
        <v>CPL</v>
      </c>
      <c r="C32" t="str">
        <f>VLOOKUP(A32,[55]WRDS!$A$1:$N$100,3,FALSE)</f>
        <v>PROGRESS ENERGY</v>
      </c>
      <c r="D32">
        <f>VLOOKUP(A32,[55]WRDS!$A$1:$N$100,13,FALSE)</f>
        <v>3.33</v>
      </c>
      <c r="E32">
        <f>VLOOKUP(A32,[39]WRDS!$A$1:$N$100,13,FALSE)</f>
        <v>3.02</v>
      </c>
      <c r="F32" s="1">
        <f t="shared" si="3"/>
        <v>3.8836562775602501</v>
      </c>
      <c r="G32" s="1">
        <f t="shared" si="4"/>
        <v>3.8583058820800802</v>
      </c>
      <c r="H32" s="2">
        <f t="shared" si="0"/>
        <v>-2.4132898319414231E-2</v>
      </c>
      <c r="I32" s="2">
        <f>VLOOKUP(A32,[56]WRDS!$A$1:$O$100,10,FALSE)/100</f>
        <v>3.9199999999999999E-2</v>
      </c>
      <c r="J32" s="2">
        <f>VLOOKUP(A32,[56]WRDS!$A$1:$O$100,9,FALSE)/100</f>
        <v>3.7499999999999999E-2</v>
      </c>
      <c r="K32" s="2">
        <f t="shared" si="1"/>
        <v>2.6243386716822452</v>
      </c>
      <c r="L32" s="2">
        <f t="shared" si="2"/>
        <v>2.5538954129613316</v>
      </c>
      <c r="M32">
        <f>VLOOKUP(A32,[56]WRDS!$A$1:$O$100,8,FALSE)</f>
        <v>6</v>
      </c>
      <c r="N32">
        <f>VLOOKUP(A32,[56]WRDS!$A$1:$O$100,11,FALSE)</f>
        <v>0.92</v>
      </c>
    </row>
    <row r="33" spans="1:14" x14ac:dyDescent="0.3">
      <c r="A33" t="s">
        <v>47</v>
      </c>
      <c r="B33" t="str">
        <f>VLOOKUP(A33,[55]WRDS!$A$1:$N$100,2,FALSE)</f>
        <v>PNM</v>
      </c>
      <c r="C33" t="str">
        <f>VLOOKUP(A33,[55]WRDS!$A$1:$N$100,3,FALSE)</f>
        <v>PNM RESOURCES</v>
      </c>
      <c r="D33">
        <f>VLOOKUP(A33,[55]WRDS!$A$1:$N$100,13,FALSE)</f>
        <v>1.57</v>
      </c>
      <c r="E33">
        <f>VLOOKUP(A33,[39]WRDS!$A$1:$N$100,13,FALSE)</f>
        <v>0.94</v>
      </c>
      <c r="F33" s="1">
        <f t="shared" si="3"/>
        <v>2.3543027825934018</v>
      </c>
      <c r="G33" s="1">
        <f t="shared" si="4"/>
        <v>2.4266051889812505</v>
      </c>
      <c r="H33" s="2">
        <f t="shared" si="0"/>
        <v>-0.120355786206509</v>
      </c>
      <c r="I33" s="2">
        <f>VLOOKUP(A33,[56]WRDS!$A$1:$O$100,10,FALSE)/100</f>
        <v>0.1066</v>
      </c>
      <c r="J33" s="2">
        <f>VLOOKUP(A33,[56]WRDS!$A$1:$O$100,9,FALSE)/100</f>
        <v>0.115</v>
      </c>
      <c r="K33" s="2">
        <f t="shared" si="1"/>
        <v>1.8857073129587096</v>
      </c>
      <c r="L33" s="2">
        <f t="shared" si="2"/>
        <v>1.955500384523936</v>
      </c>
      <c r="M33">
        <f>VLOOKUP(A33,[56]WRDS!$A$1:$O$100,8,FALSE)</f>
        <v>5</v>
      </c>
      <c r="N33">
        <f>VLOOKUP(A33,[56]WRDS!$A$1:$O$100,11,FALSE)</f>
        <v>5.53</v>
      </c>
    </row>
    <row r="34" spans="1:14" x14ac:dyDescent="0.3">
      <c r="A34" t="s">
        <v>48</v>
      </c>
      <c r="B34" t="str">
        <f>VLOOKUP(A34,[55]WRDS!$A$1:$N$100,2,FALSE)</f>
        <v>AZP</v>
      </c>
      <c r="C34" t="str">
        <f>VLOOKUP(A34,[55]WRDS!$A$1:$N$100,3,FALSE)</f>
        <v>PINNACLE WST CAP</v>
      </c>
      <c r="D34">
        <f>VLOOKUP(A34,[55]WRDS!$A$1:$N$100,13,FALSE)</f>
        <v>3.29</v>
      </c>
      <c r="E34">
        <f>VLOOKUP(A34,[39]WRDS!$A$1:$N$100,13,FALSE)</f>
        <v>2.2799999999999998</v>
      </c>
      <c r="F34" s="1">
        <f t="shared" si="3"/>
        <v>4.1535491984000013</v>
      </c>
      <c r="G34" s="1">
        <f t="shared" si="4"/>
        <v>3.9990155624999999</v>
      </c>
      <c r="H34" s="2">
        <f t="shared" si="0"/>
        <v>-8.7601133091364525E-2</v>
      </c>
      <c r="I34" s="2">
        <f>VLOOKUP(A34,[56]WRDS!$A$1:$O$100,10,FALSE)/100</f>
        <v>0.06</v>
      </c>
      <c r="J34" s="2">
        <f>VLOOKUP(A34,[56]WRDS!$A$1:$O$100,9,FALSE)/100</f>
        <v>0.05</v>
      </c>
      <c r="K34" s="2">
        <f t="shared" si="1"/>
        <v>1.6849226474893009</v>
      </c>
      <c r="L34" s="2">
        <f t="shared" si="2"/>
        <v>1.5707688729077507</v>
      </c>
      <c r="M34">
        <f>VLOOKUP(A34,[56]WRDS!$A$1:$O$100,8,FALSE)</f>
        <v>5</v>
      </c>
      <c r="N34">
        <f>VLOOKUP(A34,[56]WRDS!$A$1:$O$100,11,FALSE)</f>
        <v>3.54</v>
      </c>
    </row>
    <row r="35" spans="1:14" x14ac:dyDescent="0.3">
      <c r="A35" t="s">
        <v>49</v>
      </c>
      <c r="B35" t="str">
        <f>VLOOKUP(A35,[55]WRDS!$A$1:$N$100,2,FALSE)</f>
        <v>POM</v>
      </c>
      <c r="C35" t="str">
        <f>VLOOKUP(A35,[55]WRDS!$A$1:$N$100,3,FALSE)</f>
        <v>PEPCO HOLDINGS</v>
      </c>
      <c r="D35">
        <f>VLOOKUP(A35,[55]WRDS!$A$1:$N$100,13,FALSE)</f>
        <v>1.52</v>
      </c>
      <c r="E35">
        <f>VLOOKUP(A35,[39]WRDS!$A$1:$N$100,13,FALSE)</f>
        <v>0.91</v>
      </c>
      <c r="F35" s="1">
        <f t="shared" si="3"/>
        <v>1.7509857414963201</v>
      </c>
      <c r="G35" s="1">
        <f t="shared" si="4"/>
        <v>1.7781850112000004</v>
      </c>
      <c r="H35" s="2">
        <f t="shared" si="0"/>
        <v>-0.12037117792161434</v>
      </c>
      <c r="I35" s="2">
        <f>VLOOKUP(A35,[56]WRDS!$A$1:$O$100,10,FALSE)/100</f>
        <v>3.6000000000000004E-2</v>
      </c>
      <c r="J35" s="2">
        <f>VLOOKUP(A35,[56]WRDS!$A$1:$O$100,9,FALSE)/100</f>
        <v>0.04</v>
      </c>
      <c r="K35" s="2">
        <f t="shared" si="1"/>
        <v>1.2990749166170259</v>
      </c>
      <c r="L35" s="2">
        <f t="shared" si="2"/>
        <v>1.3323054629078066</v>
      </c>
      <c r="M35">
        <f>VLOOKUP(A35,[56]WRDS!$A$1:$O$100,8,FALSE)</f>
        <v>5</v>
      </c>
      <c r="N35">
        <f>VLOOKUP(A35,[56]WRDS!$A$1:$O$100,11,FALSE)</f>
        <v>0.55000000000000004</v>
      </c>
    </row>
    <row r="36" spans="1:14" x14ac:dyDescent="0.3">
      <c r="A36" t="s">
        <v>51</v>
      </c>
      <c r="B36" t="str">
        <f>VLOOKUP(A36,[55]WRDS!$A$1:$N$100,2,FALSE)</f>
        <v>PPL</v>
      </c>
      <c r="C36" t="str">
        <f>VLOOKUP(A36,[55]WRDS!$A$1:$N$100,3,FALSE)</f>
        <v>PP&amp;L CORP</v>
      </c>
      <c r="D36">
        <f>VLOOKUP(A36,[55]WRDS!$A$1:$N$100,13,FALSE)</f>
        <v>2.08</v>
      </c>
      <c r="E36">
        <f>VLOOKUP(A36,[39]WRDS!$A$1:$N$100,13,FALSE)</f>
        <v>1.95</v>
      </c>
      <c r="F36" s="1">
        <f t="shared" si="3"/>
        <v>2.7715794565603664</v>
      </c>
      <c r="G36" s="1">
        <f t="shared" si="4"/>
        <v>2.6508129882812499</v>
      </c>
      <c r="H36" s="2">
        <f t="shared" si="0"/>
        <v>-1.600516436728483E-2</v>
      </c>
      <c r="I36" s="2">
        <f>VLOOKUP(A36,[56]WRDS!$A$1:$O$100,10,FALSE)/100</f>
        <v>7.4400000000000008E-2</v>
      </c>
      <c r="J36" s="2">
        <f>VLOOKUP(A36,[56]WRDS!$A$1:$O$100,9,FALSE)/100</f>
        <v>6.25E-2</v>
      </c>
      <c r="K36" s="2">
        <f t="shared" si="1"/>
        <v>5.6484995900496004</v>
      </c>
      <c r="L36" s="2">
        <f t="shared" si="2"/>
        <v>4.9049895749744623</v>
      </c>
      <c r="M36">
        <f>VLOOKUP(A36,[56]WRDS!$A$1:$O$100,8,FALSE)</f>
        <v>8</v>
      </c>
      <c r="N36">
        <f>VLOOKUP(A36,[56]WRDS!$A$1:$O$100,11,FALSE)</f>
        <v>3.18</v>
      </c>
    </row>
    <row r="37" spans="1:14" x14ac:dyDescent="0.3">
      <c r="A37" t="s">
        <v>52</v>
      </c>
      <c r="B37" t="str">
        <f>VLOOKUP(A37,[55]WRDS!$A$1:$N$100,2,FALSE)</f>
        <v>SCG</v>
      </c>
      <c r="C37" t="str">
        <f>VLOOKUP(A37,[55]WRDS!$A$1:$N$100,3,FALSE)</f>
        <v>SCANA CP</v>
      </c>
      <c r="D37">
        <f>VLOOKUP(A37,[55]WRDS!$A$1:$N$100,13,FALSE)</f>
        <v>2.78</v>
      </c>
      <c r="E37">
        <f>VLOOKUP(A37,[39]WRDS!$A$1:$N$100,13,FALSE)</f>
        <v>2.85</v>
      </c>
      <c r="F37" s="1">
        <f t="shared" si="3"/>
        <v>3.3368270125622734</v>
      </c>
      <c r="G37" s="1">
        <f t="shared" si="4"/>
        <v>3.3791073749999998</v>
      </c>
      <c r="H37" s="2">
        <f t="shared" si="0"/>
        <v>6.2363824040982951E-3</v>
      </c>
      <c r="I37" s="2">
        <f>VLOOKUP(A37,[56]WRDS!$A$1:$O$100,10,FALSE)/100</f>
        <v>4.6699999999999998E-2</v>
      </c>
      <c r="J37" s="2">
        <f>VLOOKUP(A37,[56]WRDS!$A$1:$O$100,9,FALSE)/100</f>
        <v>0.05</v>
      </c>
      <c r="K37" s="2">
        <f t="shared" si="1"/>
        <v>6.4883156570563525</v>
      </c>
      <c r="L37" s="2">
        <f t="shared" si="2"/>
        <v>7.0174685835721125</v>
      </c>
      <c r="M37">
        <f>VLOOKUP(A37,[56]WRDS!$A$1:$O$100,8,FALSE)</f>
        <v>6</v>
      </c>
      <c r="N37">
        <f>VLOOKUP(A37,[56]WRDS!$A$1:$O$100,11,FALSE)</f>
        <v>0.52</v>
      </c>
    </row>
    <row r="38" spans="1:14" x14ac:dyDescent="0.3">
      <c r="A38" t="s">
        <v>53</v>
      </c>
      <c r="B38" t="str">
        <f>VLOOKUP(A38,[55]WRDS!$A$1:$N$100,2,FALSE)</f>
        <v>SO</v>
      </c>
      <c r="C38" t="str">
        <f>VLOOKUP(A38,[55]WRDS!$A$1:$N$100,3,FALSE)</f>
        <v>SOUTHN CO</v>
      </c>
      <c r="D38">
        <f>VLOOKUP(A38,[55]WRDS!$A$1:$N$100,13,FALSE)</f>
        <v>2.14</v>
      </c>
      <c r="E38">
        <f>VLOOKUP(A38,[39]WRDS!$A$1:$N$100,13,FALSE)</f>
        <v>2.3199999999999998</v>
      </c>
      <c r="F38" s="1">
        <f t="shared" si="3"/>
        <v>2.6011833750000002</v>
      </c>
      <c r="G38" s="1">
        <f t="shared" si="4"/>
        <v>2.6011833750000002</v>
      </c>
      <c r="H38" s="2">
        <f t="shared" si="0"/>
        <v>2.0395542775592412E-2</v>
      </c>
      <c r="I38" s="2">
        <f>VLOOKUP(A38,[56]WRDS!$A$1:$O$100,10,FALSE)/100</f>
        <v>0.05</v>
      </c>
      <c r="J38" s="2">
        <f>VLOOKUP(A38,[56]WRDS!$A$1:$O$100,9,FALSE)/100</f>
        <v>0.05</v>
      </c>
      <c r="K38" s="2">
        <f t="shared" si="1"/>
        <v>1.4515160273074761</v>
      </c>
      <c r="L38" s="2">
        <f t="shared" si="2"/>
        <v>1.4515160273074761</v>
      </c>
      <c r="M38">
        <f>VLOOKUP(A38,[56]WRDS!$A$1:$O$100,8,FALSE)</f>
        <v>8</v>
      </c>
      <c r="N38">
        <f>VLOOKUP(A38,[56]WRDS!$A$1:$O$100,11,FALSE)</f>
        <v>0.76</v>
      </c>
    </row>
    <row r="39" spans="1:14" x14ac:dyDescent="0.3">
      <c r="A39" t="s">
        <v>54</v>
      </c>
      <c r="B39" t="str">
        <f>VLOOKUP(A39,[55]WRDS!$A$1:$N$100,2,FALSE)</f>
        <v>SDO</v>
      </c>
      <c r="C39" t="str">
        <f>VLOOKUP(A39,[55]WRDS!$A$1:$N$100,3,FALSE)</f>
        <v>SEMPRA ENERGY</v>
      </c>
      <c r="D39">
        <f>VLOOKUP(A39,[55]WRDS!$A$1:$N$100,13,FALSE)</f>
        <v>4.17</v>
      </c>
      <c r="E39">
        <f>VLOOKUP(A39,[39]WRDS!$A$1:$N$100,13,FALSE)</f>
        <v>4.5199999999999996</v>
      </c>
      <c r="F39" s="1">
        <f t="shared" si="3"/>
        <v>5.17766062982761</v>
      </c>
      <c r="G39" s="1">
        <f t="shared" si="4"/>
        <v>5.0686610625000004</v>
      </c>
      <c r="H39" s="2">
        <f t="shared" si="0"/>
        <v>2.0353350646544532E-2</v>
      </c>
      <c r="I39" s="2">
        <f>VLOOKUP(A39,[56]WRDS!$A$1:$O$100,10,FALSE)/100</f>
        <v>5.5599999999999997E-2</v>
      </c>
      <c r="J39" s="2">
        <f>VLOOKUP(A39,[56]WRDS!$A$1:$O$100,9,FALSE)/100</f>
        <v>0.05</v>
      </c>
      <c r="K39" s="2">
        <f t="shared" si="1"/>
        <v>1.731736949141562</v>
      </c>
      <c r="L39" s="2">
        <f t="shared" si="2"/>
        <v>1.4565979758467287</v>
      </c>
      <c r="M39">
        <f>VLOOKUP(A39,[56]WRDS!$A$1:$O$100,8,FALSE)</f>
        <v>9</v>
      </c>
      <c r="N39">
        <f>VLOOKUP(A39,[56]WRDS!$A$1:$O$100,11,FALSE)</f>
        <v>2.42</v>
      </c>
    </row>
    <row r="40" spans="1:14" x14ac:dyDescent="0.3">
      <c r="A40" t="s">
        <v>75</v>
      </c>
      <c r="B40" t="str">
        <f>VLOOKUP(A40,[55]WRDS!$A$1:$N$100,2,FALSE)</f>
        <v>TE</v>
      </c>
      <c r="C40" t="str">
        <f>VLOOKUP(A40,[55]WRDS!$A$1:$N$100,3,FALSE)</f>
        <v>TECO ENERGY INC</v>
      </c>
      <c r="D40">
        <f>VLOOKUP(A40,[55]WRDS!$A$1:$N$100,13,FALSE)</f>
        <v>1.22</v>
      </c>
      <c r="E40">
        <f>VLOOKUP(A40,[39]WRDS!$A$1:$N$100,13,FALSE)</f>
        <v>1.08</v>
      </c>
      <c r="F40" s="1">
        <f t="shared" si="3"/>
        <v>1.5991711322</v>
      </c>
      <c r="G40" s="1">
        <f t="shared" si="4"/>
        <v>1.3999780607624996</v>
      </c>
      <c r="H40" s="2">
        <f t="shared" si="0"/>
        <v>-3.0012849424916332E-2</v>
      </c>
      <c r="I40" s="2">
        <f>VLOOKUP(A40,[56]WRDS!$A$1:$O$100,10,FALSE)/100</f>
        <v>7.0000000000000007E-2</v>
      </c>
      <c r="J40" s="2">
        <f>VLOOKUP(A40,[56]WRDS!$A$1:$O$100,9,FALSE)/100</f>
        <v>3.5000000000000003E-2</v>
      </c>
      <c r="K40" s="2">
        <f t="shared" si="1"/>
        <v>3.3323343614914078</v>
      </c>
      <c r="L40" s="2">
        <f t="shared" si="2"/>
        <v>2.1661671807457039</v>
      </c>
      <c r="M40">
        <f>VLOOKUP(A40,[56]WRDS!$A$1:$O$100,8,FALSE)</f>
        <v>4</v>
      </c>
      <c r="N40">
        <f>VLOOKUP(A40,[56]WRDS!$A$1:$O$100,11,FALSE)</f>
        <v>7.35</v>
      </c>
    </row>
    <row r="41" spans="1:14" x14ac:dyDescent="0.3">
      <c r="A41" t="s">
        <v>79</v>
      </c>
      <c r="B41" t="str">
        <f>VLOOKUP(A41,[55]WRDS!$A$1:$N$100,2,FALSE)</f>
        <v>UIL</v>
      </c>
      <c r="C41" t="str">
        <f>VLOOKUP(A41,[55]WRDS!$A$1:$N$100,3,FALSE)</f>
        <v>UIL HOLDING CORP</v>
      </c>
      <c r="D41">
        <f>VLOOKUP(A41,[55]WRDS!$A$1:$N$100,13,FALSE)</f>
        <v>1.284</v>
      </c>
      <c r="E41">
        <f>VLOOKUP(A41,[39]WRDS!$A$1:$N$100,13,FALSE)</f>
        <v>1.93</v>
      </c>
      <c r="F41" s="1">
        <f t="shared" si="3"/>
        <v>1.33613554884</v>
      </c>
      <c r="G41" s="1">
        <f t="shared" si="4"/>
        <v>1.33613554884</v>
      </c>
      <c r="H41" s="2">
        <f t="shared" si="0"/>
        <v>0.10725607393738912</v>
      </c>
      <c r="I41" s="2">
        <f>VLOOKUP(A41,[56]WRDS!$A$1:$O$100,10,FALSE)/100</f>
        <v>0.01</v>
      </c>
      <c r="J41" s="2">
        <f>VLOOKUP(A41,[56]WRDS!$A$1:$O$100,9,FALSE)/100</f>
        <v>0.01</v>
      </c>
      <c r="K41" s="2">
        <f t="shared" si="1"/>
        <v>-0.90676518696892161</v>
      </c>
      <c r="L41" s="2">
        <f t="shared" si="2"/>
        <v>-0.90676518696892161</v>
      </c>
      <c r="M41">
        <f>VLOOKUP(A41,[56]WRDS!$A$1:$O$100,8,FALSE)</f>
        <v>1</v>
      </c>
      <c r="N41">
        <f>VLOOKUP(A41,[56]WRDS!$A$1:$O$100,11,FALSE)</f>
        <v>0</v>
      </c>
    </row>
    <row r="42" spans="1:14" x14ac:dyDescent="0.3">
      <c r="A42" t="s">
        <v>55</v>
      </c>
      <c r="B42" t="str">
        <f>VLOOKUP(A42,[55]WRDS!$A$1:$N$100,2,FALSE)</f>
        <v>WPC</v>
      </c>
      <c r="C42" t="str">
        <f>VLOOKUP(A42,[55]WRDS!$A$1:$N$100,3,FALSE)</f>
        <v>WISCONSIN ENERGY</v>
      </c>
      <c r="D42">
        <f>VLOOKUP(A42,[55]WRDS!$A$1:$N$100,13,FALSE)</f>
        <v>1.21</v>
      </c>
      <c r="E42">
        <f>VLOOKUP(A42,[39]WRDS!$A$1:$N$100,13,FALSE)</f>
        <v>1.6</v>
      </c>
      <c r="F42" s="1">
        <f t="shared" si="3"/>
        <v>1.6602596152757632</v>
      </c>
      <c r="G42" s="1">
        <f t="shared" si="4"/>
        <v>1.6461916416000004</v>
      </c>
      <c r="H42" s="2">
        <f t="shared" si="0"/>
        <v>7.2342831911575756E-2</v>
      </c>
      <c r="I42" s="2">
        <f>VLOOKUP(A42,[56]WRDS!$A$1:$O$100,10,FALSE)/100</f>
        <v>8.2299999999999998E-2</v>
      </c>
      <c r="J42" s="2">
        <f>VLOOKUP(A42,[56]WRDS!$A$1:$O$100,9,FALSE)/100</f>
        <v>0.08</v>
      </c>
      <c r="K42" s="2">
        <f t="shared" si="1"/>
        <v>0.13763862742607083</v>
      </c>
      <c r="L42" s="2">
        <f t="shared" si="2"/>
        <v>0.10584556736434593</v>
      </c>
      <c r="M42">
        <f>VLOOKUP(A42,[56]WRDS!$A$1:$O$100,8,FALSE)</f>
        <v>7</v>
      </c>
      <c r="N42">
        <f>VLOOKUP(A42,[56]WRDS!$A$1:$O$100,11,FALSE)</f>
        <v>2.92</v>
      </c>
    </row>
    <row r="43" spans="1:14" x14ac:dyDescent="0.3">
      <c r="A43" t="s">
        <v>64</v>
      </c>
      <c r="B43" t="str">
        <f>VLOOKUP(A43,[55]WRDS!$A$1:$N$100,2,FALSE)</f>
        <v>KAN</v>
      </c>
      <c r="C43" t="str">
        <f>VLOOKUP(A43,[55]WRDS!$A$1:$N$100,3,FALSE)</f>
        <v>WESTAR ENERGY</v>
      </c>
      <c r="D43">
        <f>VLOOKUP(A43,[55]WRDS!$A$1:$N$100,13,FALSE)</f>
        <v>1.34</v>
      </c>
      <c r="E43">
        <f>VLOOKUP(A43,[39]WRDS!$A$1:$N$100,13,FALSE)</f>
        <v>1.28</v>
      </c>
      <c r="F43" s="1">
        <f t="shared" si="3"/>
        <v>1.51993000157184</v>
      </c>
      <c r="G43" s="1">
        <f t="shared" si="4"/>
        <v>1.5081818054</v>
      </c>
      <c r="H43" s="2">
        <f t="shared" si="0"/>
        <v>-1.1387055086551134E-2</v>
      </c>
      <c r="I43" s="2">
        <f>VLOOKUP(A43,[56]WRDS!$A$1:$O$100,10,FALSE)/100</f>
        <v>3.2000000000000001E-2</v>
      </c>
      <c r="J43" s="2">
        <f>VLOOKUP(A43,[56]WRDS!$A$1:$O$100,9,FALSE)/100</f>
        <v>0.03</v>
      </c>
      <c r="K43" s="2">
        <f t="shared" si="1"/>
        <v>3.8102085883288752</v>
      </c>
      <c r="L43" s="2">
        <f t="shared" si="2"/>
        <v>3.6345705515583204</v>
      </c>
      <c r="M43">
        <f>VLOOKUP(A43,[56]WRDS!$A$1:$O$100,8,FALSE)</f>
        <v>3</v>
      </c>
      <c r="N43">
        <f>VLOOKUP(A43,[56]WRDS!$A$1:$O$100,11,FALSE)</f>
        <v>1.71</v>
      </c>
    </row>
    <row r="44" spans="1:14" x14ac:dyDescent="0.3">
      <c r="A44" t="s">
        <v>56</v>
      </c>
      <c r="B44" t="str">
        <f>VLOOKUP(A44,[55]WRDS!$A$1:$N$100,2,FALSE)</f>
        <v>NSP</v>
      </c>
      <c r="C44" t="str">
        <f>VLOOKUP(A44,[55]WRDS!$A$1:$N$100,3,FALSE)</f>
        <v>XCEL ENERGY INC</v>
      </c>
      <c r="D44">
        <f>VLOOKUP(A44,[55]WRDS!$A$1:$N$100,13,FALSE)</f>
        <v>1.2</v>
      </c>
      <c r="E44">
        <f>VLOOKUP(A44,[39]WRDS!$A$1:$N$100,13,FALSE)</f>
        <v>1.49</v>
      </c>
      <c r="F44" s="1">
        <f t="shared" si="3"/>
        <v>1.3680027285420391</v>
      </c>
      <c r="G44" s="1">
        <f t="shared" si="4"/>
        <v>1.3506105719999999</v>
      </c>
      <c r="H44" s="2">
        <f t="shared" si="0"/>
        <v>5.5604555075645656E-2</v>
      </c>
      <c r="I44" s="2">
        <f>VLOOKUP(A44,[56]WRDS!$A$1:$O$100,10,FALSE)/100</f>
        <v>3.3300000000000003E-2</v>
      </c>
      <c r="J44" s="2">
        <f>VLOOKUP(A44,[56]WRDS!$A$1:$O$100,9,FALSE)/100</f>
        <v>0.03</v>
      </c>
      <c r="K44" s="2">
        <f t="shared" si="1"/>
        <v>-0.40112819975453534</v>
      </c>
      <c r="L44" s="2">
        <f t="shared" si="2"/>
        <v>-0.4604758556347166</v>
      </c>
      <c r="M44">
        <f>VLOOKUP(A44,[56]WRDS!$A$1:$O$100,8,FALSE)</f>
        <v>6</v>
      </c>
      <c r="N44">
        <f>VLOOKUP(A44,[56]WRDS!$A$1:$O$100,11,FALSE)</f>
        <v>0.52</v>
      </c>
    </row>
    <row r="45" spans="1:14" x14ac:dyDescent="0.3">
      <c r="A45" t="s">
        <v>132</v>
      </c>
      <c r="B45" t="str">
        <f>VLOOKUP(A45,'[5]Ticker List'!$H$4:$I$20,2,FALSE)</f>
        <v>EGAS</v>
      </c>
      <c r="C45" t="str">
        <f>VLOOKUP(A45,[57]jwcrwh6htxikq0li!$B$1:$N$17,2,FALSE)</f>
        <v>ATMOS ENERGY CP</v>
      </c>
      <c r="D45">
        <f>VLOOKUP(A45,[57]jwcrwh6htxikq0li!$B$1:$N$17,12,FALSE)</f>
        <v>1.82</v>
      </c>
      <c r="E45">
        <f>VLOOKUP(A45,[41]WRDS!$B$1:$N$13,12,FALSE)</f>
        <v>2.25</v>
      </c>
      <c r="F45" s="1">
        <f t="shared" si="3"/>
        <v>2.3325872628531208</v>
      </c>
      <c r="G45" s="1">
        <f t="shared" si="4"/>
        <v>2.3413687581374991</v>
      </c>
      <c r="H45" s="2">
        <f t="shared" si="0"/>
        <v>5.4454349410941516E-2</v>
      </c>
      <c r="I45" s="2">
        <f>VLOOKUP(A45,[58]bm7qjygn5v5uisp8!$B$1:$N$15,9,FALSE)/100</f>
        <v>6.4000000000000001E-2</v>
      </c>
      <c r="J45" s="2">
        <f>VLOOKUP(A45,[58]bm7qjygn5v5uisp8!$B$1:$N$15,8,FALSE)/100</f>
        <v>6.5000000000000002E-2</v>
      </c>
      <c r="K45" s="2">
        <f t="shared" si="1"/>
        <v>0.17529638481256885</v>
      </c>
      <c r="L45" s="2">
        <f t="shared" si="2"/>
        <v>0.19366039082526523</v>
      </c>
      <c r="M45">
        <f>VLOOKUP(A45,[58]bm7qjygn5v5uisp8!$B$1:$N$15,7,FALSE)</f>
        <v>4</v>
      </c>
      <c r="N45">
        <f>VLOOKUP(A45,[58]bm7qjygn5v5uisp8!$B$1:$N$15,10,FALSE)</f>
        <v>0.71</v>
      </c>
    </row>
    <row r="46" spans="1:14" x14ac:dyDescent="0.3">
      <c r="A46" t="s">
        <v>133</v>
      </c>
      <c r="B46" t="str">
        <f>VLOOKUP(A46,'[5]Ticker List'!$H$4:$I$20,2,FALSE)</f>
        <v>CHPK</v>
      </c>
      <c r="C46" t="str">
        <f>VLOOKUP(A46,[57]jwcrwh6htxikq0li!$B$1:$N$17,2,FALSE)</f>
        <v>CHESAPEAKE UTIL</v>
      </c>
      <c r="D46">
        <f>VLOOKUP(A46,[57]jwcrwh6htxikq0li!$B$1:$N$17,12,FALSE)</f>
        <v>1.18</v>
      </c>
      <c r="E46">
        <f>VLOOKUP(A46,[41]WRDS!$B$1:$N$13,12,FALSE)</f>
        <v>1.4333</v>
      </c>
      <c r="F46" s="1">
        <f t="shared" si="3"/>
        <v>1.3281003957999997</v>
      </c>
      <c r="G46" s="1">
        <f t="shared" si="4"/>
        <v>1.3281003957999997</v>
      </c>
      <c r="H46" s="2">
        <f t="shared" si="0"/>
        <v>4.9817416359329902E-2</v>
      </c>
      <c r="I46" s="2">
        <f>VLOOKUP(A46,[58]bm7qjygn5v5uisp8!$B$1:$N$15,9,FALSE)/100</f>
        <v>0.03</v>
      </c>
      <c r="J46" s="2">
        <f>VLOOKUP(A46,[58]bm7qjygn5v5uisp8!$B$1:$N$15,8,FALSE)/100</f>
        <v>0.03</v>
      </c>
      <c r="K46" s="2">
        <f t="shared" si="1"/>
        <v>-0.3978009661598691</v>
      </c>
      <c r="L46" s="2">
        <f t="shared" si="2"/>
        <v>-0.3978009661598691</v>
      </c>
      <c r="M46">
        <f>VLOOKUP(A46,[58]bm7qjygn5v5uisp8!$B$1:$N$15,7,FALSE)</f>
        <v>1</v>
      </c>
      <c r="N46">
        <f>VLOOKUP(A46,[58]bm7qjygn5v5uisp8!$B$1:$N$15,10,FALSE)</f>
        <v>0</v>
      </c>
    </row>
    <row r="47" spans="1:14" x14ac:dyDescent="0.3">
      <c r="A47" t="s">
        <v>134</v>
      </c>
      <c r="B47" t="str">
        <f>VLOOKUP(A47,'[5]Ticker List'!$H$4:$I$20,2,FALSE)</f>
        <v>NJR</v>
      </c>
      <c r="C47" t="str">
        <f>VLOOKUP(A47,[57]jwcrwh6htxikq0li!$B$1:$N$17,2,FALSE)</f>
        <v>NEW JERSEY RES</v>
      </c>
      <c r="D47">
        <f>VLOOKUP(A47,[57]jwcrwh6htxikq0li!$B$1:$N$17,12,FALSE)</f>
        <v>0.93330000000000002</v>
      </c>
      <c r="E47">
        <f>VLOOKUP(A47,[41]WRDS!$B$1:$N$13,12,FALSE)</f>
        <v>1.22</v>
      </c>
      <c r="F47" s="1">
        <f t="shared" si="3"/>
        <v>1.1487607872074457</v>
      </c>
      <c r="G47" s="1">
        <f t="shared" si="4"/>
        <v>1.1782697467680003</v>
      </c>
      <c r="H47" s="2">
        <f t="shared" si="0"/>
        <v>6.9263251472741372E-2</v>
      </c>
      <c r="I47" s="2">
        <f>VLOOKUP(A47,[58]bm7qjygn5v5uisp8!$B$1:$N$15,9,FALSE)/100</f>
        <v>5.33E-2</v>
      </c>
      <c r="J47" s="2">
        <f>VLOOKUP(A47,[58]bm7qjygn5v5uisp8!$B$1:$N$15,8,FALSE)/100</f>
        <v>0.06</v>
      </c>
      <c r="K47" s="2">
        <f t="shared" si="1"/>
        <v>-0.23047216429081049</v>
      </c>
      <c r="L47" s="2">
        <f t="shared" si="2"/>
        <v>-0.13373977218477734</v>
      </c>
      <c r="M47">
        <f>VLOOKUP(A47,[58]bm7qjygn5v5uisp8!$B$1:$N$15,7,FALSE)</f>
        <v>3</v>
      </c>
      <c r="N47">
        <f>VLOOKUP(A47,[58]bm7qjygn5v5uisp8!$B$1:$N$15,10,FALSE)</f>
        <v>1.1499999999999999</v>
      </c>
    </row>
    <row r="48" spans="1:14" x14ac:dyDescent="0.3">
      <c r="A48" t="s">
        <v>135</v>
      </c>
      <c r="B48" t="str">
        <f>VLOOKUP(A48,'[5]Ticker List'!$H$4:$I$20,2,FALSE)</f>
        <v>NI</v>
      </c>
      <c r="C48" t="str">
        <f>VLOOKUP(A48,[57]jwcrwh6htxikq0li!$B$1:$N$17,2,FALSE)</f>
        <v>NISOURCE INC</v>
      </c>
      <c r="D48">
        <f>VLOOKUP(A48,[57]jwcrwh6htxikq0li!$B$1:$N$17,12,FALSE)</f>
        <v>1.42</v>
      </c>
      <c r="E48">
        <f>VLOOKUP(A48,[41]WRDS!$B$1:$N$13,12,FALSE)</f>
        <v>1.06</v>
      </c>
      <c r="F48" s="1">
        <f t="shared" si="3"/>
        <v>1.6294826608874995</v>
      </c>
      <c r="G48" s="1">
        <f t="shared" si="4"/>
        <v>1.6294826608874995</v>
      </c>
      <c r="H48" s="2">
        <f t="shared" si="0"/>
        <v>-7.0489328397258078E-2</v>
      </c>
      <c r="I48" s="2">
        <f>VLOOKUP(A48,[58]bm7qjygn5v5uisp8!$B$1:$N$15,9,FALSE)/100</f>
        <v>3.5000000000000003E-2</v>
      </c>
      <c r="J48" s="2">
        <f>VLOOKUP(A48,[58]bm7qjygn5v5uisp8!$B$1:$N$15,8,FALSE)/100</f>
        <v>3.5000000000000003E-2</v>
      </c>
      <c r="K48" s="2">
        <f t="shared" si="1"/>
        <v>1.4965290604380541</v>
      </c>
      <c r="L48" s="2">
        <f t="shared" si="2"/>
        <v>1.4965290604380541</v>
      </c>
      <c r="M48">
        <f>VLOOKUP(A48,[58]bm7qjygn5v5uisp8!$B$1:$N$15,7,FALSE)</f>
        <v>6</v>
      </c>
      <c r="N48">
        <f>VLOOKUP(A48,[58]bm7qjygn5v5uisp8!$B$1:$N$15,10,FALSE)</f>
        <v>1.38</v>
      </c>
    </row>
    <row r="49" spans="1:14" x14ac:dyDescent="0.3">
      <c r="A49" t="s">
        <v>136</v>
      </c>
      <c r="B49" t="str">
        <f>VLOOKUP(A49,'[5]Ticker List'!$H$4:$I$20,2,FALSE)</f>
        <v>NWNG</v>
      </c>
      <c r="C49" t="str">
        <f>VLOOKUP(A49,[57]jwcrwh6htxikq0li!$B$1:$N$17,2,FALSE)</f>
        <v>NW NATURAL GAS</v>
      </c>
      <c r="D49">
        <f>VLOOKUP(A49,[57]jwcrwh6htxikq0li!$B$1:$N$17,12,FALSE)</f>
        <v>2.11</v>
      </c>
      <c r="E49">
        <f>VLOOKUP(A49,[41]WRDS!$B$1:$N$13,12,FALSE)</f>
        <v>2.83</v>
      </c>
      <c r="F49" s="1">
        <f t="shared" si="3"/>
        <v>2.6268276223688889</v>
      </c>
      <c r="G49" s="1">
        <f t="shared" si="4"/>
        <v>2.6139200128187494</v>
      </c>
      <c r="H49" s="2">
        <f t="shared" si="0"/>
        <v>7.6157892312598507E-2</v>
      </c>
      <c r="I49" s="2">
        <f>VLOOKUP(A49,[58]bm7qjygn5v5uisp8!$B$1:$N$15,9,FALSE)/100</f>
        <v>5.6299999999999996E-2</v>
      </c>
      <c r="J49" s="2">
        <f>VLOOKUP(A49,[58]bm7qjygn5v5uisp8!$B$1:$N$15,8,FALSE)/100</f>
        <v>5.5E-2</v>
      </c>
      <c r="K49" s="2">
        <f t="shared" si="1"/>
        <v>-0.26074634827195048</v>
      </c>
      <c r="L49" s="2">
        <f t="shared" si="2"/>
        <v>-0.27781614840066204</v>
      </c>
      <c r="M49">
        <f>VLOOKUP(A49,[58]bm7qjygn5v5uisp8!$B$1:$N$15,7,FALSE)</f>
        <v>4</v>
      </c>
      <c r="N49">
        <f>VLOOKUP(A49,[58]bm7qjygn5v5uisp8!$B$1:$N$15,10,FALSE)</f>
        <v>1.89</v>
      </c>
    </row>
    <row r="50" spans="1:14" x14ac:dyDescent="0.3">
      <c r="A50" t="s">
        <v>138</v>
      </c>
      <c r="B50" t="str">
        <f>VLOOKUP(A50,'[5]Ticker List'!$H$4:$I$20,2,FALSE)</f>
        <v>SJI</v>
      </c>
      <c r="C50" t="str">
        <f>VLOOKUP(A50,[57]jwcrwh6htxikq0li!$B$1:$N$17,2,FALSE)</f>
        <v>SO JERSEY INDS</v>
      </c>
      <c r="D50">
        <f>VLOOKUP(A50,[57]jwcrwh6htxikq0li!$B$1:$N$17,12,FALSE)</f>
        <v>0.85499999999999998</v>
      </c>
      <c r="E50">
        <f>VLOOKUP(A50,[41]WRDS!$B$1:$N$13,12,FALSE)</f>
        <v>1.19</v>
      </c>
      <c r="F50" s="1">
        <f t="shared" si="3"/>
        <v>1.0794178008000002</v>
      </c>
      <c r="G50" s="1">
        <f t="shared" si="4"/>
        <v>1.0794178008000002</v>
      </c>
      <c r="H50" s="2">
        <f t="shared" si="0"/>
        <v>8.6163518058728794E-2</v>
      </c>
      <c r="I50" s="2">
        <f>VLOOKUP(A50,[58]bm7qjygn5v5uisp8!$B$1:$N$15,9,FALSE)/100</f>
        <v>0.06</v>
      </c>
      <c r="J50" s="2">
        <f>VLOOKUP(A50,[58]bm7qjygn5v5uisp8!$B$1:$N$15,8,FALSE)/100</f>
        <v>0.06</v>
      </c>
      <c r="K50" s="2">
        <f t="shared" si="1"/>
        <v>-0.30364960308254618</v>
      </c>
      <c r="L50" s="2">
        <f t="shared" si="2"/>
        <v>-0.30364960308254618</v>
      </c>
      <c r="M50">
        <f>VLOOKUP(A50,[58]bm7qjygn5v5uisp8!$B$1:$N$15,7,FALSE)</f>
        <v>1</v>
      </c>
      <c r="N50">
        <f>VLOOKUP(A50,[58]bm7qjygn5v5uisp8!$B$1:$N$15,10,FALSE)</f>
        <v>0</v>
      </c>
    </row>
    <row r="51" spans="1:14" x14ac:dyDescent="0.3">
      <c r="A51" t="s">
        <v>139</v>
      </c>
      <c r="B51" t="str">
        <f>VLOOKUP(A51,'[5]Ticker List'!$H$4:$I$20,2,FALSE)</f>
        <v>SWX</v>
      </c>
      <c r="C51" t="str">
        <f>VLOOKUP(A51,[57]jwcrwh6htxikq0li!$B$1:$N$17,2,FALSE)</f>
        <v>SOUTHWEST GAS</v>
      </c>
      <c r="D51">
        <f>VLOOKUP(A51,[57]jwcrwh6htxikq0li!$B$1:$N$17,12,FALSE)</f>
        <v>1.3</v>
      </c>
      <c r="E51">
        <f>VLOOKUP(A51,[41]WRDS!$B$1:$N$13,12,FALSE)</f>
        <v>1.94</v>
      </c>
      <c r="F51" s="1">
        <f t="shared" si="3"/>
        <v>1.4631614529999999</v>
      </c>
      <c r="G51" s="1">
        <f t="shared" si="4"/>
        <v>1.4631614529999999</v>
      </c>
      <c r="H51" s="2">
        <f t="shared" si="0"/>
        <v>0.10526036002954298</v>
      </c>
      <c r="I51" s="2">
        <f>VLOOKUP(A51,[58]bm7qjygn5v5uisp8!$B$1:$N$15,9,FALSE)/100</f>
        <v>0.03</v>
      </c>
      <c r="J51" s="2">
        <f>VLOOKUP(A51,[58]bm7qjygn5v5uisp8!$B$1:$N$15,8,FALSE)/100</f>
        <v>0.03</v>
      </c>
      <c r="K51" s="2">
        <f t="shared" si="1"/>
        <v>-0.7149924245786351</v>
      </c>
      <c r="L51" s="2">
        <f t="shared" si="2"/>
        <v>-0.7149924245786351</v>
      </c>
      <c r="M51">
        <f>VLOOKUP(A51,[58]bm7qjygn5v5uisp8!$B$1:$N$15,7,FALSE)</f>
        <v>1</v>
      </c>
      <c r="N51">
        <f>VLOOKUP(A51,[58]bm7qjygn5v5uisp8!$B$1:$N$15,10,FALSE)</f>
        <v>0</v>
      </c>
    </row>
    <row r="52" spans="1:14" x14ac:dyDescent="0.3">
      <c r="A52" t="s">
        <v>148</v>
      </c>
      <c r="B52" t="str">
        <f>VLOOKUP(A52,'[5]Ticker List'!$H$4:$I$20,2,FALSE)</f>
        <v>AGLT</v>
      </c>
      <c r="C52" t="str">
        <f>VLOOKUP(A52,[57]jwcrwh6htxikq0li!$B$1:$N$17,2,FALSE)</f>
        <v>AGL RESOURCES</v>
      </c>
      <c r="D52">
        <f>VLOOKUP(A52,[57]jwcrwh6htxikq0li!$B$1:$N$17,12,FALSE)</f>
        <v>2.48</v>
      </c>
      <c r="E52">
        <v>2.89</v>
      </c>
      <c r="F52" s="1">
        <f t="shared" si="3"/>
        <v>2.9721900920511444</v>
      </c>
      <c r="G52" s="1">
        <f t="shared" si="4"/>
        <v>2.9858487698468763</v>
      </c>
      <c r="H52" s="2">
        <f t="shared" si="0"/>
        <v>3.8990413575418437E-2</v>
      </c>
      <c r="I52" s="2">
        <f>VLOOKUP(A52,[58]bm7qjygn5v5uisp8!$B$1:$N$15,9,FALSE)/100</f>
        <v>4.6300000000000001E-2</v>
      </c>
      <c r="J52" s="2">
        <f>VLOOKUP(A52,[58]bm7qjygn5v5uisp8!$B$1:$N$15,8,FALSE)/100</f>
        <v>4.7500000000000001E-2</v>
      </c>
      <c r="K52" s="2">
        <f t="shared" si="1"/>
        <v>0.18747137448139056</v>
      </c>
      <c r="L52" s="2">
        <f t="shared" si="2"/>
        <v>0.21824817036427757</v>
      </c>
      <c r="M52">
        <f>VLOOKUP(A52,[58]bm7qjygn5v5uisp8!$B$1:$N$15,7,FALSE)</f>
        <v>8</v>
      </c>
      <c r="N52">
        <f>VLOOKUP(A52,[58]bm7qjygn5v5uisp8!$B$1:$N$15,10,FALSE)</f>
        <v>0.88</v>
      </c>
    </row>
    <row r="53" spans="1:14" x14ac:dyDescent="0.3">
      <c r="A53" t="s">
        <v>143</v>
      </c>
      <c r="B53" t="str">
        <f>VLOOKUP(A53,'[5]Ticker List'!$H$4:$I$20,2,FALSE)</f>
        <v>LG</v>
      </c>
      <c r="C53" t="str">
        <f>VLOOKUP(A53,[57]jwcrwh6htxikq0li!$B$1:$N$17,2,FALSE)</f>
        <v>LACLEDE GROUP</v>
      </c>
      <c r="D53">
        <f>VLOOKUP(A53,[57]jwcrwh6htxikq0li!$B$1:$N$17,12,FALSE)</f>
        <v>2.2999999999999998</v>
      </c>
      <c r="E53">
        <f>VLOOKUP(A53,[41]WRDS!$B$1:$N$13,12,FALSE)</f>
        <v>2.4300000000000002</v>
      </c>
      <c r="F53" s="1">
        <f t="shared" si="3"/>
        <v>2.7956643749999999</v>
      </c>
      <c r="G53" s="1">
        <f t="shared" si="4"/>
        <v>2.7956643749999999</v>
      </c>
      <c r="H53" s="2">
        <f t="shared" si="0"/>
        <v>1.3840437789048421E-2</v>
      </c>
      <c r="I53" s="2">
        <f>VLOOKUP(A53,[58]bm7qjygn5v5uisp8!$B$1:$N$15,9,FALSE)/100</f>
        <v>0.05</v>
      </c>
      <c r="J53" s="2">
        <f>VLOOKUP(A53,[58]bm7qjygn5v5uisp8!$B$1:$N$15,8,FALSE)/100</f>
        <v>0.05</v>
      </c>
      <c r="K53" s="2">
        <f t="shared" si="1"/>
        <v>2.6126024885978465</v>
      </c>
      <c r="L53" s="2">
        <f t="shared" si="2"/>
        <v>2.6126024885978465</v>
      </c>
      <c r="M53">
        <f>VLOOKUP(A53,[58]bm7qjygn5v5uisp8!$B$1:$N$15,7,FALSE)</f>
        <v>1</v>
      </c>
      <c r="N53">
        <f>VLOOKUP(A53,[58]bm7qjygn5v5uisp8!$B$1:$N$15,10,FALSE)</f>
        <v>0</v>
      </c>
    </row>
    <row r="54" spans="1:14" x14ac:dyDescent="0.3">
      <c r="A54" t="s">
        <v>144</v>
      </c>
      <c r="B54" t="str">
        <f>VLOOKUP(A54,'[5]Ticker List'!$H$4:$I$20,2,FALSE)</f>
        <v>GAS</v>
      </c>
      <c r="C54" t="str">
        <f>VLOOKUP(A54,[57]jwcrwh6htxikq0li!$B$1:$N$17,2,FALSE)</f>
        <v>NICOR INC</v>
      </c>
      <c r="D54">
        <f>VLOOKUP(A54,[57]jwcrwh6htxikq0li!$B$1:$N$17,12,FALSE)</f>
        <v>2.29</v>
      </c>
      <c r="E54">
        <f>VLOOKUP(A54,[41]WRDS!$B$1:$N$13,12,FALSE)</f>
        <v>2.98</v>
      </c>
      <c r="F54" s="1">
        <f t="shared" si="3"/>
        <v>2.5774151749</v>
      </c>
      <c r="G54" s="1">
        <f t="shared" si="4"/>
        <v>2.5774151749</v>
      </c>
      <c r="H54" s="2">
        <f t="shared" si="0"/>
        <v>6.8058880676410416E-2</v>
      </c>
      <c r="I54" s="2">
        <f>VLOOKUP(A54,[58]bm7qjygn5v5uisp8!$B$1:$N$15,9,FALSE)/100</f>
        <v>0.03</v>
      </c>
      <c r="J54" s="2">
        <f>VLOOKUP(A54,[58]bm7qjygn5v5uisp8!$B$1:$N$15,8,FALSE)/100</f>
        <v>0.03</v>
      </c>
      <c r="K54" s="2">
        <f t="shared" si="1"/>
        <v>-0.55920521022617753</v>
      </c>
      <c r="L54" s="2">
        <f t="shared" si="2"/>
        <v>-0.55920521022617753</v>
      </c>
      <c r="M54">
        <f>VLOOKUP(A54,[58]bm7qjygn5v5uisp8!$B$1:$N$15,7,FALSE)</f>
        <v>3</v>
      </c>
      <c r="N54">
        <f>VLOOKUP(A54,[58]bm7qjygn5v5uisp8!$B$1:$N$15,10,FALSE)</f>
        <v>1.5</v>
      </c>
    </row>
    <row r="55" spans="1:14" x14ac:dyDescent="0.3">
      <c r="A55" t="s">
        <v>146</v>
      </c>
      <c r="B55" t="str">
        <f>VLOOKUP(A55,'[5]Ticker List'!$H$4:$I$20,2,FALSE)</f>
        <v>PNY</v>
      </c>
      <c r="C55" t="str">
        <f>VLOOKUP(A55,[57]jwcrwh6htxikq0li!$B$1:$N$17,2,FALSE)</f>
        <v>PIEDMONT NAT GAS</v>
      </c>
      <c r="D55">
        <f>VLOOKUP(A55,[57]jwcrwh6htxikq0li!$B$1:$N$17,12,FALSE)</f>
        <v>1.32</v>
      </c>
      <c r="E55">
        <f>VLOOKUP(A55,[41]WRDS!$B$1:$N$13,12,FALSE)</f>
        <v>1.67</v>
      </c>
      <c r="F55" s="1">
        <f t="shared" si="3"/>
        <v>1.5741245528249994</v>
      </c>
      <c r="G55" s="1">
        <f t="shared" si="4"/>
        <v>1.5741245528249994</v>
      </c>
      <c r="H55" s="2">
        <f t="shared" si="0"/>
        <v>6.0560956571610092E-2</v>
      </c>
      <c r="I55" s="2">
        <f>VLOOKUP(A55,[58]bm7qjygn5v5uisp8!$B$1:$N$15,9,FALSE)/100</f>
        <v>4.4999999999999998E-2</v>
      </c>
      <c r="J55" s="2">
        <f>VLOOKUP(A55,[58]bm7qjygn5v5uisp8!$B$1:$N$15,8,FALSE)/100</f>
        <v>4.4999999999999998E-2</v>
      </c>
      <c r="K55" s="2">
        <f t="shared" si="1"/>
        <v>-0.25694700765187045</v>
      </c>
      <c r="L55" s="2">
        <f t="shared" si="2"/>
        <v>-0.25694700765187045</v>
      </c>
      <c r="M55">
        <f>VLOOKUP(A55,[58]bm7qjygn5v5uisp8!$B$1:$N$15,7,FALSE)</f>
        <v>2</v>
      </c>
      <c r="N55">
        <f>VLOOKUP(A55,[58]bm7qjygn5v5uisp8!$B$1:$N$15,10,FALSE)</f>
        <v>0.71</v>
      </c>
    </row>
    <row r="56" spans="1:14" x14ac:dyDescent="0.3">
      <c r="A56" t="s">
        <v>145</v>
      </c>
      <c r="B56" t="str">
        <f>VLOOKUP(A56,'[5]Ticker List'!$H$4:$I$20,2,FALSE)</f>
        <v>WGL</v>
      </c>
      <c r="C56" t="str">
        <f>VLOOKUP(A56,[57]jwcrwh6htxikq0li!$B$1:$N$17,2,FALSE)</f>
        <v>WGL HOLDING INC</v>
      </c>
      <c r="D56">
        <f>VLOOKUP(A56,[57]jwcrwh6htxikq0li!$B$1:$N$17,12,FALSE)</f>
        <v>1.88</v>
      </c>
      <c r="E56">
        <f>VLOOKUP(A56,[41]WRDS!$B$1:$N$13,12,FALSE)</f>
        <v>2.27</v>
      </c>
      <c r="F56" s="1">
        <f t="shared" si="3"/>
        <v>2.1782627802734384</v>
      </c>
      <c r="G56" s="1">
        <f t="shared" si="4"/>
        <v>2.1573432411749991</v>
      </c>
      <c r="H56" s="2">
        <f t="shared" si="0"/>
        <v>4.825514334991321E-2</v>
      </c>
      <c r="I56" s="2">
        <f>VLOOKUP(A56,[58]bm7qjygn5v5uisp8!$B$1:$N$15,9,FALSE)/100</f>
        <v>3.7499999999999999E-2</v>
      </c>
      <c r="J56" s="2">
        <f>VLOOKUP(A56,[58]bm7qjygn5v5uisp8!$B$1:$N$15,8,FALSE)/100</f>
        <v>3.5000000000000003E-2</v>
      </c>
      <c r="K56" s="2">
        <f t="shared" si="1"/>
        <v>-0.22288076675939572</v>
      </c>
      <c r="L56" s="2">
        <f t="shared" si="2"/>
        <v>-0.27468871564210257</v>
      </c>
      <c r="M56">
        <f>VLOOKUP(A56,[58]bm7qjygn5v5uisp8!$B$1:$N$15,7,FALSE)</f>
        <v>4</v>
      </c>
      <c r="N56">
        <f>VLOOKUP(A56,[58]bm7qjygn5v5uisp8!$B$1:$N$15,10,FALSE)</f>
        <v>0.96</v>
      </c>
    </row>
  </sheetData>
  <mergeCells count="3">
    <mergeCell ref="P1:Q1"/>
    <mergeCell ref="P7:Q7"/>
    <mergeCell ref="P13:Q13"/>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63E2B-54EE-4FFE-8E4A-808DD0F9F654}">
  <dimension ref="C3:Z46"/>
  <sheetViews>
    <sheetView tabSelected="1" topLeftCell="A7" zoomScale="70" zoomScaleNormal="70" workbookViewId="0">
      <selection activeCell="Y44" sqref="Y44"/>
    </sheetView>
  </sheetViews>
  <sheetFormatPr defaultRowHeight="14.4" x14ac:dyDescent="0.3"/>
  <sheetData>
    <row r="3" spans="3:26" x14ac:dyDescent="0.3">
      <c r="C3" s="56" t="s">
        <v>303</v>
      </c>
      <c r="D3" s="57"/>
      <c r="E3" s="57"/>
      <c r="F3" s="57"/>
      <c r="G3" s="57"/>
      <c r="H3" s="58"/>
      <c r="K3" s="83" t="s">
        <v>285</v>
      </c>
      <c r="L3" s="84"/>
      <c r="M3" s="84"/>
      <c r="N3" s="84"/>
      <c r="O3" s="84"/>
      <c r="P3" s="84"/>
      <c r="Q3" s="84"/>
      <c r="R3" s="85"/>
    </row>
    <row r="4" spans="3:26" x14ac:dyDescent="0.3">
      <c r="C4" s="77" t="s">
        <v>305</v>
      </c>
      <c r="D4" s="78"/>
      <c r="E4" s="78"/>
      <c r="F4" s="78"/>
      <c r="G4" s="78"/>
      <c r="H4" s="79"/>
      <c r="K4" s="86"/>
      <c r="L4" s="87"/>
      <c r="M4" s="87"/>
      <c r="N4" s="87"/>
      <c r="O4" s="87"/>
      <c r="P4" s="87"/>
      <c r="Q4" s="87"/>
      <c r="R4" s="88"/>
    </row>
    <row r="5" spans="3:26" x14ac:dyDescent="0.3">
      <c r="C5" s="77"/>
      <c r="D5" s="78"/>
      <c r="E5" s="78"/>
      <c r="F5" s="78"/>
      <c r="G5" s="78"/>
      <c r="H5" s="79"/>
      <c r="K5" s="86"/>
      <c r="L5" s="87"/>
      <c r="M5" s="87"/>
      <c r="N5" s="87"/>
      <c r="O5" s="87"/>
      <c r="P5" s="87"/>
      <c r="Q5" s="87"/>
      <c r="R5" s="88"/>
    </row>
    <row r="6" spans="3:26" x14ac:dyDescent="0.3">
      <c r="C6" s="77"/>
      <c r="D6" s="78"/>
      <c r="E6" s="78"/>
      <c r="F6" s="78"/>
      <c r="G6" s="78"/>
      <c r="H6" s="79"/>
      <c r="K6" s="86"/>
      <c r="L6" s="87"/>
      <c r="M6" s="87"/>
      <c r="N6" s="87"/>
      <c r="O6" s="87"/>
      <c r="P6" s="87"/>
      <c r="Q6" s="87"/>
      <c r="R6" s="88"/>
    </row>
    <row r="7" spans="3:26" x14ac:dyDescent="0.3">
      <c r="C7" s="77"/>
      <c r="D7" s="78"/>
      <c r="E7" s="78"/>
      <c r="F7" s="78"/>
      <c r="G7" s="78"/>
      <c r="H7" s="79"/>
      <c r="K7" s="89"/>
      <c r="L7" s="90"/>
      <c r="M7" s="90"/>
      <c r="N7" s="90"/>
      <c r="O7" s="90"/>
      <c r="P7" s="90"/>
      <c r="Q7" s="90"/>
      <c r="R7" s="91"/>
    </row>
    <row r="8" spans="3:26" x14ac:dyDescent="0.3">
      <c r="C8" s="77"/>
      <c r="D8" s="78"/>
      <c r="E8" s="78"/>
      <c r="F8" s="78"/>
      <c r="G8" s="78"/>
      <c r="H8" s="79"/>
    </row>
    <row r="9" spans="3:26" x14ac:dyDescent="0.3">
      <c r="C9" s="77"/>
      <c r="D9" s="78"/>
      <c r="E9" s="78"/>
      <c r="F9" s="78"/>
      <c r="G9" s="78"/>
      <c r="H9" s="79"/>
    </row>
    <row r="10" spans="3:26" x14ac:dyDescent="0.3">
      <c r="C10" s="77"/>
      <c r="D10" s="78"/>
      <c r="E10" s="78"/>
      <c r="F10" s="78"/>
      <c r="G10" s="78"/>
      <c r="H10" s="79"/>
    </row>
    <row r="11" spans="3:26" x14ac:dyDescent="0.3">
      <c r="C11" s="77"/>
      <c r="D11" s="78"/>
      <c r="E11" s="78"/>
      <c r="F11" s="78"/>
      <c r="G11" s="78"/>
      <c r="H11" s="79"/>
    </row>
    <row r="12" spans="3:26" x14ac:dyDescent="0.3">
      <c r="C12" s="77"/>
      <c r="D12" s="78"/>
      <c r="E12" s="78"/>
      <c r="F12" s="78"/>
      <c r="G12" s="78"/>
      <c r="H12" s="79"/>
      <c r="J12" s="112"/>
      <c r="K12" s="112"/>
      <c r="L12" s="112"/>
      <c r="M12" s="112"/>
      <c r="N12" s="112"/>
      <c r="O12" s="112"/>
      <c r="P12" s="112"/>
      <c r="Q12" s="112"/>
      <c r="R12" s="112"/>
      <c r="S12" s="112"/>
      <c r="T12" s="112"/>
      <c r="U12" s="112"/>
      <c r="V12" s="112"/>
      <c r="W12" s="112"/>
      <c r="X12" s="112"/>
      <c r="Y12" s="112"/>
      <c r="Z12" s="112"/>
    </row>
    <row r="13" spans="3:26" x14ac:dyDescent="0.3">
      <c r="C13" s="77"/>
      <c r="D13" s="78"/>
      <c r="E13" s="78"/>
      <c r="F13" s="78"/>
      <c r="G13" s="78"/>
      <c r="H13" s="79"/>
      <c r="J13" s="112"/>
      <c r="K13" s="112"/>
      <c r="L13" s="112"/>
      <c r="M13" s="112"/>
      <c r="N13" s="112"/>
      <c r="O13" s="112"/>
      <c r="P13" s="112"/>
      <c r="Q13" s="112"/>
      <c r="R13" s="112"/>
      <c r="S13" s="112"/>
      <c r="T13" s="113"/>
      <c r="U13" s="113"/>
      <c r="V13" s="113"/>
      <c r="W13" s="113"/>
      <c r="X13" s="113"/>
      <c r="Y13" s="113"/>
      <c r="Z13" s="112"/>
    </row>
    <row r="14" spans="3:26" x14ac:dyDescent="0.3">
      <c r="C14" s="80"/>
      <c r="D14" s="81"/>
      <c r="E14" s="81"/>
      <c r="F14" s="81"/>
      <c r="G14" s="81"/>
      <c r="H14" s="82"/>
      <c r="J14" s="112"/>
      <c r="K14" s="112"/>
      <c r="L14" s="112"/>
      <c r="M14" s="112"/>
      <c r="N14" s="112"/>
      <c r="O14" s="112"/>
      <c r="P14" s="112"/>
      <c r="Q14" s="112"/>
      <c r="R14" s="112"/>
      <c r="S14" s="112"/>
      <c r="T14" s="114"/>
      <c r="U14" s="114"/>
      <c r="V14" s="114"/>
      <c r="W14" s="114"/>
      <c r="X14" s="114"/>
      <c r="Y14" s="114"/>
      <c r="Z14" s="112"/>
    </row>
    <row r="15" spans="3:26" x14ac:dyDescent="0.3">
      <c r="J15" s="112"/>
      <c r="K15" s="112"/>
      <c r="L15" s="112"/>
      <c r="M15" s="112"/>
      <c r="N15" s="112"/>
      <c r="O15" s="112"/>
      <c r="P15" s="112"/>
      <c r="Q15" s="112"/>
      <c r="R15" s="112"/>
      <c r="S15" s="112"/>
      <c r="T15" s="114"/>
      <c r="U15" s="114"/>
      <c r="V15" s="114"/>
      <c r="W15" s="114"/>
      <c r="X15" s="114"/>
      <c r="Y15" s="114"/>
      <c r="Z15" s="112"/>
    </row>
    <row r="16" spans="3:26" x14ac:dyDescent="0.3">
      <c r="J16" s="112"/>
      <c r="K16" s="112"/>
      <c r="L16" s="112"/>
      <c r="M16" s="112"/>
      <c r="N16" s="112"/>
      <c r="O16" s="112"/>
      <c r="P16" s="112"/>
      <c r="Q16" s="112"/>
      <c r="R16" s="112"/>
      <c r="S16" s="112"/>
      <c r="T16" s="114"/>
      <c r="U16" s="114"/>
      <c r="V16" s="114"/>
      <c r="W16" s="114"/>
      <c r="X16" s="114"/>
      <c r="Y16" s="114"/>
      <c r="Z16" s="112"/>
    </row>
    <row r="17" spans="10:26" x14ac:dyDescent="0.3">
      <c r="J17" s="112"/>
      <c r="K17" s="112"/>
      <c r="L17" s="112"/>
      <c r="M17" s="112"/>
      <c r="N17" s="112"/>
      <c r="O17" s="112"/>
      <c r="P17" s="112"/>
      <c r="Q17" s="112"/>
      <c r="R17" s="112"/>
      <c r="S17" s="112"/>
      <c r="T17" s="114"/>
      <c r="U17" s="114"/>
      <c r="V17" s="114"/>
      <c r="W17" s="114"/>
      <c r="X17" s="114"/>
      <c r="Y17" s="114"/>
      <c r="Z17" s="112"/>
    </row>
    <row r="18" spans="10:26" x14ac:dyDescent="0.3">
      <c r="J18" s="112"/>
      <c r="K18" s="112"/>
      <c r="L18" s="112"/>
      <c r="M18" s="112"/>
      <c r="N18" s="112"/>
      <c r="O18" s="112"/>
      <c r="P18" s="112"/>
      <c r="Q18" s="112"/>
      <c r="R18" s="112"/>
      <c r="S18" s="112"/>
      <c r="T18" s="114"/>
      <c r="U18" s="114"/>
      <c r="V18" s="114"/>
      <c r="W18" s="114"/>
      <c r="X18" s="114"/>
      <c r="Y18" s="114"/>
      <c r="Z18" s="112"/>
    </row>
    <row r="19" spans="10:26" x14ac:dyDescent="0.3">
      <c r="J19" s="112"/>
      <c r="K19" s="112"/>
      <c r="L19" s="112"/>
      <c r="M19" s="112"/>
      <c r="N19" s="112"/>
      <c r="O19" s="112"/>
      <c r="P19" s="112"/>
      <c r="Q19" s="112"/>
      <c r="R19" s="112"/>
      <c r="S19" s="112"/>
      <c r="T19" s="114"/>
      <c r="U19" s="114"/>
      <c r="V19" s="114"/>
      <c r="W19" s="114"/>
      <c r="X19" s="114"/>
      <c r="Y19" s="114"/>
      <c r="Z19" s="112"/>
    </row>
    <row r="20" spans="10:26" x14ac:dyDescent="0.3">
      <c r="J20" s="112"/>
      <c r="K20" s="112"/>
      <c r="L20" s="112"/>
      <c r="M20" s="112"/>
      <c r="N20" s="112"/>
      <c r="O20" s="112"/>
      <c r="P20" s="112"/>
      <c r="Q20" s="112"/>
      <c r="R20" s="112"/>
      <c r="S20" s="112"/>
      <c r="T20" s="114"/>
      <c r="U20" s="114"/>
      <c r="V20" s="114"/>
      <c r="W20" s="114"/>
      <c r="X20" s="114"/>
      <c r="Y20" s="114"/>
      <c r="Z20" s="112"/>
    </row>
    <row r="21" spans="10:26" x14ac:dyDescent="0.3">
      <c r="J21" s="112"/>
      <c r="K21" s="112"/>
      <c r="L21" s="112"/>
      <c r="M21" s="112"/>
      <c r="N21" s="112"/>
      <c r="O21" s="112"/>
      <c r="P21" s="112"/>
      <c r="Q21" s="112"/>
      <c r="R21" s="112"/>
      <c r="S21" s="112"/>
      <c r="T21" s="112"/>
      <c r="U21" s="112"/>
      <c r="V21" s="112"/>
      <c r="W21" s="112"/>
      <c r="X21" s="112"/>
      <c r="Y21" s="112"/>
      <c r="Z21" s="112"/>
    </row>
    <row r="22" spans="10:26" x14ac:dyDescent="0.3">
      <c r="J22" s="112"/>
      <c r="K22" s="112"/>
      <c r="L22" s="112"/>
      <c r="M22" s="112"/>
      <c r="N22" s="112"/>
      <c r="O22" s="112"/>
      <c r="P22" s="112"/>
      <c r="Q22" s="112"/>
      <c r="R22" s="112"/>
      <c r="S22" s="112"/>
      <c r="T22" s="112"/>
      <c r="U22" s="112"/>
      <c r="V22" s="112"/>
      <c r="W22" s="112"/>
      <c r="X22" s="112"/>
      <c r="Y22" s="112"/>
      <c r="Z22" s="112"/>
    </row>
    <row r="23" spans="10:26" x14ac:dyDescent="0.3">
      <c r="J23" s="112"/>
      <c r="K23" s="112"/>
      <c r="L23" s="112"/>
      <c r="M23" s="112"/>
      <c r="N23" s="112"/>
      <c r="O23" s="112"/>
      <c r="P23" s="112"/>
      <c r="Q23" s="112"/>
      <c r="R23" s="112"/>
      <c r="S23" s="112"/>
      <c r="T23" s="112"/>
      <c r="U23" s="112"/>
      <c r="V23" s="112"/>
      <c r="W23" s="112"/>
      <c r="X23" s="112"/>
      <c r="Y23" s="112"/>
      <c r="Z23" s="112"/>
    </row>
    <row r="24" spans="10:26" x14ac:dyDescent="0.3">
      <c r="J24" s="112"/>
      <c r="K24" s="112"/>
      <c r="L24" s="112"/>
      <c r="M24" s="112"/>
      <c r="N24" s="112"/>
      <c r="O24" s="112"/>
      <c r="P24" s="112"/>
      <c r="Q24" s="112"/>
      <c r="R24" s="112"/>
      <c r="S24" s="112"/>
      <c r="T24" s="112"/>
      <c r="U24" s="112"/>
      <c r="V24" s="112"/>
      <c r="W24" s="112"/>
      <c r="X24" s="112"/>
      <c r="Y24" s="112"/>
      <c r="Z24" s="112"/>
    </row>
    <row r="25" spans="10:26" x14ac:dyDescent="0.3">
      <c r="J25" s="112"/>
      <c r="K25" s="112"/>
      <c r="L25" s="112"/>
      <c r="M25" s="112"/>
      <c r="N25" s="112"/>
      <c r="O25" s="112"/>
      <c r="P25" s="112"/>
      <c r="Q25" s="112"/>
      <c r="R25" s="112"/>
      <c r="S25" s="112"/>
      <c r="T25" s="112"/>
      <c r="U25" s="112"/>
      <c r="V25" s="112"/>
      <c r="W25" s="112"/>
      <c r="X25" s="112"/>
      <c r="Y25" s="112"/>
      <c r="Z25" s="112"/>
    </row>
    <row r="26" spans="10:26" x14ac:dyDescent="0.3">
      <c r="J26" s="112"/>
      <c r="K26" s="112"/>
      <c r="L26" s="112"/>
      <c r="M26" s="112"/>
      <c r="N26" s="112"/>
      <c r="O26" s="112"/>
      <c r="P26" s="112"/>
      <c r="Q26" s="112"/>
      <c r="R26" s="112"/>
      <c r="S26" s="112"/>
      <c r="T26" s="112"/>
      <c r="U26" s="112"/>
      <c r="V26" s="112"/>
      <c r="W26" s="112"/>
      <c r="X26" s="112"/>
      <c r="Y26" s="112"/>
      <c r="Z26" s="112"/>
    </row>
    <row r="27" spans="10:26" x14ac:dyDescent="0.3">
      <c r="J27" s="112"/>
      <c r="K27" s="112"/>
      <c r="L27" s="112"/>
      <c r="M27" s="112"/>
      <c r="N27" s="112"/>
      <c r="O27" s="112"/>
      <c r="P27" s="112"/>
      <c r="Q27" s="112"/>
      <c r="R27" s="112"/>
      <c r="S27" s="112"/>
      <c r="T27" s="112"/>
      <c r="U27" s="112"/>
      <c r="V27" s="112"/>
      <c r="W27" s="112"/>
      <c r="X27" s="112"/>
      <c r="Y27" s="112"/>
      <c r="Z27" s="112"/>
    </row>
    <row r="28" spans="10:26" x14ac:dyDescent="0.3">
      <c r="J28" s="112"/>
      <c r="K28" s="112"/>
      <c r="L28" s="112"/>
      <c r="M28" s="112"/>
      <c r="N28" s="112"/>
      <c r="O28" s="112"/>
      <c r="P28" s="112"/>
      <c r="Q28" s="112"/>
      <c r="R28" s="112"/>
      <c r="S28" s="112"/>
      <c r="T28" s="112"/>
      <c r="U28" s="112"/>
      <c r="V28" s="112"/>
      <c r="W28" s="112"/>
      <c r="X28" s="112"/>
      <c r="Y28" s="112"/>
      <c r="Z28" s="112"/>
    </row>
    <row r="29" spans="10:26" x14ac:dyDescent="0.3">
      <c r="J29" s="112"/>
      <c r="K29" s="112"/>
      <c r="L29" s="112"/>
      <c r="M29" s="112"/>
      <c r="N29" s="112"/>
      <c r="O29" s="112"/>
      <c r="P29" s="112"/>
      <c r="Q29" s="112"/>
      <c r="R29" s="112"/>
      <c r="S29" s="112"/>
      <c r="T29" s="112"/>
      <c r="U29" s="112"/>
      <c r="V29" s="112"/>
      <c r="W29" s="112"/>
      <c r="X29" s="112"/>
      <c r="Y29" s="112"/>
      <c r="Z29" s="112"/>
    </row>
    <row r="30" spans="10:26" x14ac:dyDescent="0.3">
      <c r="J30" s="112"/>
      <c r="K30" s="112"/>
      <c r="L30" s="112"/>
      <c r="M30" s="112"/>
      <c r="N30" s="112"/>
      <c r="O30" s="112"/>
      <c r="P30" s="112"/>
      <c r="Q30" s="112"/>
      <c r="R30" s="112"/>
      <c r="S30" s="112"/>
      <c r="T30" s="112"/>
      <c r="U30" s="112"/>
      <c r="V30" s="112"/>
      <c r="W30" s="112"/>
      <c r="X30" s="112"/>
      <c r="Y30" s="112"/>
      <c r="Z30" s="112"/>
    </row>
    <row r="31" spans="10:26" x14ac:dyDescent="0.3">
      <c r="J31" s="112"/>
      <c r="K31" s="112"/>
      <c r="L31" s="112"/>
      <c r="M31" s="112"/>
      <c r="N31" s="112"/>
      <c r="O31" s="112"/>
      <c r="P31" s="112"/>
      <c r="Q31" s="112"/>
      <c r="R31" s="112"/>
      <c r="S31" s="112"/>
      <c r="T31" s="112"/>
      <c r="U31" s="112"/>
      <c r="V31" s="112"/>
      <c r="W31" s="112"/>
      <c r="X31" s="112"/>
      <c r="Y31" s="112"/>
      <c r="Z31" s="112"/>
    </row>
    <row r="32" spans="10:26" x14ac:dyDescent="0.3">
      <c r="J32" s="112"/>
      <c r="K32" s="112"/>
      <c r="L32" s="112"/>
      <c r="M32" s="112"/>
      <c r="N32" s="112"/>
      <c r="O32" s="112"/>
      <c r="P32" s="112"/>
      <c r="Q32" s="112"/>
      <c r="R32" s="112"/>
      <c r="S32" s="112"/>
      <c r="T32" s="112"/>
      <c r="U32" s="112"/>
      <c r="V32" s="112"/>
      <c r="W32" s="112"/>
      <c r="X32" s="112"/>
      <c r="Y32" s="112"/>
      <c r="Z32" s="112"/>
    </row>
    <row r="33" spans="10:26" x14ac:dyDescent="0.3">
      <c r="J33" s="112"/>
      <c r="K33" s="112"/>
      <c r="L33" s="112"/>
      <c r="M33" s="112"/>
      <c r="N33" s="112"/>
      <c r="O33" s="112"/>
      <c r="P33" s="112"/>
      <c r="Q33" s="112"/>
      <c r="R33" s="112"/>
      <c r="S33" s="112"/>
      <c r="T33" s="112"/>
      <c r="U33" s="112"/>
      <c r="V33" s="112"/>
      <c r="W33" s="112"/>
      <c r="X33" s="112"/>
      <c r="Y33" s="112"/>
      <c r="Z33" s="112"/>
    </row>
    <row r="34" spans="10:26" x14ac:dyDescent="0.3">
      <c r="J34" s="112"/>
      <c r="K34" s="112"/>
      <c r="L34" s="112"/>
      <c r="M34" s="112"/>
      <c r="N34" s="112"/>
      <c r="O34" s="112"/>
      <c r="P34" s="112"/>
      <c r="Q34" s="112"/>
      <c r="R34" s="112"/>
      <c r="S34" s="112"/>
      <c r="T34" s="112"/>
      <c r="U34" s="112"/>
      <c r="V34" s="112"/>
      <c r="W34" s="112"/>
      <c r="X34" s="112"/>
      <c r="Y34" s="112"/>
      <c r="Z34" s="112"/>
    </row>
    <row r="35" spans="10:26" x14ac:dyDescent="0.3">
      <c r="J35" s="112"/>
      <c r="K35" s="112"/>
      <c r="L35" s="112"/>
      <c r="M35" s="112"/>
      <c r="N35" s="112"/>
      <c r="O35" s="112"/>
      <c r="P35" s="112"/>
      <c r="Q35" s="112"/>
      <c r="R35" s="112"/>
      <c r="S35" s="112"/>
      <c r="T35" s="112"/>
      <c r="U35" s="112"/>
      <c r="V35" s="112"/>
      <c r="W35" s="112"/>
      <c r="X35" s="112"/>
      <c r="Y35" s="112"/>
      <c r="Z35" s="112"/>
    </row>
    <row r="36" spans="10:26" x14ac:dyDescent="0.3">
      <c r="J36" s="112"/>
      <c r="K36" s="112"/>
      <c r="L36" s="112"/>
      <c r="M36" s="112"/>
      <c r="N36" s="112"/>
      <c r="O36" s="112"/>
      <c r="P36" s="112"/>
      <c r="Q36" s="112"/>
      <c r="R36" s="112"/>
      <c r="S36" s="112"/>
      <c r="T36" s="112"/>
      <c r="U36" s="112"/>
      <c r="V36" s="112"/>
      <c r="W36" s="112"/>
      <c r="X36" s="112"/>
      <c r="Y36" s="112"/>
      <c r="Z36" s="112"/>
    </row>
    <row r="37" spans="10:26" x14ac:dyDescent="0.3">
      <c r="J37" s="112"/>
      <c r="K37" s="112"/>
      <c r="L37" s="112"/>
      <c r="M37" s="112"/>
      <c r="N37" s="112"/>
      <c r="O37" s="112"/>
      <c r="P37" s="112"/>
      <c r="Q37" s="112"/>
      <c r="R37" s="112"/>
      <c r="S37" s="112"/>
      <c r="T37" s="112"/>
      <c r="U37" s="112"/>
      <c r="V37" s="112"/>
      <c r="W37" s="112"/>
      <c r="X37" s="112"/>
      <c r="Y37" s="112"/>
      <c r="Z37" s="112"/>
    </row>
    <row r="38" spans="10:26" x14ac:dyDescent="0.3">
      <c r="J38" s="112"/>
      <c r="K38" s="112"/>
      <c r="L38" s="112"/>
      <c r="M38" s="112"/>
      <c r="N38" s="112"/>
      <c r="O38" s="112"/>
      <c r="P38" s="112"/>
      <c r="Q38" s="112"/>
      <c r="R38" s="112"/>
      <c r="S38" s="112"/>
      <c r="T38" s="112"/>
      <c r="U38" s="112"/>
      <c r="V38" s="112"/>
      <c r="W38" s="112"/>
      <c r="X38" s="112"/>
      <c r="Y38" s="112"/>
      <c r="Z38" s="112"/>
    </row>
    <row r="39" spans="10:26" x14ac:dyDescent="0.3">
      <c r="J39" s="112"/>
      <c r="K39" s="112"/>
      <c r="L39" s="112"/>
      <c r="M39" s="112"/>
      <c r="N39" s="112"/>
      <c r="O39" s="112"/>
      <c r="P39" s="112"/>
      <c r="Q39" s="112"/>
      <c r="R39" s="112"/>
      <c r="S39" s="112"/>
      <c r="T39" s="112"/>
      <c r="U39" s="112"/>
      <c r="V39" s="112"/>
      <c r="W39" s="112"/>
      <c r="X39" s="112"/>
      <c r="Y39" s="112"/>
      <c r="Z39" s="112"/>
    </row>
    <row r="40" spans="10:26" x14ac:dyDescent="0.3">
      <c r="J40" s="112"/>
      <c r="K40" s="112"/>
      <c r="L40" s="112"/>
      <c r="M40" s="112"/>
      <c r="N40" s="112"/>
      <c r="O40" s="112"/>
      <c r="P40" s="112"/>
      <c r="Q40" s="112"/>
      <c r="R40" s="112"/>
      <c r="S40" s="112"/>
      <c r="T40" s="112"/>
      <c r="U40" s="112"/>
      <c r="V40" s="112"/>
      <c r="W40" s="112"/>
      <c r="X40" s="112"/>
      <c r="Y40" s="112"/>
      <c r="Z40" s="112"/>
    </row>
    <row r="41" spans="10:26" x14ac:dyDescent="0.3">
      <c r="J41" s="112"/>
      <c r="K41" s="112"/>
      <c r="L41" s="112"/>
      <c r="M41" s="112"/>
      <c r="N41" s="112"/>
      <c r="O41" s="112"/>
      <c r="P41" s="112"/>
      <c r="Q41" s="112"/>
      <c r="R41" s="112"/>
      <c r="S41" s="112"/>
      <c r="T41" s="112"/>
      <c r="U41" s="112"/>
      <c r="V41" s="112"/>
      <c r="W41" s="112"/>
      <c r="X41" s="112"/>
      <c r="Y41" s="112"/>
      <c r="Z41" s="112"/>
    </row>
    <row r="42" spans="10:26" x14ac:dyDescent="0.3">
      <c r="J42" s="112"/>
      <c r="K42" s="112"/>
      <c r="L42" s="112"/>
      <c r="M42" s="112"/>
      <c r="N42" s="112"/>
      <c r="O42" s="112"/>
      <c r="P42" s="112"/>
      <c r="Q42" s="112"/>
      <c r="R42" s="112"/>
      <c r="S42" s="112"/>
      <c r="T42" s="112"/>
      <c r="U42" s="112"/>
      <c r="V42" s="112"/>
      <c r="W42" s="112"/>
      <c r="X42" s="112"/>
      <c r="Y42" s="112"/>
      <c r="Z42" s="112"/>
    </row>
    <row r="43" spans="10:26" x14ac:dyDescent="0.3">
      <c r="J43" s="112"/>
      <c r="K43" s="112"/>
      <c r="L43" s="112"/>
      <c r="M43" s="112"/>
      <c r="N43" s="112"/>
      <c r="O43" s="112"/>
      <c r="P43" s="112"/>
      <c r="Q43" s="112"/>
      <c r="R43" s="112"/>
      <c r="S43" s="112"/>
      <c r="T43" s="112"/>
      <c r="U43" s="112"/>
      <c r="V43" s="112"/>
      <c r="W43" s="112"/>
      <c r="X43" s="112"/>
      <c r="Y43" s="112"/>
      <c r="Z43" s="112"/>
    </row>
    <row r="44" spans="10:26" x14ac:dyDescent="0.3">
      <c r="J44" s="112"/>
      <c r="K44" s="112"/>
      <c r="L44" s="112"/>
      <c r="M44" s="112"/>
      <c r="N44" s="112"/>
      <c r="O44" s="112"/>
      <c r="P44" s="112"/>
      <c r="Q44" s="112"/>
      <c r="R44" s="112"/>
      <c r="S44" s="112"/>
      <c r="T44" s="112"/>
      <c r="U44" s="112"/>
      <c r="V44" s="112"/>
      <c r="W44" s="112"/>
      <c r="X44" s="112"/>
      <c r="Y44" s="112"/>
      <c r="Z44" s="112"/>
    </row>
    <row r="45" spans="10:26" x14ac:dyDescent="0.3">
      <c r="J45" s="112"/>
      <c r="K45" s="112"/>
      <c r="L45" s="112"/>
      <c r="M45" s="112"/>
      <c r="N45" s="112"/>
      <c r="O45" s="112"/>
      <c r="P45" s="112"/>
      <c r="Q45" s="112"/>
      <c r="R45" s="112"/>
      <c r="S45" s="112"/>
      <c r="T45" s="112"/>
      <c r="U45" s="112"/>
      <c r="V45" s="112"/>
      <c r="W45" s="112"/>
      <c r="X45" s="112"/>
      <c r="Y45" s="112"/>
      <c r="Z45" s="112"/>
    </row>
    <row r="46" spans="10:26" x14ac:dyDescent="0.3">
      <c r="J46" s="112"/>
      <c r="K46" s="112"/>
      <c r="L46" s="112"/>
      <c r="M46" s="112"/>
      <c r="N46" s="112"/>
      <c r="O46" s="112"/>
      <c r="P46" s="112"/>
      <c r="Q46" s="112"/>
      <c r="R46" s="112"/>
      <c r="S46" s="112"/>
      <c r="T46" s="112"/>
      <c r="U46" s="112"/>
      <c r="V46" s="112"/>
      <c r="W46" s="112"/>
      <c r="X46" s="112"/>
      <c r="Y46" s="112"/>
      <c r="Z46" s="112"/>
    </row>
  </sheetData>
  <mergeCells count="3">
    <mergeCell ref="C3:H3"/>
    <mergeCell ref="C4:H14"/>
    <mergeCell ref="K3:R7"/>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98983-AE49-4CAE-9343-D45CBB74422C}">
  <dimension ref="A1:Q55"/>
  <sheetViews>
    <sheetView topLeftCell="A19" workbookViewId="0">
      <selection activeCell="A55" sqref="A55"/>
    </sheetView>
  </sheetViews>
  <sheetFormatPr defaultRowHeight="14.4" x14ac:dyDescent="0.3"/>
  <cols>
    <col min="1" max="1" width="13.33203125" bestFit="1" customWidth="1"/>
    <col min="2" max="2" width="10.44140625" bestFit="1" customWidth="1"/>
    <col min="3" max="3" width="15.109375" bestFit="1" customWidth="1"/>
    <col min="4" max="5" width="15.44140625" bestFit="1" customWidth="1"/>
    <col min="6" max="6" width="14.33203125" bestFit="1" customWidth="1"/>
    <col min="7" max="7" width="16" bestFit="1" customWidth="1"/>
    <col min="8" max="8" width="18.33203125" bestFit="1" customWidth="1"/>
    <col min="9" max="9" width="21.44140625" bestFit="1" customWidth="1"/>
    <col min="10" max="10" width="23.109375" bestFit="1" customWidth="1"/>
    <col min="11" max="11" width="22" bestFit="1" customWidth="1"/>
    <col min="12" max="12" width="24.109375" bestFit="1" customWidth="1"/>
    <col min="13" max="13" width="19.88671875" bestFit="1" customWidth="1"/>
    <col min="14" max="14" width="8.33203125" bestFit="1" customWidth="1"/>
    <col min="16" max="16" width="51.88671875" bestFit="1" customWidth="1"/>
    <col min="17" max="17" width="12" bestFit="1" customWidth="1"/>
  </cols>
  <sheetData>
    <row r="1" spans="1:17" x14ac:dyDescent="0.3">
      <c r="A1" s="4" t="s">
        <v>0</v>
      </c>
      <c r="B1" s="4" t="s">
        <v>1</v>
      </c>
      <c r="C1" s="4" t="s">
        <v>2</v>
      </c>
      <c r="D1" s="4" t="s">
        <v>90</v>
      </c>
      <c r="E1" s="4" t="s">
        <v>81</v>
      </c>
      <c r="F1" s="4" t="s">
        <v>5</v>
      </c>
      <c r="G1" s="4" t="s">
        <v>6</v>
      </c>
      <c r="H1" s="4" t="s">
        <v>7</v>
      </c>
      <c r="I1" s="4" t="s">
        <v>8</v>
      </c>
      <c r="J1" s="4" t="s">
        <v>9</v>
      </c>
      <c r="K1" s="4" t="s">
        <v>10</v>
      </c>
      <c r="L1" s="4" t="s">
        <v>11</v>
      </c>
      <c r="M1" s="4" t="s">
        <v>12</v>
      </c>
      <c r="N1" s="4" t="s">
        <v>13</v>
      </c>
      <c r="P1" s="111" t="s">
        <v>14</v>
      </c>
      <c r="Q1" s="111"/>
    </row>
    <row r="2" spans="1:17" x14ac:dyDescent="0.3">
      <c r="A2" t="s">
        <v>15</v>
      </c>
      <c r="B2" t="str">
        <f>VLOOKUP(A2,[59]WRDS!$A$1:$N$100,2,FALSE)</f>
        <v>UEP</v>
      </c>
      <c r="C2" t="str">
        <f>VLOOKUP(A2,[59]WRDS!$A$1:$N$100,3,FALSE)</f>
        <v>AMEREN CP</v>
      </c>
      <c r="D2">
        <f>VLOOKUP(A2,[59]WRDS!$A$1:$N$100,13,FALSE)</f>
        <v>2.82</v>
      </c>
      <c r="E2">
        <f>VLOOKUP(A2,[43]WRDS!$A$1:$N$100,13,FALSE)</f>
        <v>2.95</v>
      </c>
      <c r="F2" s="1">
        <f>D2*(1+I2)^4</f>
        <v>3.2360148617624991</v>
      </c>
      <c r="G2" s="1">
        <f>D2*(1+J2)^4</f>
        <v>3.1739348441999997</v>
      </c>
      <c r="H2" s="2">
        <f t="shared" ref="H2:H55" si="0">((E2/D2)^(1/4)-1)</f>
        <v>1.1330783858454208E-2</v>
      </c>
      <c r="I2" s="2">
        <f>VLOOKUP(A2,[60]WRDS!$A$1:$O$100,10,FALSE)/100</f>
        <v>3.5000000000000003E-2</v>
      </c>
      <c r="J2" s="2">
        <f>VLOOKUP(A2,[60]WRDS!$A$1:$O$100,9,FALSE)/100</f>
        <v>0.03</v>
      </c>
      <c r="K2" s="2">
        <f t="shared" ref="K2:K55" si="1">(I2-H2)/(ABS(H2))</f>
        <v>2.088930160280619</v>
      </c>
      <c r="L2" s="2">
        <f t="shared" ref="L2:L55" si="2">(J2-H2)/(ABS(H2))</f>
        <v>1.6476544230976728</v>
      </c>
      <c r="M2">
        <f>VLOOKUP(A2,[60]WRDS!$A$1:$O$100,8,FALSE)</f>
        <v>6</v>
      </c>
      <c r="N2">
        <f>VLOOKUP(A2,[60]WRDS!$A$1:$O$100,11,FALSE)</f>
        <v>1.38</v>
      </c>
      <c r="P2" t="s">
        <v>16</v>
      </c>
      <c r="Q2" s="3">
        <f>AVERAGE(H2:H999)</f>
        <v>2.3548342313893442E-2</v>
      </c>
    </row>
    <row r="3" spans="1:17" x14ac:dyDescent="0.3">
      <c r="A3" t="s">
        <v>17</v>
      </c>
      <c r="B3" t="str">
        <f>VLOOKUP(A3,[59]WRDS!$A$1:$N$100,2,FALSE)</f>
        <v>MPL</v>
      </c>
      <c r="C3" t="str">
        <f>VLOOKUP(A3,[59]WRDS!$A$1:$N$100,3,FALSE)</f>
        <v>ALLETE INC</v>
      </c>
      <c r="D3">
        <f>VLOOKUP(A3,[59]WRDS!$A$1:$N$100,13,FALSE)</f>
        <v>3.62</v>
      </c>
      <c r="E3">
        <f>VLOOKUP(A3,[43]WRDS!$A$1:$N$100,13,FALSE)</f>
        <v>2.82</v>
      </c>
      <c r="F3" s="1">
        <f t="shared" ref="F3:F55" si="3">D3*(1+I3)^4</f>
        <v>4.0743418921999996</v>
      </c>
      <c r="G3" s="1">
        <f t="shared" ref="G3:G55" si="4">D3*(1+J3)^4</f>
        <v>4.0743418921999996</v>
      </c>
      <c r="H3" s="2">
        <f t="shared" si="0"/>
        <v>-6.0525201837130505E-2</v>
      </c>
      <c r="I3" s="2">
        <f>VLOOKUP(A3,[60]WRDS!$A$1:$O$100,10,FALSE)/100</f>
        <v>0.03</v>
      </c>
      <c r="J3" s="2">
        <f>VLOOKUP(A3,[60]WRDS!$A$1:$O$100,9,FALSE)/100</f>
        <v>0.03</v>
      </c>
      <c r="K3" s="2">
        <f t="shared" si="1"/>
        <v>1.4956612962766833</v>
      </c>
      <c r="L3" s="2">
        <f t="shared" si="2"/>
        <v>1.4956612962766833</v>
      </c>
      <c r="M3">
        <f>VLOOKUP(A3,[60]WRDS!$A$1:$O$100,8,FALSE)</f>
        <v>1</v>
      </c>
      <c r="N3">
        <f>VLOOKUP(A3,[60]WRDS!$A$1:$O$100,11,FALSE)</f>
        <v>0</v>
      </c>
      <c r="P3" t="s">
        <v>18</v>
      </c>
      <c r="Q3" s="3">
        <f>AVERAGE(I2:I999)</f>
        <v>4.3788888888888884E-2</v>
      </c>
    </row>
    <row r="4" spans="1:17" x14ac:dyDescent="0.3">
      <c r="A4" t="s">
        <v>63</v>
      </c>
      <c r="B4" t="str">
        <f>VLOOKUP(A4,[59]WRDS!$A$1:$N$100,2,FALSE)</f>
        <v>WWP</v>
      </c>
      <c r="C4" t="str">
        <f>VLOOKUP(A4,[59]WRDS!$A$1:$N$100,3,FALSE)</f>
        <v>AVISTA CORP</v>
      </c>
      <c r="D4">
        <f>VLOOKUP(A4,[59]WRDS!$A$1:$N$100,13,FALSE)</f>
        <v>1</v>
      </c>
      <c r="E4">
        <f>VLOOKUP(A4,[43]WRDS!$A$1:$N$100,13,FALSE)</f>
        <v>1.36</v>
      </c>
      <c r="F4" s="1">
        <f t="shared" si="3"/>
        <v>1.1847775861605119</v>
      </c>
      <c r="G4" s="1">
        <f t="shared" si="4"/>
        <v>1.1698585600000002</v>
      </c>
      <c r="H4" s="2">
        <f t="shared" si="0"/>
        <v>7.9902948865804291E-2</v>
      </c>
      <c r="I4" s="2">
        <f>VLOOKUP(A4,[60]WRDS!$A$1:$O$100,10,FALSE)/100</f>
        <v>4.3299999999999998E-2</v>
      </c>
      <c r="J4" s="2">
        <f>VLOOKUP(A4,[60]WRDS!$A$1:$O$100,9,FALSE)/100</f>
        <v>0.04</v>
      </c>
      <c r="K4" s="2">
        <f t="shared" si="1"/>
        <v>-0.45809259089146198</v>
      </c>
      <c r="L4" s="2">
        <f t="shared" si="2"/>
        <v>-0.49939269366416811</v>
      </c>
      <c r="M4">
        <f>VLOOKUP(A4,[60]WRDS!$A$1:$O$100,8,FALSE)</f>
        <v>3</v>
      </c>
      <c r="N4">
        <f>VLOOKUP(A4,[60]WRDS!$A$1:$O$100,11,FALSE)</f>
        <v>0.57999999999999996</v>
      </c>
      <c r="P4" t="s">
        <v>20</v>
      </c>
      <c r="Q4" s="3">
        <f>(Q3-Q2)/ABS(Q2)</f>
        <v>0.85953169463880219</v>
      </c>
    </row>
    <row r="5" spans="1:17" x14ac:dyDescent="0.3">
      <c r="A5" t="s">
        <v>83</v>
      </c>
      <c r="B5" t="str">
        <f>VLOOKUP(A5,[59]WRDS!$A$1:$N$100,2,FALSE)</f>
        <v>BGE</v>
      </c>
      <c r="C5" t="str">
        <f>VLOOKUP(A5,[59]WRDS!$A$1:$N$100,3,FALSE)</f>
        <v>CONSTELLATION EN</v>
      </c>
      <c r="D5">
        <f>VLOOKUP(A5,[59]WRDS!$A$1:$N$100,13,FALSE)</f>
        <v>3.24</v>
      </c>
      <c r="E5">
        <f>VLOOKUP(A5,[43]WRDS!$A$1:$N$100,13,FALSE)</f>
        <v>3.57</v>
      </c>
      <c r="F5" s="1">
        <f t="shared" si="3"/>
        <v>4.3253102235145686</v>
      </c>
      <c r="G5" s="1">
        <f t="shared" si="4"/>
        <v>4.4079842304000012</v>
      </c>
      <c r="H5" s="2">
        <f t="shared" si="0"/>
        <v>2.4544441519990912E-2</v>
      </c>
      <c r="I5" s="2">
        <f>VLOOKUP(A5,[60]WRDS!$A$1:$O$100,10,FALSE)/100</f>
        <v>7.4900000000000008E-2</v>
      </c>
      <c r="J5" s="2">
        <f>VLOOKUP(A5,[60]WRDS!$A$1:$O$100,9,FALSE)/100</f>
        <v>0.08</v>
      </c>
      <c r="K5" s="2">
        <f t="shared" si="1"/>
        <v>2.0516074256159218</v>
      </c>
      <c r="L5" s="2">
        <f t="shared" si="2"/>
        <v>2.2593937790290215</v>
      </c>
      <c r="M5">
        <f>VLOOKUP(A5,[60]WRDS!$A$1:$O$100,8,FALSE)</f>
        <v>7</v>
      </c>
      <c r="N5">
        <f>VLOOKUP(A5,[60]WRDS!$A$1:$O$100,11,FALSE)</f>
        <v>1.76</v>
      </c>
      <c r="P5" t="s">
        <v>22</v>
      </c>
      <c r="Q5" s="3">
        <f>AVERAGE(J2:J999)</f>
        <v>4.2814814814814819E-2</v>
      </c>
    </row>
    <row r="6" spans="1:17" x14ac:dyDescent="0.3">
      <c r="A6" t="s">
        <v>21</v>
      </c>
      <c r="B6" t="str">
        <f>VLOOKUP(A6,[59]WRDS!$A$1:$N$100,2,FALSE)</f>
        <v>CMS</v>
      </c>
      <c r="C6" t="str">
        <f>VLOOKUP(A6,[59]WRDS!$A$1:$N$100,3,FALSE)</f>
        <v>CMS ENERGY CORP</v>
      </c>
      <c r="D6">
        <f>VLOOKUP(A6,[59]WRDS!$A$1:$N$100,13,FALSE)</f>
        <v>0.85</v>
      </c>
      <c r="E6">
        <f>VLOOKUP(A6,[43]WRDS!$A$1:$N$100,13,FALSE)</f>
        <v>1.25</v>
      </c>
      <c r="F6" s="1">
        <f t="shared" si="3"/>
        <v>0.95668248849999993</v>
      </c>
      <c r="G6" s="1">
        <f t="shared" si="4"/>
        <v>0.95668248849999993</v>
      </c>
      <c r="H6" s="2">
        <f t="shared" si="0"/>
        <v>0.10121665678542335</v>
      </c>
      <c r="I6" s="2">
        <f>VLOOKUP(A6,[60]WRDS!$A$1:$O$100,10,FALSE)/100</f>
        <v>0.03</v>
      </c>
      <c r="J6" s="2">
        <f>VLOOKUP(A6,[60]WRDS!$A$1:$O$100,9,FALSE)/100</f>
        <v>0.03</v>
      </c>
      <c r="K6" s="2">
        <f t="shared" si="1"/>
        <v>-0.70360609653805095</v>
      </c>
      <c r="L6" s="2">
        <f t="shared" si="2"/>
        <v>-0.70360609653805095</v>
      </c>
      <c r="M6">
        <f>VLOOKUP(A6,[60]WRDS!$A$1:$O$100,8,FALSE)</f>
        <v>5</v>
      </c>
      <c r="N6">
        <f>VLOOKUP(A6,[60]WRDS!$A$1:$O$100,11,FALSE)</f>
        <v>0.71</v>
      </c>
      <c r="P6" t="s">
        <v>24</v>
      </c>
      <c r="Q6" s="3">
        <f>(Q5-Q2)/ABS(Q2)</f>
        <v>0.81816682652664785</v>
      </c>
    </row>
    <row r="7" spans="1:17" x14ac:dyDescent="0.3">
      <c r="A7" t="s">
        <v>71</v>
      </c>
      <c r="B7" t="str">
        <f>VLOOKUP(A7,[59]WRDS!$A$1:$N$100,2,FALSE)</f>
        <v>CNL</v>
      </c>
      <c r="C7" t="str">
        <f>VLOOKUP(A7,[59]WRDS!$A$1:$N$100,3,FALSE)</f>
        <v>CLECO CORP</v>
      </c>
      <c r="D7">
        <f>VLOOKUP(A7,[59]WRDS!$A$1:$N$100,13,FALSE)</f>
        <v>1.33</v>
      </c>
      <c r="E7">
        <f>VLOOKUP(A7,[43]WRDS!$A$1:$N$100,13,FALSE)</f>
        <v>1.7</v>
      </c>
      <c r="F7" s="1">
        <f t="shared" si="3"/>
        <v>1.5559118848000004</v>
      </c>
      <c r="G7" s="1">
        <f t="shared" si="4"/>
        <v>1.5559118848000004</v>
      </c>
      <c r="H7" s="2">
        <f t="shared" si="0"/>
        <v>6.3284101159877038E-2</v>
      </c>
      <c r="I7" s="2">
        <f>VLOOKUP(A7,[60]WRDS!$A$1:$O$100,10,FALSE)/100</f>
        <v>0.04</v>
      </c>
      <c r="J7" s="2">
        <f>VLOOKUP(A7,[60]WRDS!$A$1:$O$100,9,FALSE)/100</f>
        <v>0.04</v>
      </c>
      <c r="K7" s="2">
        <f t="shared" si="1"/>
        <v>-0.36792971272600561</v>
      </c>
      <c r="L7" s="2">
        <f t="shared" si="2"/>
        <v>-0.36792971272600561</v>
      </c>
      <c r="M7">
        <f>VLOOKUP(A7,[60]WRDS!$A$1:$O$100,8,FALSE)</f>
        <v>1</v>
      </c>
      <c r="N7">
        <f>VLOOKUP(A7,[60]WRDS!$A$1:$O$100,11,FALSE)</f>
        <v>0</v>
      </c>
      <c r="P7" s="111" t="s">
        <v>26</v>
      </c>
      <c r="Q7" s="111"/>
    </row>
    <row r="8" spans="1:17" x14ac:dyDescent="0.3">
      <c r="A8" t="s">
        <v>23</v>
      </c>
      <c r="B8" t="str">
        <f>VLOOKUP(A8,[59]WRDS!$A$1:$N$100,2,FALSE)</f>
        <v>HOU</v>
      </c>
      <c r="C8" t="str">
        <f>VLOOKUP(A8,[59]WRDS!$A$1:$N$100,3,FALSE)</f>
        <v>CENTERPOINT ENER</v>
      </c>
      <c r="D8">
        <f>VLOOKUP(A8,[59]WRDS!$A$1:$N$100,13,FALSE)</f>
        <v>0.53</v>
      </c>
      <c r="E8">
        <f>VLOOKUP(A8,[43]WRDS!$A$1:$N$100,13,FALSE)</f>
        <v>1.3</v>
      </c>
      <c r="F8" s="1">
        <f t="shared" si="3"/>
        <v>0.68747852401953979</v>
      </c>
      <c r="G8" s="1">
        <f t="shared" si="4"/>
        <v>0.61054108091648007</v>
      </c>
      <c r="H8" s="2">
        <f t="shared" si="0"/>
        <v>0.25145970527242234</v>
      </c>
      <c r="I8" s="2">
        <f>VLOOKUP(A8,[60]WRDS!$A$1:$O$100,10,FALSE)/100</f>
        <v>6.7199999999999996E-2</v>
      </c>
      <c r="J8" s="2">
        <f>VLOOKUP(A8,[60]WRDS!$A$1:$O$100,9,FALSE)/100</f>
        <v>3.6000000000000004E-2</v>
      </c>
      <c r="K8" s="2">
        <f t="shared" si="1"/>
        <v>-0.73276036442022419</v>
      </c>
      <c r="L8" s="2">
        <f t="shared" si="2"/>
        <v>-0.85683590951083433</v>
      </c>
      <c r="M8">
        <f>VLOOKUP(A8,[60]WRDS!$A$1:$O$100,8,FALSE)</f>
        <v>5</v>
      </c>
      <c r="N8">
        <f>VLOOKUP(A8,[60]WRDS!$A$1:$O$100,11,FALSE)</f>
        <v>7.44</v>
      </c>
      <c r="P8" t="s">
        <v>28</v>
      </c>
      <c r="Q8" s="2">
        <f>MEDIAN(H2:H99)</f>
        <v>4.3067457914217622E-2</v>
      </c>
    </row>
    <row r="9" spans="1:17" x14ac:dyDescent="0.3">
      <c r="A9" t="s">
        <v>25</v>
      </c>
      <c r="B9" t="str">
        <f>VLOOKUP(A9,[59]WRDS!$A$1:$N$100,2,FALSE)</f>
        <v>D</v>
      </c>
      <c r="C9" t="str">
        <f>VLOOKUP(A9,[59]WRDS!$A$1:$N$100,3,FALSE)</f>
        <v>DOMINION RES INC</v>
      </c>
      <c r="D9">
        <f>VLOOKUP(A9,[59]WRDS!$A$1:$N$100,13,FALSE)</f>
        <v>2.3050000000000002</v>
      </c>
      <c r="E9">
        <f>VLOOKUP(A9,[43]WRDS!$A$1:$N$100,13,FALSE)</f>
        <v>3.16</v>
      </c>
      <c r="F9" s="1">
        <f t="shared" si="3"/>
        <v>2.9056194114686549</v>
      </c>
      <c r="G9" s="1">
        <f t="shared" si="4"/>
        <v>2.910009392800001</v>
      </c>
      <c r="H9" s="2">
        <f t="shared" si="0"/>
        <v>8.2066715323774408E-2</v>
      </c>
      <c r="I9" s="2">
        <f>VLOOKUP(A9,[60]WRDS!$A$1:$O$100,10,FALSE)/100</f>
        <v>5.96E-2</v>
      </c>
      <c r="J9" s="2">
        <f>VLOOKUP(A9,[60]WRDS!$A$1:$O$100,9,FALSE)/100</f>
        <v>0.06</v>
      </c>
      <c r="K9" s="2">
        <f t="shared" si="1"/>
        <v>-0.27376160036547592</v>
      </c>
      <c r="L9" s="2">
        <f t="shared" si="2"/>
        <v>-0.26888751714645232</v>
      </c>
      <c r="M9">
        <f>VLOOKUP(A9,[60]WRDS!$A$1:$O$100,8,FALSE)</f>
        <v>8</v>
      </c>
      <c r="N9">
        <f>VLOOKUP(A9,[60]WRDS!$A$1:$O$100,11,FALSE)</f>
        <v>0.88</v>
      </c>
      <c r="P9" t="s">
        <v>30</v>
      </c>
      <c r="Q9" s="2">
        <f>MEDIAN(I2:I100)</f>
        <v>4.3050000000000005E-2</v>
      </c>
    </row>
    <row r="10" spans="1:17" x14ac:dyDescent="0.3">
      <c r="A10" t="s">
        <v>86</v>
      </c>
      <c r="B10" t="str">
        <f>VLOOKUP(A10,[59]WRDS!$A$1:$N$100,2,FALSE)</f>
        <v>DPL</v>
      </c>
      <c r="C10" t="str">
        <f>VLOOKUP(A10,[59]WRDS!$A$1:$N$100,3,FALSE)</f>
        <v>DPL INC</v>
      </c>
      <c r="D10">
        <f>VLOOKUP(A10,[59]WRDS!$A$1:$N$100,13,FALSE)</f>
        <v>1.78</v>
      </c>
      <c r="E10">
        <f>VLOOKUP(A10,[43]WRDS!$A$1:$N$100,13,FALSE)</f>
        <v>2.0499999999999998</v>
      </c>
      <c r="F10" s="1">
        <f t="shared" si="3"/>
        <v>2.0823482368000006</v>
      </c>
      <c r="G10" s="1">
        <f t="shared" si="4"/>
        <v>2.0823482368000006</v>
      </c>
      <c r="H10" s="2">
        <f t="shared" si="0"/>
        <v>3.5937285954031228E-2</v>
      </c>
      <c r="I10" s="2">
        <f>VLOOKUP(A10,[60]WRDS!$A$1:$O$100,10,FALSE)/100</f>
        <v>0.04</v>
      </c>
      <c r="J10" s="2">
        <f>VLOOKUP(A10,[60]WRDS!$A$1:$O$100,9,FALSE)/100</f>
        <v>0.04</v>
      </c>
      <c r="K10" s="2">
        <f t="shared" si="1"/>
        <v>0.1130501076560302</v>
      </c>
      <c r="L10" s="2">
        <f t="shared" si="2"/>
        <v>0.1130501076560302</v>
      </c>
      <c r="M10">
        <f>VLOOKUP(A10,[60]WRDS!$A$1:$O$100,8,FALSE)</f>
        <v>5</v>
      </c>
      <c r="N10">
        <f>VLOOKUP(A10,[60]WRDS!$A$1:$O$100,11,FALSE)</f>
        <v>1.58</v>
      </c>
      <c r="P10" t="s">
        <v>32</v>
      </c>
      <c r="Q10" s="2">
        <f>(Q9-Q8)/ABS(Q8)</f>
        <v>-4.0536207761297869E-4</v>
      </c>
    </row>
    <row r="11" spans="1:17" x14ac:dyDescent="0.3">
      <c r="A11" t="s">
        <v>27</v>
      </c>
      <c r="B11" t="str">
        <f>VLOOKUP(A11,[59]WRDS!$A$1:$N$100,2,FALSE)</f>
        <v>DTE</v>
      </c>
      <c r="C11" t="str">
        <f>VLOOKUP(A11,[59]WRDS!$A$1:$N$100,3,FALSE)</f>
        <v>DTE ENERGY</v>
      </c>
      <c r="D11">
        <f>VLOOKUP(A11,[59]WRDS!$A$1:$N$100,13,FALSE)</f>
        <v>2.46</v>
      </c>
      <c r="E11">
        <f>VLOOKUP(A11,[43]WRDS!$A$1:$N$100,13,FALSE)</f>
        <v>2.9</v>
      </c>
      <c r="F11" s="1">
        <f t="shared" si="3"/>
        <v>2.9335957575374985</v>
      </c>
      <c r="G11" s="1">
        <f t="shared" si="4"/>
        <v>2.990145375</v>
      </c>
      <c r="H11" s="2">
        <f t="shared" si="0"/>
        <v>4.1995210385968207E-2</v>
      </c>
      <c r="I11" s="2">
        <f>VLOOKUP(A11,[60]WRDS!$A$1:$O$100,10,FALSE)/100</f>
        <v>4.4999999999999998E-2</v>
      </c>
      <c r="J11" s="2">
        <f>VLOOKUP(A11,[60]WRDS!$A$1:$O$100,9,FALSE)/100</f>
        <v>0.05</v>
      </c>
      <c r="K11" s="2">
        <f t="shared" si="1"/>
        <v>7.1550769395258867E-2</v>
      </c>
      <c r="L11" s="2">
        <f t="shared" si="2"/>
        <v>0.19061196599473218</v>
      </c>
      <c r="M11">
        <f>VLOOKUP(A11,[60]WRDS!$A$1:$O$100,8,FALSE)</f>
        <v>4</v>
      </c>
      <c r="N11">
        <f>VLOOKUP(A11,[60]WRDS!$A$1:$O$100,11,FALSE)</f>
        <v>1.73</v>
      </c>
      <c r="P11" t="s">
        <v>34</v>
      </c>
      <c r="Q11" s="2">
        <f>MEDIAN(J2:J99)</f>
        <v>0.04</v>
      </c>
    </row>
    <row r="12" spans="1:17" x14ac:dyDescent="0.3">
      <c r="A12" t="s">
        <v>29</v>
      </c>
      <c r="B12" t="str">
        <f>VLOOKUP(A12,[59]WRDS!$A$1:$N$100,2,FALSE)</f>
        <v>DUK</v>
      </c>
      <c r="C12" t="str">
        <f>VLOOKUP(A12,[59]WRDS!$A$1:$N$100,3,FALSE)</f>
        <v>DUKE ENERGY CORP</v>
      </c>
      <c r="D12">
        <f>VLOOKUP(A12,[59]WRDS!$A$1:$N$100,13,FALSE)</f>
        <v>4.05</v>
      </c>
      <c r="E12">
        <f>VLOOKUP(A12,[43]WRDS!$A$1:$N$100,13,FALSE)</f>
        <v>3.63</v>
      </c>
      <c r="F12" s="1">
        <f t="shared" si="3"/>
        <v>4.7525222351110337</v>
      </c>
      <c r="G12" s="1">
        <f t="shared" si="4"/>
        <v>4.7379271680000006</v>
      </c>
      <c r="H12" s="2">
        <f t="shared" si="0"/>
        <v>-2.6999865156094982E-2</v>
      </c>
      <c r="I12" s="2">
        <f>VLOOKUP(A12,[60]WRDS!$A$1:$O$100,10,FALSE)/100</f>
        <v>4.0800000000000003E-2</v>
      </c>
      <c r="J12" s="2">
        <f>VLOOKUP(A12,[60]WRDS!$A$1:$O$100,9,FALSE)/100</f>
        <v>0.04</v>
      </c>
      <c r="K12" s="2">
        <f t="shared" si="1"/>
        <v>2.5111186579681775</v>
      </c>
      <c r="L12" s="2">
        <f t="shared" si="2"/>
        <v>2.4814888803609585</v>
      </c>
      <c r="M12">
        <f>VLOOKUP(A12,[60]WRDS!$A$1:$O$100,8,FALSE)</f>
        <v>14</v>
      </c>
      <c r="N12">
        <f>VLOOKUP(A12,[60]WRDS!$A$1:$O$100,11,FALSE)</f>
        <v>2.14</v>
      </c>
      <c r="P12" t="s">
        <v>32</v>
      </c>
      <c r="Q12" s="2">
        <f>(Q11-Q8)/ABS(Q8)</f>
        <v>-7.1224494381057449E-2</v>
      </c>
    </row>
    <row r="13" spans="1:17" x14ac:dyDescent="0.3">
      <c r="A13" t="s">
        <v>31</v>
      </c>
      <c r="B13" t="str">
        <f>VLOOKUP(A13,[59]WRDS!$A$1:$N$100,2,FALSE)</f>
        <v>ED</v>
      </c>
      <c r="C13" t="str">
        <f>VLOOKUP(A13,[59]WRDS!$A$1:$N$100,3,FALSE)</f>
        <v>CONSOLIDATED EDI</v>
      </c>
      <c r="D13">
        <f>VLOOKUP(A13,[59]WRDS!$A$1:$N$100,13,FALSE)</f>
        <v>2.63</v>
      </c>
      <c r="E13">
        <f>VLOOKUP(A13,[43]WRDS!$A$1:$N$100,13,FALSE)</f>
        <v>3</v>
      </c>
      <c r="F13" s="1">
        <f t="shared" si="3"/>
        <v>2.939450469508869</v>
      </c>
      <c r="G13" s="1">
        <f t="shared" si="4"/>
        <v>2.8467965808</v>
      </c>
      <c r="H13" s="2">
        <f t="shared" si="0"/>
        <v>3.3454537830937436E-2</v>
      </c>
      <c r="I13" s="2">
        <f>VLOOKUP(A13,[60]WRDS!$A$1:$O$100,10,FALSE)/100</f>
        <v>2.8199999999999999E-2</v>
      </c>
      <c r="J13" s="2">
        <f>VLOOKUP(A13,[60]WRDS!$A$1:$O$100,9,FALSE)/100</f>
        <v>0.02</v>
      </c>
      <c r="K13" s="2">
        <f t="shared" si="1"/>
        <v>-0.15706502530363003</v>
      </c>
      <c r="L13" s="2">
        <f t="shared" si="2"/>
        <v>-0.40217377681108513</v>
      </c>
      <c r="M13">
        <f>VLOOKUP(A13,[60]WRDS!$A$1:$O$100,8,FALSE)</f>
        <v>9</v>
      </c>
      <c r="N13">
        <f>VLOOKUP(A13,[60]WRDS!$A$1:$O$100,11,FALSE)</f>
        <v>1.59</v>
      </c>
      <c r="P13" s="111" t="s">
        <v>37</v>
      </c>
      <c r="Q13" s="111"/>
    </row>
    <row r="14" spans="1:17" x14ac:dyDescent="0.3">
      <c r="A14" t="s">
        <v>72</v>
      </c>
      <c r="B14" t="str">
        <f>VLOOKUP(A14,[59]WRDS!$A$1:$N$100,2,FALSE)</f>
        <v>EDE</v>
      </c>
      <c r="C14" t="str">
        <f>VLOOKUP(A14,[59]WRDS!$A$1:$N$100,3,FALSE)</f>
        <v>EMPIRE DIST ELEC</v>
      </c>
      <c r="D14">
        <f>VLOOKUP(A14,[59]WRDS!$A$1:$N$100,13,FALSE)</f>
        <v>0.85</v>
      </c>
      <c r="E14">
        <f>VLOOKUP(A14,[43]WRDS!$A$1:$N$100,13,FALSE)</f>
        <v>1.17</v>
      </c>
      <c r="F14" s="1">
        <f t="shared" si="3"/>
        <v>0.93824095703124977</v>
      </c>
      <c r="G14" s="1">
        <f t="shared" si="4"/>
        <v>0.93824095703124977</v>
      </c>
      <c r="H14" s="2">
        <f t="shared" si="0"/>
        <v>8.3157806283352453E-2</v>
      </c>
      <c r="I14" s="2">
        <f>VLOOKUP(A14,[60]WRDS!$A$1:$O$100,10,FALSE)/100</f>
        <v>2.5000000000000001E-2</v>
      </c>
      <c r="J14" s="2">
        <f>VLOOKUP(A14,[60]WRDS!$A$1:$O$100,9,FALSE)/100</f>
        <v>2.5000000000000001E-2</v>
      </c>
      <c r="K14" s="2">
        <f t="shared" si="1"/>
        <v>-0.69936676882967741</v>
      </c>
      <c r="L14" s="2">
        <f t="shared" si="2"/>
        <v>-0.69936676882967741</v>
      </c>
      <c r="M14">
        <f>VLOOKUP(A14,[60]WRDS!$A$1:$O$100,8,FALSE)</f>
        <v>2</v>
      </c>
      <c r="N14">
        <f>VLOOKUP(A14,[60]WRDS!$A$1:$O$100,11,FALSE)</f>
        <v>0.71</v>
      </c>
      <c r="P14" t="s">
        <v>39</v>
      </c>
      <c r="Q14" s="1">
        <f>AVERAGE(M2:M1002)</f>
        <v>5.0185185185185182</v>
      </c>
    </row>
    <row r="15" spans="1:17" x14ac:dyDescent="0.3">
      <c r="A15" t="s">
        <v>33</v>
      </c>
      <c r="B15" t="str">
        <f>VLOOKUP(A15,[59]WRDS!$A$1:$N$100,2,FALSE)</f>
        <v>SCE</v>
      </c>
      <c r="C15" t="str">
        <f>VLOOKUP(A15,[59]WRDS!$A$1:$N$100,3,FALSE)</f>
        <v>EDISON INTL</v>
      </c>
      <c r="D15">
        <f>VLOOKUP(A15,[59]WRDS!$A$1:$N$100,13,FALSE)</f>
        <v>1.96</v>
      </c>
      <c r="E15">
        <f>VLOOKUP(A15,[43]WRDS!$A$1:$N$100,13,FALSE)</f>
        <v>3.84</v>
      </c>
      <c r="F15" s="1">
        <f t="shared" si="3"/>
        <v>2.375139919642018</v>
      </c>
      <c r="G15" s="1">
        <f t="shared" si="4"/>
        <v>2.3823922500000001</v>
      </c>
      <c r="H15" s="2">
        <f t="shared" si="0"/>
        <v>0.18309273704453544</v>
      </c>
      <c r="I15" s="2">
        <f>VLOOKUP(A15,[60]WRDS!$A$1:$O$100,10,FALSE)/100</f>
        <v>4.9200000000000001E-2</v>
      </c>
      <c r="J15" s="2">
        <f>VLOOKUP(A15,[60]WRDS!$A$1:$O$100,9,FALSE)/100</f>
        <v>0.05</v>
      </c>
      <c r="K15" s="2">
        <f t="shared" si="1"/>
        <v>-0.73128371559581529</v>
      </c>
      <c r="L15" s="2">
        <f t="shared" si="2"/>
        <v>-0.72691434511769848</v>
      </c>
      <c r="M15">
        <f>VLOOKUP(A15,[60]WRDS!$A$1:$O$100,8,FALSE)</f>
        <v>4</v>
      </c>
      <c r="N15">
        <f>VLOOKUP(A15,[60]WRDS!$A$1:$O$100,11,FALSE)</f>
        <v>1.76</v>
      </c>
      <c r="P15" t="s">
        <v>41</v>
      </c>
      <c r="Q15" s="1">
        <f>COUNT(N2:N1002)</f>
        <v>54</v>
      </c>
    </row>
    <row r="16" spans="1:17" x14ac:dyDescent="0.3">
      <c r="A16" t="s">
        <v>59</v>
      </c>
      <c r="B16" t="str">
        <f>VLOOKUP(A16,[59]WRDS!$A$1:$N$100,2,FALSE)</f>
        <v>MSU</v>
      </c>
      <c r="C16" t="str">
        <f>VLOOKUP(A16,[59]WRDS!$A$1:$N$100,3,FALSE)</f>
        <v>ENTERGY CP</v>
      </c>
      <c r="D16">
        <f>VLOOKUP(A16,[59]WRDS!$A$1:$N$100,13,FALSE)</f>
        <v>3.78</v>
      </c>
      <c r="E16">
        <f>VLOOKUP(A16,[43]WRDS!$A$1:$N$100,13,FALSE)</f>
        <v>6.51</v>
      </c>
      <c r="F16" s="1">
        <f t="shared" si="3"/>
        <v>4.666798538264934</v>
      </c>
      <c r="G16" s="1">
        <f t="shared" si="4"/>
        <v>4.594613625</v>
      </c>
      <c r="H16" s="2">
        <f t="shared" si="0"/>
        <v>0.14557175491919105</v>
      </c>
      <c r="I16" s="2">
        <f>VLOOKUP(A16,[60]WRDS!$A$1:$O$100,10,FALSE)/100</f>
        <v>5.4100000000000002E-2</v>
      </c>
      <c r="J16" s="2">
        <f>VLOOKUP(A16,[60]WRDS!$A$1:$O$100,9,FALSE)/100</f>
        <v>0.05</v>
      </c>
      <c r="K16" s="2">
        <f t="shared" si="1"/>
        <v>-0.62836197152372253</v>
      </c>
      <c r="L16" s="2">
        <f t="shared" si="2"/>
        <v>-0.65652677589992847</v>
      </c>
      <c r="M16">
        <f>VLOOKUP(A16,[60]WRDS!$A$1:$O$100,8,FALSE)</f>
        <v>9</v>
      </c>
      <c r="N16">
        <f>VLOOKUP(A16,[60]WRDS!$A$1:$O$100,11,FALSE)</f>
        <v>1.55</v>
      </c>
    </row>
    <row r="17" spans="1:14" x14ac:dyDescent="0.3">
      <c r="A17" t="s">
        <v>35</v>
      </c>
      <c r="B17" t="str">
        <f>VLOOKUP(A17,[59]WRDS!$A$1:$N$100,2,FALSE)</f>
        <v>PE</v>
      </c>
      <c r="C17" t="str">
        <f>VLOOKUP(A17,[59]WRDS!$A$1:$N$100,3,FALSE)</f>
        <v>EXELON CORP</v>
      </c>
      <c r="D17">
        <f>VLOOKUP(A17,[59]WRDS!$A$1:$N$100,13,FALSE)</f>
        <v>2.77</v>
      </c>
      <c r="E17">
        <f>VLOOKUP(A17,[43]WRDS!$A$1:$N$100,13,FALSE)</f>
        <v>4.2</v>
      </c>
      <c r="F17" s="1">
        <f t="shared" si="3"/>
        <v>3.4354491257401794</v>
      </c>
      <c r="G17" s="1">
        <f t="shared" si="4"/>
        <v>3.4315442822312496</v>
      </c>
      <c r="H17" s="2">
        <f t="shared" si="0"/>
        <v>0.10966625758561821</v>
      </c>
      <c r="I17" s="2">
        <f>VLOOKUP(A17,[60]WRDS!$A$1:$O$100,10,FALSE)/100</f>
        <v>5.5300000000000002E-2</v>
      </c>
      <c r="J17" s="2">
        <f>VLOOKUP(A17,[60]WRDS!$A$1:$O$100,9,FALSE)/100</f>
        <v>5.5E-2</v>
      </c>
      <c r="K17" s="2">
        <f t="shared" si="1"/>
        <v>-0.49574279985959763</v>
      </c>
      <c r="L17" s="2">
        <f t="shared" si="2"/>
        <v>-0.49847837237392167</v>
      </c>
      <c r="M17">
        <f>VLOOKUP(A17,[60]WRDS!$A$1:$O$100,8,FALSE)</f>
        <v>8</v>
      </c>
      <c r="N17">
        <f>VLOOKUP(A17,[60]WRDS!$A$1:$O$100,11,FALSE)</f>
        <v>1.36</v>
      </c>
    </row>
    <row r="18" spans="1:14" x14ac:dyDescent="0.3">
      <c r="A18" t="s">
        <v>67</v>
      </c>
      <c r="B18" t="str">
        <f>VLOOKUP(A18,[59]WRDS!$A$1:$N$100,2,FALSE)</f>
        <v>OEC</v>
      </c>
      <c r="C18" t="str">
        <f>VLOOKUP(A18,[59]WRDS!$A$1:$N$100,3,FALSE)</f>
        <v>FIRSTENERGY CORP</v>
      </c>
      <c r="D18">
        <f>VLOOKUP(A18,[59]WRDS!$A$1:$N$100,13,FALSE)</f>
        <v>2.89</v>
      </c>
      <c r="E18">
        <f>VLOOKUP(A18,[43]WRDS!$A$1:$N$100,13,FALSE)</f>
        <v>4.57</v>
      </c>
      <c r="F18" s="1">
        <f t="shared" si="3"/>
        <v>3.4556223547335683</v>
      </c>
      <c r="G18" s="1">
        <f t="shared" si="4"/>
        <v>3.5128130625000002</v>
      </c>
      <c r="H18" s="2">
        <f t="shared" si="0"/>
        <v>0.12138460439163579</v>
      </c>
      <c r="I18" s="2">
        <f>VLOOKUP(A18,[60]WRDS!$A$1:$O$100,10,FALSE)/100</f>
        <v>4.5700000000000005E-2</v>
      </c>
      <c r="J18" s="2">
        <f>VLOOKUP(A18,[60]WRDS!$A$1:$O$100,9,FALSE)/100</f>
        <v>0.05</v>
      </c>
      <c r="K18" s="2">
        <f t="shared" si="1"/>
        <v>-0.62351073903447152</v>
      </c>
      <c r="L18" s="2">
        <f t="shared" si="2"/>
        <v>-0.58808614774012202</v>
      </c>
      <c r="M18">
        <f>VLOOKUP(A18,[60]WRDS!$A$1:$O$100,8,FALSE)</f>
        <v>7</v>
      </c>
      <c r="N18">
        <f>VLOOKUP(A18,[60]WRDS!$A$1:$O$100,11,FALSE)</f>
        <v>0.98</v>
      </c>
    </row>
    <row r="19" spans="1:14" x14ac:dyDescent="0.3">
      <c r="A19" t="s">
        <v>89</v>
      </c>
      <c r="B19" t="str">
        <f>VLOOKUP(A19,[59]WRDS!$A$1:$N$100,2,FALSE)</f>
        <v>FPL</v>
      </c>
      <c r="C19" t="str">
        <f>VLOOKUP(A19,[59]WRDS!$A$1:$N$100,3,FALSE)</f>
        <v>FPL GROUP</v>
      </c>
      <c r="D19">
        <f>VLOOKUP(A19,[59]WRDS!$A$1:$N$100,13,FALSE)</f>
        <v>0.61499999999999999</v>
      </c>
      <c r="E19">
        <f>VLOOKUP(A19,[43]WRDS!$A$1:$N$100,13,FALSE)</f>
        <v>0.96</v>
      </c>
      <c r="F19" s="1">
        <f t="shared" si="3"/>
        <v>0.73059569771904009</v>
      </c>
      <c r="G19" s="1">
        <f t="shared" si="4"/>
        <v>0.74753634375</v>
      </c>
      <c r="H19" s="2">
        <f t="shared" si="0"/>
        <v>0.11776119771123228</v>
      </c>
      <c r="I19" s="2">
        <f>VLOOKUP(A19,[60]WRDS!$A$1:$O$100,10,FALSE)/100</f>
        <v>4.4000000000000004E-2</v>
      </c>
      <c r="J19" s="2">
        <f>VLOOKUP(A19,[60]WRDS!$A$1:$O$100,9,FALSE)/100</f>
        <v>0.05</v>
      </c>
      <c r="K19" s="2">
        <f t="shared" si="1"/>
        <v>-0.62636249583759784</v>
      </c>
      <c r="L19" s="2">
        <f t="shared" si="2"/>
        <v>-0.57541192708817945</v>
      </c>
      <c r="M19">
        <f>VLOOKUP(A19,[60]WRDS!$A$1:$O$100,8,FALSE)</f>
        <v>10</v>
      </c>
      <c r="N19">
        <f>VLOOKUP(A19,[60]WRDS!$A$1:$O$100,11,FALSE)</f>
        <v>1.51</v>
      </c>
    </row>
    <row r="20" spans="1:14" x14ac:dyDescent="0.3">
      <c r="A20" t="s">
        <v>68</v>
      </c>
      <c r="B20" t="str">
        <f>VLOOKUP(A20,[59]WRDS!$A$1:$N$100,2,FALSE)</f>
        <v>KLT</v>
      </c>
      <c r="C20" t="str">
        <f>VLOOKUP(A20,[59]WRDS!$A$1:$N$100,3,FALSE)</f>
        <v>GREAT PLAINS</v>
      </c>
      <c r="D20">
        <f>VLOOKUP(A20,[59]WRDS!$A$1:$N$100,13,FALSE)</f>
        <v>2.4500000000000002</v>
      </c>
      <c r="E20">
        <f>VLOOKUP(A20,[43]WRDS!$A$1:$N$100,13,FALSE)</f>
        <v>1.37</v>
      </c>
      <c r="F20" s="1">
        <f t="shared" si="3"/>
        <v>2.7843660240019532</v>
      </c>
      <c r="G20" s="1">
        <f t="shared" si="4"/>
        <v>2.7574965845000001</v>
      </c>
      <c r="H20" s="2">
        <f t="shared" si="0"/>
        <v>-0.13525388273114181</v>
      </c>
      <c r="I20" s="2">
        <f>VLOOKUP(A20,[60]WRDS!$A$1:$O$100,10,FALSE)/100</f>
        <v>3.2500000000000001E-2</v>
      </c>
      <c r="J20" s="2">
        <f>VLOOKUP(A20,[60]WRDS!$A$1:$O$100,9,FALSE)/100</f>
        <v>0.03</v>
      </c>
      <c r="K20" s="2">
        <f t="shared" si="1"/>
        <v>1.2402888504473002</v>
      </c>
      <c r="L20" s="2">
        <f t="shared" si="2"/>
        <v>1.2218050927205848</v>
      </c>
      <c r="M20">
        <f>VLOOKUP(A20,[60]WRDS!$A$1:$O$100,8,FALSE)</f>
        <v>4</v>
      </c>
      <c r="N20">
        <f>VLOOKUP(A20,[60]WRDS!$A$1:$O$100,11,FALSE)</f>
        <v>0.5</v>
      </c>
    </row>
    <row r="21" spans="1:14" x14ac:dyDescent="0.3">
      <c r="A21" t="s">
        <v>36</v>
      </c>
      <c r="B21" t="str">
        <f>VLOOKUP(A21,[59]WRDS!$A$1:$N$100,2,FALSE)</f>
        <v>HE</v>
      </c>
      <c r="C21" t="str">
        <f>VLOOKUP(A21,[59]WRDS!$A$1:$N$100,3,FALSE)</f>
        <v>HAWAIIAN ELEC</v>
      </c>
      <c r="D21">
        <f>VLOOKUP(A21,[59]WRDS!$A$1:$N$100,13,FALSE)</f>
        <v>1.66</v>
      </c>
      <c r="E21">
        <f>VLOOKUP(A21,[43]WRDS!$A$1:$N$100,13,FALSE)</f>
        <v>1.49</v>
      </c>
      <c r="F21" s="1">
        <f t="shared" si="3"/>
        <v>1.8323293984374995</v>
      </c>
      <c r="G21" s="1">
        <f t="shared" si="4"/>
        <v>1.8323293984374995</v>
      </c>
      <c r="H21" s="2">
        <f t="shared" si="0"/>
        <v>-2.6648852766109732E-2</v>
      </c>
      <c r="I21" s="2">
        <f>VLOOKUP(A21,[60]WRDS!$A$1:$O$100,10,FALSE)/100</f>
        <v>2.5000000000000001E-2</v>
      </c>
      <c r="J21" s="2">
        <f>VLOOKUP(A21,[60]WRDS!$A$1:$O$100,9,FALSE)/100</f>
        <v>2.5000000000000001E-2</v>
      </c>
      <c r="K21" s="2">
        <f t="shared" si="1"/>
        <v>1.9381266885827584</v>
      </c>
      <c r="L21" s="2">
        <f t="shared" si="2"/>
        <v>1.9381266885827584</v>
      </c>
      <c r="M21">
        <f>VLOOKUP(A21,[60]WRDS!$A$1:$O$100,8,FALSE)</f>
        <v>7</v>
      </c>
      <c r="N21">
        <f>VLOOKUP(A21,[60]WRDS!$A$1:$O$100,11,FALSE)</f>
        <v>1.38</v>
      </c>
    </row>
    <row r="22" spans="1:14" x14ac:dyDescent="0.3">
      <c r="A22" t="s">
        <v>40</v>
      </c>
      <c r="B22" t="str">
        <f>VLOOKUP(A22,[59]WRDS!$A$1:$N$100,2,FALSE)</f>
        <v>WPL</v>
      </c>
      <c r="C22" t="str">
        <f>VLOOKUP(A22,[59]WRDS!$A$1:$N$100,3,FALSE)</f>
        <v>ALLIANT ENER</v>
      </c>
      <c r="D22">
        <f>VLOOKUP(A22,[59]WRDS!$A$1:$N$100,13,FALSE)</f>
        <v>0.88500000000000001</v>
      </c>
      <c r="E22">
        <f>VLOOKUP(A22,[43]WRDS!$A$1:$N$100,13,FALSE)</f>
        <v>1.2150000000000001</v>
      </c>
      <c r="F22" s="1">
        <f t="shared" si="3"/>
        <v>1.1151855023900057</v>
      </c>
      <c r="G22" s="1">
        <f t="shared" si="4"/>
        <v>1.0757230312500001</v>
      </c>
      <c r="H22" s="2">
        <f t="shared" si="0"/>
        <v>8.2451014516321974E-2</v>
      </c>
      <c r="I22" s="2">
        <f>VLOOKUP(A22,[60]WRDS!$A$1:$O$100,10,FALSE)/100</f>
        <v>5.9500000000000004E-2</v>
      </c>
      <c r="J22" s="2">
        <f>VLOOKUP(A22,[60]WRDS!$A$1:$O$100,9,FALSE)/100</f>
        <v>0.05</v>
      </c>
      <c r="K22" s="2">
        <f t="shared" si="1"/>
        <v>-0.27835939498086582</v>
      </c>
      <c r="L22" s="2">
        <f t="shared" si="2"/>
        <v>-0.39357932351333264</v>
      </c>
      <c r="M22">
        <f>VLOOKUP(A22,[60]WRDS!$A$1:$O$100,8,FALSE)</f>
        <v>4</v>
      </c>
      <c r="N22">
        <f>VLOOKUP(A22,[60]WRDS!$A$1:$O$100,11,FALSE)</f>
        <v>4.1500000000000004</v>
      </c>
    </row>
    <row r="23" spans="1:14" x14ac:dyDescent="0.3">
      <c r="A23" t="s">
        <v>60</v>
      </c>
      <c r="B23" t="str">
        <f>VLOOKUP(A23,[59]WRDS!$A$1:$N$100,2,FALSE)</f>
        <v>BSE</v>
      </c>
      <c r="C23" t="str">
        <f>VLOOKUP(A23,[59]WRDS!$A$1:$N$100,3,FALSE)</f>
        <v>NSTAR</v>
      </c>
      <c r="D23">
        <f>VLOOKUP(A23,[59]WRDS!$A$1:$N$100,13,FALSE)</f>
        <v>1.76</v>
      </c>
      <c r="E23">
        <f>VLOOKUP(A23,[43]WRDS!$A$1:$N$100,13,FALSE)</f>
        <v>2.2200000000000002</v>
      </c>
      <c r="F23" s="1">
        <f t="shared" si="3"/>
        <v>2.0852085516425007</v>
      </c>
      <c r="G23" s="1">
        <f t="shared" si="4"/>
        <v>2.1392910000000001</v>
      </c>
      <c r="H23" s="2">
        <f t="shared" si="0"/>
        <v>5.9766230680823096E-2</v>
      </c>
      <c r="I23" s="2">
        <f>VLOOKUP(A23,[60]WRDS!$A$1:$O$100,10,FALSE)/100</f>
        <v>4.3299999999999998E-2</v>
      </c>
      <c r="J23" s="2">
        <f>VLOOKUP(A23,[60]WRDS!$A$1:$O$100,9,FALSE)/100</f>
        <v>0.05</v>
      </c>
      <c r="K23" s="2">
        <f t="shared" si="1"/>
        <v>-0.27551061014303746</v>
      </c>
      <c r="L23" s="2">
        <f t="shared" si="2"/>
        <v>-0.16340717106586305</v>
      </c>
      <c r="M23">
        <f>VLOOKUP(A23,[60]WRDS!$A$1:$O$100,8,FALSE)</f>
        <v>3</v>
      </c>
      <c r="N23">
        <f>VLOOKUP(A23,[60]WRDS!$A$1:$O$100,11,FALSE)</f>
        <v>1.1499999999999999</v>
      </c>
    </row>
    <row r="24" spans="1:14" x14ac:dyDescent="0.3">
      <c r="A24" t="s">
        <v>78</v>
      </c>
      <c r="B24" t="str">
        <f>VLOOKUP(A24,[59]WRDS!$A$1:$N$100,2,FALSE)</f>
        <v>NU</v>
      </c>
      <c r="C24" t="str">
        <f>VLOOKUP(A24,[59]WRDS!$A$1:$N$100,3,FALSE)</f>
        <v>NORTHEAST UTILS</v>
      </c>
      <c r="D24">
        <f>VLOOKUP(A24,[59]WRDS!$A$1:$N$100,13,FALSE)</f>
        <v>1.29</v>
      </c>
      <c r="E24">
        <f>VLOOKUP(A24,[43]WRDS!$A$1:$N$100,13,FALSE)</f>
        <v>1.86</v>
      </c>
      <c r="F24" s="1">
        <f t="shared" si="3"/>
        <v>1.5236806943003904</v>
      </c>
      <c r="G24" s="1">
        <f t="shared" si="4"/>
        <v>1.5383489948062494</v>
      </c>
      <c r="H24" s="2">
        <f t="shared" si="0"/>
        <v>9.5798769653659077E-2</v>
      </c>
      <c r="I24" s="2">
        <f>VLOOKUP(A24,[60]WRDS!$A$1:$O$100,10,FALSE)/100</f>
        <v>4.2500000000000003E-2</v>
      </c>
      <c r="J24" s="2">
        <f>VLOOKUP(A24,[60]WRDS!$A$1:$O$100,9,FALSE)/100</f>
        <v>4.4999999999999998E-2</v>
      </c>
      <c r="K24" s="2">
        <f t="shared" si="1"/>
        <v>-0.55636173456454519</v>
      </c>
      <c r="L24" s="2">
        <f t="shared" si="2"/>
        <v>-0.53026536600951846</v>
      </c>
      <c r="M24">
        <f>VLOOKUP(A24,[60]WRDS!$A$1:$O$100,8,FALSE)</f>
        <v>4</v>
      </c>
      <c r="N24">
        <f>VLOOKUP(A24,[60]WRDS!$A$1:$O$100,11,FALSE)</f>
        <v>0.96</v>
      </c>
    </row>
    <row r="25" spans="1:14" x14ac:dyDescent="0.3">
      <c r="A25" t="s">
        <v>44</v>
      </c>
      <c r="B25" t="str">
        <f>VLOOKUP(A25,[59]WRDS!$A$1:$N$100,2,FALSE)</f>
        <v>OGE</v>
      </c>
      <c r="C25" t="str">
        <f>VLOOKUP(A25,[59]WRDS!$A$1:$N$100,3,FALSE)</f>
        <v>OGE ENERGY CORP</v>
      </c>
      <c r="D25">
        <f>VLOOKUP(A25,[59]WRDS!$A$1:$N$100,13,FALSE)</f>
        <v>0.86</v>
      </c>
      <c r="E25">
        <f>VLOOKUP(A25,[43]WRDS!$A$1:$N$100,13,FALSE)</f>
        <v>1.2450000000000001</v>
      </c>
      <c r="F25" s="1">
        <f t="shared" si="3"/>
        <v>0.98040195545512798</v>
      </c>
      <c r="G25" s="1">
        <f t="shared" si="4"/>
        <v>0.9679375765999999</v>
      </c>
      <c r="H25" s="2">
        <f t="shared" si="0"/>
        <v>9.6901739111826313E-2</v>
      </c>
      <c r="I25" s="2">
        <f>VLOOKUP(A25,[60]WRDS!$A$1:$O$100,10,FALSE)/100</f>
        <v>3.3300000000000003E-2</v>
      </c>
      <c r="J25" s="2">
        <f>VLOOKUP(A25,[60]WRDS!$A$1:$O$100,9,FALSE)/100</f>
        <v>0.03</v>
      </c>
      <c r="K25" s="2">
        <f t="shared" si="1"/>
        <v>-0.65635291682875563</v>
      </c>
      <c r="L25" s="2">
        <f t="shared" si="2"/>
        <v>-0.69040803317905919</v>
      </c>
      <c r="M25">
        <f>VLOOKUP(A25,[60]WRDS!$A$1:$O$100,8,FALSE)</f>
        <v>3</v>
      </c>
      <c r="N25">
        <f>VLOOKUP(A25,[60]WRDS!$A$1:$O$100,11,FALSE)</f>
        <v>0.57999999999999996</v>
      </c>
    </row>
    <row r="26" spans="1:14" x14ac:dyDescent="0.3">
      <c r="A26" t="s">
        <v>69</v>
      </c>
      <c r="B26" t="str">
        <f>VLOOKUP(A26,[59]WRDS!$A$1:$N$100,2,FALSE)</f>
        <v>OTTR</v>
      </c>
      <c r="C26" t="str">
        <f>VLOOKUP(A26,[59]WRDS!$A$1:$N$100,3,FALSE)</f>
        <v>OTTER TAIL CORP.</v>
      </c>
      <c r="D26">
        <f>VLOOKUP(A26,[59]WRDS!$A$1:$N$100,13,FALSE)</f>
        <v>1.55</v>
      </c>
      <c r="E26">
        <f>VLOOKUP(A26,[43]WRDS!$A$1:$N$100,13,FALSE)</f>
        <v>1.0900000000000001</v>
      </c>
      <c r="F26" s="1">
        <f t="shared" si="3"/>
        <v>1.8604611041264476</v>
      </c>
      <c r="G26" s="1">
        <f t="shared" si="4"/>
        <v>1.8840346875</v>
      </c>
      <c r="H26" s="2">
        <f t="shared" si="0"/>
        <v>-8.4256805232846732E-2</v>
      </c>
      <c r="I26" s="2">
        <f>VLOOKUP(A26,[60]WRDS!$A$1:$O$100,10,FALSE)/100</f>
        <v>4.6699999999999998E-2</v>
      </c>
      <c r="J26" s="2">
        <f>VLOOKUP(A26,[60]WRDS!$A$1:$O$100,9,FALSE)/100</f>
        <v>0.05</v>
      </c>
      <c r="K26" s="2">
        <f t="shared" si="1"/>
        <v>1.5542579008418709</v>
      </c>
      <c r="L26" s="2">
        <f t="shared" si="2"/>
        <v>1.5934238767043585</v>
      </c>
      <c r="M26">
        <f>VLOOKUP(A26,[60]WRDS!$A$1:$O$100,8,FALSE)</f>
        <v>3</v>
      </c>
      <c r="N26">
        <f>VLOOKUP(A26,[60]WRDS!$A$1:$O$100,11,FALSE)</f>
        <v>0.57999999999999996</v>
      </c>
    </row>
    <row r="27" spans="1:14" x14ac:dyDescent="0.3">
      <c r="A27" t="s">
        <v>45</v>
      </c>
      <c r="B27" t="str">
        <f>VLOOKUP(A27,[59]WRDS!$A$1:$N$100,2,FALSE)</f>
        <v>PCG</v>
      </c>
      <c r="C27" t="str">
        <f>VLOOKUP(A27,[59]WRDS!$A$1:$N$100,3,FALSE)</f>
        <v>P G &amp; E CORP</v>
      </c>
      <c r="D27">
        <f>VLOOKUP(A27,[59]WRDS!$A$1:$N$100,13,FALSE)</f>
        <v>2.12</v>
      </c>
      <c r="E27">
        <f>VLOOKUP(A27,[43]WRDS!$A$1:$N$100,13,FALSE)</f>
        <v>2.95</v>
      </c>
      <c r="F27" s="1">
        <f t="shared" si="3"/>
        <v>2.7201453406513876</v>
      </c>
      <c r="G27" s="1">
        <f t="shared" si="4"/>
        <v>2.6263082593249996</v>
      </c>
      <c r="H27" s="2">
        <f t="shared" si="0"/>
        <v>8.6104314120604375E-2</v>
      </c>
      <c r="I27" s="2">
        <f>VLOOKUP(A27,[60]WRDS!$A$1:$O$100,10,FALSE)/100</f>
        <v>6.4299999999999996E-2</v>
      </c>
      <c r="J27" s="2">
        <f>VLOOKUP(A27,[60]WRDS!$A$1:$O$100,9,FALSE)/100</f>
        <v>5.5E-2</v>
      </c>
      <c r="K27" s="2">
        <f t="shared" si="1"/>
        <v>-0.25323137804760359</v>
      </c>
      <c r="L27" s="2">
        <f t="shared" si="2"/>
        <v>-0.36123990346218032</v>
      </c>
      <c r="M27">
        <f>VLOOKUP(A27,[60]WRDS!$A$1:$O$100,8,FALSE)</f>
        <v>6</v>
      </c>
      <c r="N27">
        <f>VLOOKUP(A27,[60]WRDS!$A$1:$O$100,11,FALSE)</f>
        <v>2.4500000000000002</v>
      </c>
    </row>
    <row r="28" spans="1:14" x14ac:dyDescent="0.3">
      <c r="A28" t="s">
        <v>46</v>
      </c>
      <c r="B28" t="str">
        <f>VLOOKUP(A28,[59]WRDS!$A$1:$N$100,2,FALSE)</f>
        <v>PEG</v>
      </c>
      <c r="C28" t="str">
        <f>VLOOKUP(A28,[59]WRDS!$A$1:$N$100,3,FALSE)</f>
        <v>PUB SVC ENTERS</v>
      </c>
      <c r="D28">
        <f>VLOOKUP(A28,[59]WRDS!$A$1:$N$100,13,FALSE)</f>
        <v>1.53</v>
      </c>
      <c r="E28">
        <f>VLOOKUP(A28,[43]WRDS!$A$1:$N$100,13,FALSE)</f>
        <v>2.92</v>
      </c>
      <c r="F28" s="1">
        <f t="shared" si="3"/>
        <v>1.7557101909562496</v>
      </c>
      <c r="G28" s="1">
        <f t="shared" si="4"/>
        <v>1.7557101909562496</v>
      </c>
      <c r="H28" s="2">
        <f t="shared" si="0"/>
        <v>0.1753652733465052</v>
      </c>
      <c r="I28" s="2">
        <f>VLOOKUP(A28,[60]WRDS!$A$1:$O$100,10,FALSE)/100</f>
        <v>3.5000000000000003E-2</v>
      </c>
      <c r="J28" s="2">
        <f>VLOOKUP(A28,[60]WRDS!$A$1:$O$100,9,FALSE)/100</f>
        <v>3.5000000000000003E-2</v>
      </c>
      <c r="K28" s="2">
        <f t="shared" si="1"/>
        <v>-0.80041658572365515</v>
      </c>
      <c r="L28" s="2">
        <f t="shared" si="2"/>
        <v>-0.80041658572365515</v>
      </c>
      <c r="M28">
        <f>VLOOKUP(A28,[60]WRDS!$A$1:$O$100,8,FALSE)</f>
        <v>8</v>
      </c>
      <c r="N28">
        <f>VLOOKUP(A28,[60]WRDS!$A$1:$O$100,11,FALSE)</f>
        <v>0.93</v>
      </c>
    </row>
    <row r="29" spans="1:14" x14ac:dyDescent="0.3">
      <c r="A29" t="s">
        <v>74</v>
      </c>
      <c r="B29" t="str">
        <f>VLOOKUP(A29,[59]WRDS!$A$1:$N$100,2,FALSE)</f>
        <v>CPL</v>
      </c>
      <c r="C29" t="str">
        <f>VLOOKUP(A29,[59]WRDS!$A$1:$N$100,3,FALSE)</f>
        <v>PROGRESS ENERGY</v>
      </c>
      <c r="D29">
        <f>VLOOKUP(A29,[59]WRDS!$A$1:$N$100,13,FALSE)</f>
        <v>3.06</v>
      </c>
      <c r="E29">
        <f>VLOOKUP(A29,[43]WRDS!$A$1:$N$100,13,FALSE)</f>
        <v>2.98</v>
      </c>
      <c r="F29" s="1">
        <f t="shared" si="3"/>
        <v>3.5770143207532086</v>
      </c>
      <c r="G29" s="1">
        <f t="shared" si="4"/>
        <v>3.5797671936000008</v>
      </c>
      <c r="H29" s="2">
        <f t="shared" si="0"/>
        <v>-6.6010207704838564E-3</v>
      </c>
      <c r="I29" s="2">
        <f>VLOOKUP(A29,[60]WRDS!$A$1:$O$100,10,FALSE)/100</f>
        <v>3.9800000000000002E-2</v>
      </c>
      <c r="J29" s="2">
        <f>VLOOKUP(A29,[60]WRDS!$A$1:$O$100,9,FALSE)/100</f>
        <v>0.04</v>
      </c>
      <c r="K29" s="2">
        <f t="shared" si="1"/>
        <v>7.029370514627642</v>
      </c>
      <c r="L29" s="2">
        <f t="shared" si="2"/>
        <v>7.0596688589222527</v>
      </c>
      <c r="M29">
        <f>VLOOKUP(A29,[60]WRDS!$A$1:$O$100,8,FALSE)</f>
        <v>9</v>
      </c>
      <c r="N29">
        <f>VLOOKUP(A29,[60]WRDS!$A$1:$O$100,11,FALSE)</f>
        <v>1.6</v>
      </c>
    </row>
    <row r="30" spans="1:14" x14ac:dyDescent="0.3">
      <c r="A30" t="s">
        <v>47</v>
      </c>
      <c r="B30" t="str">
        <f>VLOOKUP(A30,[59]WRDS!$A$1:$N$100,2,FALSE)</f>
        <v>PNM</v>
      </c>
      <c r="C30" t="str">
        <f>VLOOKUP(A30,[59]WRDS!$A$1:$N$100,3,FALSE)</f>
        <v>PNM RESOURCES</v>
      </c>
      <c r="D30">
        <f>VLOOKUP(A30,[59]WRDS!$A$1:$N$100,13,FALSE)</f>
        <v>1.4359999999999999</v>
      </c>
      <c r="E30">
        <f>VLOOKUP(A30,[43]WRDS!$A$1:$N$100,13,FALSE)</f>
        <v>0.12</v>
      </c>
      <c r="F30" s="1">
        <f t="shared" si="3"/>
        <v>1.745466975</v>
      </c>
      <c r="G30" s="1">
        <f t="shared" si="4"/>
        <v>1.745466975</v>
      </c>
      <c r="H30" s="2">
        <f t="shared" si="0"/>
        <v>-0.46234127040766504</v>
      </c>
      <c r="I30" s="2">
        <f>VLOOKUP(A30,[60]WRDS!$A$1:$O$100,10,FALSE)/100</f>
        <v>0.05</v>
      </c>
      <c r="J30" s="2">
        <f>VLOOKUP(A30,[60]WRDS!$A$1:$O$100,9,FALSE)/100</f>
        <v>0.05</v>
      </c>
      <c r="K30" s="2">
        <f t="shared" si="1"/>
        <v>1.1081452234534741</v>
      </c>
      <c r="L30" s="2">
        <f t="shared" si="2"/>
        <v>1.1081452234534741</v>
      </c>
      <c r="M30">
        <f>VLOOKUP(A30,[60]WRDS!$A$1:$O$100,8,FALSE)</f>
        <v>1</v>
      </c>
      <c r="N30">
        <f>VLOOKUP(A30,[60]WRDS!$A$1:$O$100,11,FALSE)</f>
        <v>0</v>
      </c>
    </row>
    <row r="31" spans="1:14" x14ac:dyDescent="0.3">
      <c r="A31" t="s">
        <v>48</v>
      </c>
      <c r="B31" t="str">
        <f>VLOOKUP(A31,[59]WRDS!$A$1:$N$100,2,FALSE)</f>
        <v>AZP</v>
      </c>
      <c r="C31" t="str">
        <f>VLOOKUP(A31,[59]WRDS!$A$1:$N$100,3,FALSE)</f>
        <v>PINNACLE WST CAP</v>
      </c>
      <c r="D31">
        <f>VLOOKUP(A31,[59]WRDS!$A$1:$N$100,13,FALSE)</f>
        <v>2.37</v>
      </c>
      <c r="E31">
        <f>VLOOKUP(A31,[43]WRDS!$A$1:$N$100,13,FALSE)</f>
        <v>2.39</v>
      </c>
      <c r="F31" s="1">
        <f t="shared" si="3"/>
        <v>2.7460014836425795</v>
      </c>
      <c r="G31" s="1">
        <f t="shared" si="4"/>
        <v>2.7196295114812492</v>
      </c>
      <c r="H31" s="2">
        <f t="shared" si="0"/>
        <v>2.1030610363195201E-3</v>
      </c>
      <c r="I31" s="2">
        <f>VLOOKUP(A31,[60]WRDS!$A$1:$O$100,10,FALSE)/100</f>
        <v>3.7499999999999999E-2</v>
      </c>
      <c r="J31" s="2">
        <f>VLOOKUP(A31,[60]WRDS!$A$1:$O$100,9,FALSE)/100</f>
        <v>3.5000000000000003E-2</v>
      </c>
      <c r="K31" s="2">
        <f t="shared" si="1"/>
        <v>16.831151522652519</v>
      </c>
      <c r="L31" s="2">
        <f t="shared" si="2"/>
        <v>15.642408087809022</v>
      </c>
      <c r="M31">
        <f>VLOOKUP(A31,[60]WRDS!$A$1:$O$100,8,FALSE)</f>
        <v>4</v>
      </c>
      <c r="N31">
        <f>VLOOKUP(A31,[60]WRDS!$A$1:$O$100,11,FALSE)</f>
        <v>1.71</v>
      </c>
    </row>
    <row r="32" spans="1:14" x14ac:dyDescent="0.3">
      <c r="A32" t="s">
        <v>49</v>
      </c>
      <c r="B32" t="str">
        <f>VLOOKUP(A32,[59]WRDS!$A$1:$N$100,2,FALSE)</f>
        <v>POM</v>
      </c>
      <c r="C32" t="str">
        <f>VLOOKUP(A32,[59]WRDS!$A$1:$N$100,3,FALSE)</f>
        <v>PEPCO HOLDINGS</v>
      </c>
      <c r="D32">
        <f>VLOOKUP(A32,[59]WRDS!$A$1:$N$100,13,FALSE)</f>
        <v>1.5</v>
      </c>
      <c r="E32">
        <f>VLOOKUP(A32,[43]WRDS!$A$1:$N$100,13,FALSE)</f>
        <v>1.93</v>
      </c>
      <c r="F32" s="1">
        <f t="shared" si="3"/>
        <v>1.7764851136856057</v>
      </c>
      <c r="G32" s="1">
        <f t="shared" si="4"/>
        <v>1.7212845009374995</v>
      </c>
      <c r="H32" s="2">
        <f t="shared" si="0"/>
        <v>6.5041455442730767E-2</v>
      </c>
      <c r="I32" s="2">
        <f>VLOOKUP(A32,[60]WRDS!$A$1:$O$100,10,FALSE)/100</f>
        <v>4.3200000000000002E-2</v>
      </c>
      <c r="J32" s="2">
        <f>VLOOKUP(A32,[60]WRDS!$A$1:$O$100,9,FALSE)/100</f>
        <v>3.5000000000000003E-2</v>
      </c>
      <c r="K32" s="2">
        <f t="shared" si="1"/>
        <v>-0.33580822098857005</v>
      </c>
      <c r="L32" s="2">
        <f t="shared" si="2"/>
        <v>-0.461881660523147</v>
      </c>
      <c r="M32">
        <f>VLOOKUP(A32,[60]WRDS!$A$1:$O$100,8,FALSE)</f>
        <v>6</v>
      </c>
      <c r="N32">
        <f>VLOOKUP(A32,[60]WRDS!$A$1:$O$100,11,FALSE)</f>
        <v>2.4700000000000002</v>
      </c>
    </row>
    <row r="33" spans="1:14" x14ac:dyDescent="0.3">
      <c r="A33" t="s">
        <v>51</v>
      </c>
      <c r="B33" t="str">
        <f>VLOOKUP(A33,[59]WRDS!$A$1:$N$100,2,FALSE)</f>
        <v>PPL</v>
      </c>
      <c r="C33" t="str">
        <f>VLOOKUP(A33,[59]WRDS!$A$1:$N$100,3,FALSE)</f>
        <v>PP&amp;L CORP</v>
      </c>
      <c r="D33">
        <f>VLOOKUP(A33,[59]WRDS!$A$1:$N$100,13,FALSE)</f>
        <v>1.855</v>
      </c>
      <c r="E33">
        <f>VLOOKUP(A33,[43]WRDS!$A$1:$N$100,13,FALSE)</f>
        <v>2.02</v>
      </c>
      <c r="F33" s="1">
        <f t="shared" si="3"/>
        <v>2.278911285160051</v>
      </c>
      <c r="G33" s="1">
        <f t="shared" si="4"/>
        <v>2.25476409375</v>
      </c>
      <c r="H33" s="2">
        <f t="shared" si="0"/>
        <v>2.1531737030000553E-2</v>
      </c>
      <c r="I33" s="2">
        <f>VLOOKUP(A33,[60]WRDS!$A$1:$O$100,10,FALSE)/100</f>
        <v>5.28E-2</v>
      </c>
      <c r="J33" s="2">
        <f>VLOOKUP(A33,[60]WRDS!$A$1:$O$100,9,FALSE)/100</f>
        <v>0.05</v>
      </c>
      <c r="K33" s="2">
        <f t="shared" si="1"/>
        <v>1.4521941693061187</v>
      </c>
      <c r="L33" s="2">
        <f t="shared" si="2"/>
        <v>1.322153569418673</v>
      </c>
      <c r="M33">
        <f>VLOOKUP(A33,[60]WRDS!$A$1:$O$100,8,FALSE)</f>
        <v>11</v>
      </c>
      <c r="N33">
        <f>VLOOKUP(A33,[60]WRDS!$A$1:$O$100,11,FALSE)</f>
        <v>0.64</v>
      </c>
    </row>
    <row r="34" spans="1:14" x14ac:dyDescent="0.3">
      <c r="A34" t="s">
        <v>91</v>
      </c>
      <c r="B34" t="str">
        <f>VLOOKUP(A34,[59]WRDS!$A$1:$N$100,2,FALSE)</f>
        <v>PSD</v>
      </c>
      <c r="C34" t="str">
        <f>VLOOKUP(A34,[59]WRDS!$A$1:$N$100,3,FALSE)</f>
        <v>PUGET ENERGY INC</v>
      </c>
      <c r="D34">
        <f>VLOOKUP(A34,[59]WRDS!$A$1:$N$100,13,FALSE)</f>
        <v>1.55</v>
      </c>
      <c r="E34">
        <f>VLOOKUP(A34,[43]WRDS!$A$1:$N$100,13,FALSE)</f>
        <v>0</v>
      </c>
      <c r="F34" s="1">
        <f t="shared" si="3"/>
        <v>1.9940228434687495</v>
      </c>
      <c r="G34" s="1">
        <f t="shared" si="4"/>
        <v>1.9940228434687495</v>
      </c>
      <c r="H34" s="2">
        <f t="shared" si="0"/>
        <v>-1</v>
      </c>
      <c r="I34" s="2">
        <f>VLOOKUP(A34,[60]WRDS!$A$1:$O$100,10,FALSE)/100</f>
        <v>6.5000000000000002E-2</v>
      </c>
      <c r="J34" s="2">
        <f>VLOOKUP(A34,[60]WRDS!$A$1:$O$100,9,FALSE)/100</f>
        <v>6.5000000000000002E-2</v>
      </c>
      <c r="K34" s="2">
        <f t="shared" si="1"/>
        <v>1.0649999999999999</v>
      </c>
      <c r="L34" s="2">
        <f t="shared" si="2"/>
        <v>1.0649999999999999</v>
      </c>
      <c r="M34">
        <f>VLOOKUP(A34,[60]WRDS!$A$1:$O$100,8,FALSE)</f>
        <v>4</v>
      </c>
      <c r="N34">
        <f>VLOOKUP(A34,[60]WRDS!$A$1:$O$100,11,FALSE)</f>
        <v>1.29</v>
      </c>
    </row>
    <row r="35" spans="1:14" x14ac:dyDescent="0.3">
      <c r="A35" t="s">
        <v>52</v>
      </c>
      <c r="B35" t="str">
        <f>VLOOKUP(A35,[59]WRDS!$A$1:$N$100,2,FALSE)</f>
        <v>SCG</v>
      </c>
      <c r="C35" t="str">
        <f>VLOOKUP(A35,[59]WRDS!$A$1:$N$100,3,FALSE)</f>
        <v>SCANA CP</v>
      </c>
      <c r="D35">
        <f>VLOOKUP(A35,[59]WRDS!$A$1:$N$100,13,FALSE)</f>
        <v>2.67</v>
      </c>
      <c r="E35">
        <f>VLOOKUP(A35,[43]WRDS!$A$1:$N$100,13,FALSE)</f>
        <v>2.95</v>
      </c>
      <c r="F35" s="1">
        <f t="shared" si="3"/>
        <v>3.1718544925363203</v>
      </c>
      <c r="G35" s="1">
        <f t="shared" si="4"/>
        <v>3.1235223552000004</v>
      </c>
      <c r="H35" s="2">
        <f t="shared" si="0"/>
        <v>2.5245067733895343E-2</v>
      </c>
      <c r="I35" s="2">
        <f>VLOOKUP(A35,[60]WRDS!$A$1:$O$100,10,FALSE)/100</f>
        <v>4.4000000000000004E-2</v>
      </c>
      <c r="J35" s="2">
        <f>VLOOKUP(A35,[60]WRDS!$A$1:$O$100,9,FALSE)/100</f>
        <v>0.04</v>
      </c>
      <c r="K35" s="2">
        <f t="shared" si="1"/>
        <v>0.74291471363031092</v>
      </c>
      <c r="L35" s="2">
        <f t="shared" si="2"/>
        <v>0.58446792148210069</v>
      </c>
      <c r="M35">
        <f>VLOOKUP(A35,[60]WRDS!$A$1:$O$100,8,FALSE)</f>
        <v>5</v>
      </c>
      <c r="N35">
        <f>VLOOKUP(A35,[60]WRDS!$A$1:$O$100,11,FALSE)</f>
        <v>0.55000000000000004</v>
      </c>
    </row>
    <row r="36" spans="1:14" x14ac:dyDescent="0.3">
      <c r="A36" t="s">
        <v>53</v>
      </c>
      <c r="B36" t="str">
        <f>VLOOKUP(A36,[59]WRDS!$A$1:$N$100,2,FALSE)</f>
        <v>SO</v>
      </c>
      <c r="C36" t="str">
        <f>VLOOKUP(A36,[59]WRDS!$A$1:$N$100,3,FALSE)</f>
        <v>SOUTHN CO</v>
      </c>
      <c r="D36">
        <f>VLOOKUP(A36,[59]WRDS!$A$1:$N$100,13,FALSE)</f>
        <v>2.04</v>
      </c>
      <c r="E36">
        <f>VLOOKUP(A36,[43]WRDS!$A$1:$N$100,13,FALSE)</f>
        <v>2.37</v>
      </c>
      <c r="F36" s="1">
        <f t="shared" si="3"/>
        <v>2.4476712630919408</v>
      </c>
      <c r="G36" s="1">
        <f t="shared" si="4"/>
        <v>2.4796327499999999</v>
      </c>
      <c r="H36" s="2">
        <f t="shared" si="0"/>
        <v>3.8196462247893193E-2</v>
      </c>
      <c r="I36" s="2">
        <f>VLOOKUP(A36,[60]WRDS!$A$1:$O$100,10,FALSE)/100</f>
        <v>4.6600000000000003E-2</v>
      </c>
      <c r="J36" s="2">
        <f>VLOOKUP(A36,[60]WRDS!$A$1:$O$100,9,FALSE)/100</f>
        <v>0.05</v>
      </c>
      <c r="K36" s="2">
        <f t="shared" si="1"/>
        <v>0.22000827452469959</v>
      </c>
      <c r="L36" s="2">
        <f t="shared" si="2"/>
        <v>0.30902175378186653</v>
      </c>
      <c r="M36">
        <f>VLOOKUP(A36,[60]WRDS!$A$1:$O$100,8,FALSE)</f>
        <v>11</v>
      </c>
      <c r="N36">
        <f>VLOOKUP(A36,[60]WRDS!$A$1:$O$100,11,FALSE)</f>
        <v>0.83</v>
      </c>
    </row>
    <row r="37" spans="1:14" x14ac:dyDescent="0.3">
      <c r="A37" t="s">
        <v>54</v>
      </c>
      <c r="B37" t="str">
        <f>VLOOKUP(A37,[59]WRDS!$A$1:$N$100,2,FALSE)</f>
        <v>SDO</v>
      </c>
      <c r="C37" t="str">
        <f>VLOOKUP(A37,[59]WRDS!$A$1:$N$100,3,FALSE)</f>
        <v>SEMPRA ENERGY</v>
      </c>
      <c r="D37">
        <f>VLOOKUP(A37,[59]WRDS!$A$1:$N$100,13,FALSE)</f>
        <v>3.88</v>
      </c>
      <c r="E37">
        <f>VLOOKUP(A37,[43]WRDS!$A$1:$N$100,13,FALSE)</f>
        <v>4.43</v>
      </c>
      <c r="F37" s="1">
        <f t="shared" si="3"/>
        <v>4.9971160307535269</v>
      </c>
      <c r="G37" s="1">
        <f t="shared" si="4"/>
        <v>5.0574294315950423</v>
      </c>
      <c r="H37" s="2">
        <f t="shared" si="0"/>
        <v>3.3696391373206014E-2</v>
      </c>
      <c r="I37" s="2">
        <f>VLOOKUP(A37,[60]WRDS!$A$1:$O$100,10,FALSE)/100</f>
        <v>6.5299999999999997E-2</v>
      </c>
      <c r="J37" s="2">
        <f>VLOOKUP(A37,[60]WRDS!$A$1:$O$100,9,FALSE)/100</f>
        <v>6.8499999999999991E-2</v>
      </c>
      <c r="K37" s="2">
        <f t="shared" si="1"/>
        <v>0.9378929712908034</v>
      </c>
      <c r="L37" s="2">
        <f t="shared" si="2"/>
        <v>1.0328586299145486</v>
      </c>
      <c r="M37">
        <f>VLOOKUP(A37,[60]WRDS!$A$1:$O$100,8,FALSE)</f>
        <v>6</v>
      </c>
      <c r="N37">
        <f>VLOOKUP(A37,[60]WRDS!$A$1:$O$100,11,FALSE)</f>
        <v>1.68</v>
      </c>
    </row>
    <row r="38" spans="1:14" x14ac:dyDescent="0.3">
      <c r="A38" t="s">
        <v>75</v>
      </c>
      <c r="B38" t="str">
        <f>VLOOKUP(A38,[59]WRDS!$A$1:$N$100,2,FALSE)</f>
        <v>TE</v>
      </c>
      <c r="C38" t="str">
        <f>VLOOKUP(A38,[59]WRDS!$A$1:$N$100,3,FALSE)</f>
        <v>TECO ENERGY INC</v>
      </c>
      <c r="D38">
        <f>VLOOKUP(A38,[59]WRDS!$A$1:$N$100,13,FALSE)</f>
        <v>0.76</v>
      </c>
      <c r="E38">
        <f>VLOOKUP(A38,[43]WRDS!$A$1:$N$100,13,FALSE)</f>
        <v>0.86</v>
      </c>
      <c r="F38" s="1">
        <f t="shared" si="3"/>
        <v>0.88909250560000019</v>
      </c>
      <c r="G38" s="1">
        <f t="shared" si="4"/>
        <v>0.88909250560000019</v>
      </c>
      <c r="H38" s="2">
        <f t="shared" si="0"/>
        <v>3.1385958984259554E-2</v>
      </c>
      <c r="I38" s="2">
        <f>VLOOKUP(A38,[60]WRDS!$A$1:$O$100,10,FALSE)/100</f>
        <v>0.04</v>
      </c>
      <c r="J38" s="2">
        <f>VLOOKUP(A38,[60]WRDS!$A$1:$O$100,9,FALSE)/100</f>
        <v>0.04</v>
      </c>
      <c r="K38" s="2">
        <f t="shared" si="1"/>
        <v>0.2744552435074708</v>
      </c>
      <c r="L38" s="2">
        <f t="shared" si="2"/>
        <v>0.2744552435074708</v>
      </c>
      <c r="M38">
        <f>VLOOKUP(A38,[60]WRDS!$A$1:$O$100,8,FALSE)</f>
        <v>5</v>
      </c>
      <c r="N38">
        <f>VLOOKUP(A38,[60]WRDS!$A$1:$O$100,11,FALSE)</f>
        <v>1</v>
      </c>
    </row>
    <row r="39" spans="1:14" x14ac:dyDescent="0.3">
      <c r="A39" t="s">
        <v>79</v>
      </c>
      <c r="B39" t="str">
        <f>VLOOKUP(A39,[59]WRDS!$A$1:$N$100,2,FALSE)</f>
        <v>UIL</v>
      </c>
      <c r="C39" t="str">
        <f>VLOOKUP(A39,[59]WRDS!$A$1:$N$100,3,FALSE)</f>
        <v>UIL HOLDING CORP</v>
      </c>
      <c r="D39">
        <f>VLOOKUP(A39,[59]WRDS!$A$1:$N$100,13,FALSE)</f>
        <v>1.536</v>
      </c>
      <c r="E39">
        <f>VLOOKUP(A39,[43]WRDS!$A$1:$N$100,13,FALSE)</f>
        <v>1.9</v>
      </c>
      <c r="F39" s="1">
        <f t="shared" si="3"/>
        <v>1.5983677593600001</v>
      </c>
      <c r="G39" s="1">
        <f t="shared" si="4"/>
        <v>1.5983677593600001</v>
      </c>
      <c r="H39" s="2">
        <f t="shared" si="0"/>
        <v>5.4606870475089275E-2</v>
      </c>
      <c r="I39" s="2">
        <f>VLOOKUP(A39,[60]WRDS!$A$1:$O$100,10,FALSE)/100</f>
        <v>0.01</v>
      </c>
      <c r="J39" s="2">
        <f>VLOOKUP(A39,[60]WRDS!$A$1:$O$100,9,FALSE)/100</f>
        <v>0.01</v>
      </c>
      <c r="K39" s="2">
        <f t="shared" si="1"/>
        <v>-0.81687286026468353</v>
      </c>
      <c r="L39" s="2">
        <f t="shared" si="2"/>
        <v>-0.81687286026468353</v>
      </c>
      <c r="M39">
        <f>VLOOKUP(A39,[60]WRDS!$A$1:$O$100,8,FALSE)</f>
        <v>1</v>
      </c>
      <c r="N39">
        <f>VLOOKUP(A39,[60]WRDS!$A$1:$O$100,11,FALSE)</f>
        <v>0</v>
      </c>
    </row>
    <row r="40" spans="1:14" x14ac:dyDescent="0.3">
      <c r="A40" t="s">
        <v>76</v>
      </c>
      <c r="B40" t="str">
        <f>VLOOKUP(A40,[59]WRDS!$A$1:$N$100,2,FALSE)</f>
        <v>SIG</v>
      </c>
      <c r="C40" t="str">
        <f>VLOOKUP(A40,[59]WRDS!$A$1:$N$100,3,FALSE)</f>
        <v>VECTREN CORP</v>
      </c>
      <c r="D40">
        <f>VLOOKUP(A40,[59]WRDS!$A$1:$N$100,13,FALSE)</f>
        <v>1.45</v>
      </c>
      <c r="E40">
        <f>VLOOKUP(A40,[43]WRDS!$A$1:$N$100,13,FALSE)</f>
        <v>1.63</v>
      </c>
      <c r="F40" s="1">
        <f t="shared" si="3"/>
        <v>1.8773151398876362</v>
      </c>
      <c r="G40" s="1">
        <f t="shared" si="4"/>
        <v>1.9006542145</v>
      </c>
      <c r="H40" s="2">
        <f t="shared" si="0"/>
        <v>2.9686219530596247E-2</v>
      </c>
      <c r="I40" s="2">
        <f>VLOOKUP(A40,[60]WRDS!$A$1:$O$100,10,FALSE)/100</f>
        <v>6.6699999999999995E-2</v>
      </c>
      <c r="J40" s="2">
        <f>VLOOKUP(A40,[60]WRDS!$A$1:$O$100,9,FALSE)/100</f>
        <v>7.0000000000000007E-2</v>
      </c>
      <c r="K40" s="2">
        <f t="shared" si="1"/>
        <v>1.2468337516420813</v>
      </c>
      <c r="L40" s="2">
        <f t="shared" si="2"/>
        <v>1.357996441003684</v>
      </c>
      <c r="M40">
        <f>VLOOKUP(A40,[60]WRDS!$A$1:$O$100,8,FALSE)</f>
        <v>3</v>
      </c>
      <c r="N40">
        <f>VLOOKUP(A40,[60]WRDS!$A$1:$O$100,11,FALSE)</f>
        <v>1.53</v>
      </c>
    </row>
    <row r="41" spans="1:14" x14ac:dyDescent="0.3">
      <c r="A41" t="s">
        <v>55</v>
      </c>
      <c r="B41" t="str">
        <f>VLOOKUP(A41,[59]WRDS!$A$1:$N$100,2,FALSE)</f>
        <v>WPC</v>
      </c>
      <c r="C41" t="str">
        <f>VLOOKUP(A41,[59]WRDS!$A$1:$N$100,3,FALSE)</f>
        <v>WISCONSIN ENERGY</v>
      </c>
      <c r="D41">
        <f>VLOOKUP(A41,[59]WRDS!$A$1:$N$100,13,FALSE)</f>
        <v>1.165</v>
      </c>
      <c r="E41">
        <f>VLOOKUP(A41,[43]WRDS!$A$1:$N$100,13,FALSE)</f>
        <v>1.5149999999999999</v>
      </c>
      <c r="F41" s="1">
        <f t="shared" si="3"/>
        <v>1.4685668608941358</v>
      </c>
      <c r="G41" s="1">
        <f t="shared" si="4"/>
        <v>1.52707735165</v>
      </c>
      <c r="H41" s="2">
        <f t="shared" si="0"/>
        <v>6.7878092032557458E-2</v>
      </c>
      <c r="I41" s="2">
        <f>VLOOKUP(A41,[60]WRDS!$A$1:$O$100,10,FALSE)/100</f>
        <v>5.96E-2</v>
      </c>
      <c r="J41" s="2">
        <f>VLOOKUP(A41,[60]WRDS!$A$1:$O$100,9,FALSE)/100</f>
        <v>7.0000000000000007E-2</v>
      </c>
      <c r="K41" s="2">
        <f t="shared" si="1"/>
        <v>-0.12195528460916231</v>
      </c>
      <c r="L41" s="2">
        <f t="shared" si="2"/>
        <v>3.1260571767762479E-2</v>
      </c>
      <c r="M41">
        <f>VLOOKUP(A41,[60]WRDS!$A$1:$O$100,8,FALSE)</f>
        <v>5</v>
      </c>
      <c r="N41">
        <f>VLOOKUP(A41,[60]WRDS!$A$1:$O$100,11,FALSE)</f>
        <v>2.63</v>
      </c>
    </row>
    <row r="42" spans="1:14" x14ac:dyDescent="0.3">
      <c r="A42" t="s">
        <v>64</v>
      </c>
      <c r="B42" t="str">
        <f>VLOOKUP(A42,[59]WRDS!$A$1:$N$100,2,FALSE)</f>
        <v>KAN</v>
      </c>
      <c r="C42" t="str">
        <f>VLOOKUP(A42,[59]WRDS!$A$1:$N$100,3,FALSE)</f>
        <v>WESTAR ENERGY</v>
      </c>
      <c r="D42">
        <f>VLOOKUP(A42,[59]WRDS!$A$1:$N$100,13,FALSE)</f>
        <v>1.47</v>
      </c>
      <c r="E42">
        <f>VLOOKUP(A42,[43]WRDS!$A$1:$N$100,13,FALSE)</f>
        <v>1.7</v>
      </c>
      <c r="F42" s="1">
        <f t="shared" si="3"/>
        <v>1.6099777333262695</v>
      </c>
      <c r="G42" s="1">
        <f t="shared" si="4"/>
        <v>1.6099777333262695</v>
      </c>
      <c r="H42" s="2">
        <f t="shared" si="0"/>
        <v>3.7009886100472844E-2</v>
      </c>
      <c r="I42" s="2">
        <f>VLOOKUP(A42,[60]WRDS!$A$1:$O$100,10,FALSE)/100</f>
        <v>2.3E-2</v>
      </c>
      <c r="J42" s="2">
        <f>VLOOKUP(A42,[60]WRDS!$A$1:$O$100,9,FALSE)/100</f>
        <v>2.3E-2</v>
      </c>
      <c r="K42" s="2">
        <f t="shared" si="1"/>
        <v>-0.37854442627679019</v>
      </c>
      <c r="L42" s="2">
        <f t="shared" si="2"/>
        <v>-0.37854442627679019</v>
      </c>
      <c r="M42">
        <f>VLOOKUP(A42,[60]WRDS!$A$1:$O$100,8,FALSE)</f>
        <v>2</v>
      </c>
      <c r="N42">
        <f>VLOOKUP(A42,[60]WRDS!$A$1:$O$100,11,FALSE)</f>
        <v>0.99</v>
      </c>
    </row>
    <row r="43" spans="1:14" x14ac:dyDescent="0.3">
      <c r="A43" t="s">
        <v>56</v>
      </c>
      <c r="B43" t="str">
        <f>VLOOKUP(A43,[59]WRDS!$A$1:$N$100,2,FALSE)</f>
        <v>NSP</v>
      </c>
      <c r="C43" t="str">
        <f>VLOOKUP(A43,[59]WRDS!$A$1:$N$100,3,FALSE)</f>
        <v>XCEL ENERGY INC</v>
      </c>
      <c r="D43">
        <f>VLOOKUP(A43,[59]WRDS!$A$1:$N$100,13,FALSE)</f>
        <v>1.26</v>
      </c>
      <c r="E43">
        <f>VLOOKUP(A43,[43]WRDS!$A$1:$N$100,13,FALSE)</f>
        <v>1.45</v>
      </c>
      <c r="F43" s="1">
        <f t="shared" si="3"/>
        <v>1.4905316934458595</v>
      </c>
      <c r="G43" s="1">
        <f t="shared" si="4"/>
        <v>1.4740217856000002</v>
      </c>
      <c r="H43" s="2">
        <f t="shared" si="0"/>
        <v>3.5736697836206144E-2</v>
      </c>
      <c r="I43" s="2">
        <f>VLOOKUP(A43,[60]WRDS!$A$1:$O$100,10,FALSE)/100</f>
        <v>4.2900000000000001E-2</v>
      </c>
      <c r="J43" s="2">
        <f>VLOOKUP(A43,[60]WRDS!$A$1:$O$100,9,FALSE)/100</f>
        <v>0.04</v>
      </c>
      <c r="K43" s="2">
        <f t="shared" si="1"/>
        <v>0.20044667239893821</v>
      </c>
      <c r="L43" s="2">
        <f t="shared" si="2"/>
        <v>0.11929759664236664</v>
      </c>
      <c r="M43">
        <f>VLOOKUP(A43,[60]WRDS!$A$1:$O$100,8,FALSE)</f>
        <v>7</v>
      </c>
      <c r="N43">
        <f>VLOOKUP(A43,[60]WRDS!$A$1:$O$100,11,FALSE)</f>
        <v>1.6</v>
      </c>
    </row>
    <row r="44" spans="1:14" x14ac:dyDescent="0.3">
      <c r="A44" t="s">
        <v>132</v>
      </c>
      <c r="B44" t="str">
        <f>VLOOKUP(A44,'[5]Ticker List'!$H$4:$I$20,2,FALSE)</f>
        <v>EGAS</v>
      </c>
      <c r="C44" t="str">
        <f>VLOOKUP(A44,'[61]6wxlfk1a50ogq37v'!$B$1:$N$15,2,FALSE)</f>
        <v>ATMOS ENERGY CP</v>
      </c>
      <c r="D44">
        <f>VLOOKUP(A44,'[61]6wxlfk1a50ogq37v'!$B$1:$N$15,12,FALSE)</f>
        <v>1.72</v>
      </c>
      <c r="E44">
        <f>VLOOKUP(A44,[45]WRDS!$B$1:$N$15,12,FALSE)</f>
        <v>1.97</v>
      </c>
      <c r="F44" s="1">
        <f t="shared" si="3"/>
        <v>1.9813786022195201</v>
      </c>
      <c r="G44" s="1">
        <f t="shared" si="4"/>
        <v>1.9813786022195201</v>
      </c>
      <c r="H44" s="2">
        <f t="shared" si="0"/>
        <v>3.4509408590287283E-2</v>
      </c>
      <c r="I44" s="2">
        <f>VLOOKUP(A44,'[62]1eke2qcujcpj3rdu'!$B$1:$N$15,9,FALSE)/100</f>
        <v>3.6000000000000004E-2</v>
      </c>
      <c r="J44" s="2">
        <f>VLOOKUP(A44,'[62]1eke2qcujcpj3rdu'!$B$1:$N$15,8,FALSE)/100</f>
        <v>3.6000000000000004E-2</v>
      </c>
      <c r="K44" s="2">
        <f t="shared" si="1"/>
        <v>4.3193768615676899E-2</v>
      </c>
      <c r="L44" s="2">
        <f t="shared" si="2"/>
        <v>4.3193768615676899E-2</v>
      </c>
      <c r="M44">
        <f>VLOOKUP(A44,'[62]1eke2qcujcpj3rdu'!$B$1:$N$15,7,FALSE)</f>
        <v>2</v>
      </c>
      <c r="N44">
        <f>VLOOKUP(A44,'[62]1eke2qcujcpj3rdu'!$B$1:$N$15,10,FALSE)</f>
        <v>0.56999999999999995</v>
      </c>
    </row>
    <row r="45" spans="1:14" x14ac:dyDescent="0.3">
      <c r="A45" t="s">
        <v>133</v>
      </c>
      <c r="B45" t="str">
        <f>VLOOKUP(A45,'[5]Ticker List'!$H$4:$I$20,2,FALSE)</f>
        <v>CHPK</v>
      </c>
      <c r="C45" t="str">
        <f>VLOOKUP(A45,'[61]6wxlfk1a50ogq37v'!$B$1:$N$15,2,FALSE)</f>
        <v>CHESAPEAKE UTIL</v>
      </c>
      <c r="D45">
        <f>VLOOKUP(A45,'[61]6wxlfk1a50ogq37v'!$B$1:$N$15,12,FALSE)</f>
        <v>1.08</v>
      </c>
      <c r="E45">
        <f>VLOOKUP(A45,[45]WRDS!$B$1:$N$15,12,FALSE)</f>
        <v>1.32</v>
      </c>
      <c r="F45" s="1">
        <f t="shared" si="3"/>
        <v>1.2155495148</v>
      </c>
      <c r="G45" s="1">
        <f t="shared" si="4"/>
        <v>1.2155495148</v>
      </c>
      <c r="H45" s="2">
        <f t="shared" si="0"/>
        <v>5.1447381843301443E-2</v>
      </c>
      <c r="I45" s="2">
        <f>VLOOKUP(A45,'[62]1eke2qcujcpj3rdu'!$B$1:$N$15,9,FALSE)/100</f>
        <v>0.03</v>
      </c>
      <c r="J45" s="2">
        <f>VLOOKUP(A45,'[62]1eke2qcujcpj3rdu'!$B$1:$N$15,8,FALSE)/100</f>
        <v>0.03</v>
      </c>
      <c r="K45" s="2">
        <f t="shared" si="1"/>
        <v>-0.41687994752825186</v>
      </c>
      <c r="L45" s="2">
        <f t="shared" si="2"/>
        <v>-0.41687994752825186</v>
      </c>
      <c r="M45">
        <f>VLOOKUP(A45,'[62]1eke2qcujcpj3rdu'!$B$1:$N$15,7,FALSE)</f>
        <v>1</v>
      </c>
      <c r="N45">
        <f>VLOOKUP(A45,'[62]1eke2qcujcpj3rdu'!$B$1:$N$15,10,FALSE)</f>
        <v>0</v>
      </c>
    </row>
    <row r="46" spans="1:14" x14ac:dyDescent="0.3">
      <c r="A46" t="s">
        <v>134</v>
      </c>
      <c r="B46" t="str">
        <f>VLOOKUP(A46,'[5]Ticker List'!$H$4:$I$20,2,FALSE)</f>
        <v>NJR</v>
      </c>
      <c r="C46" t="str">
        <f>VLOOKUP(A46,'[61]6wxlfk1a50ogq37v'!$B$1:$N$15,2,FALSE)</f>
        <v>NEW JERSEY RES</v>
      </c>
      <c r="D46">
        <f>VLOOKUP(A46,'[61]6wxlfk1a50ogq37v'!$B$1:$N$15,12,FALSE)</f>
        <v>0.88329999999999997</v>
      </c>
      <c r="E46">
        <f>VLOOKUP(A46,[45]WRDS!$B$1:$N$15,12,FALSE)</f>
        <v>1.1850000000000001</v>
      </c>
      <c r="F46" s="1">
        <f t="shared" si="3"/>
        <v>1.0942538138970623</v>
      </c>
      <c r="G46" s="1">
        <f t="shared" si="4"/>
        <v>1.0736566706249999</v>
      </c>
      <c r="H46" s="2">
        <f t="shared" si="0"/>
        <v>7.6223646398490219E-2</v>
      </c>
      <c r="I46" s="2">
        <f>VLOOKUP(A46,'[62]1eke2qcujcpj3rdu'!$B$1:$N$15,9,FALSE)/100</f>
        <v>5.5E-2</v>
      </c>
      <c r="J46" s="2">
        <f>VLOOKUP(A46,'[62]1eke2qcujcpj3rdu'!$B$1:$N$15,8,FALSE)/100</f>
        <v>0.05</v>
      </c>
      <c r="K46" s="2">
        <f t="shared" si="1"/>
        <v>-0.27843913800102066</v>
      </c>
      <c r="L46" s="2">
        <f t="shared" si="2"/>
        <v>-0.34403558000092782</v>
      </c>
      <c r="M46">
        <f>VLOOKUP(A46,'[62]1eke2qcujcpj3rdu'!$B$1:$N$15,7,FALSE)</f>
        <v>4</v>
      </c>
      <c r="N46">
        <f>VLOOKUP(A46,'[62]1eke2qcujcpj3rdu'!$B$1:$N$15,10,FALSE)</f>
        <v>2.13</v>
      </c>
    </row>
    <row r="47" spans="1:14" x14ac:dyDescent="0.3">
      <c r="A47" t="s">
        <v>135</v>
      </c>
      <c r="B47" t="str">
        <f>VLOOKUP(A47,'[5]Ticker List'!$H$4:$I$20,2,FALSE)</f>
        <v>NI</v>
      </c>
      <c r="C47" t="str">
        <f>VLOOKUP(A47,'[61]6wxlfk1a50ogq37v'!$B$1:$N$15,2,FALSE)</f>
        <v>NISOURCE INC</v>
      </c>
      <c r="D47">
        <f>VLOOKUP(A47,'[61]6wxlfk1a50ogq37v'!$B$1:$N$15,12,FALSE)</f>
        <v>1.61</v>
      </c>
      <c r="E47">
        <f>VLOOKUP(A47,[45]WRDS!$B$1:$N$15,12,FALSE)</f>
        <v>1.26</v>
      </c>
      <c r="F47" s="1">
        <f t="shared" si="3"/>
        <v>1.8690257727489603</v>
      </c>
      <c r="G47" s="1">
        <f t="shared" si="4"/>
        <v>1.8834722816000005</v>
      </c>
      <c r="H47" s="2">
        <f t="shared" si="0"/>
        <v>-5.9440731835902483E-2</v>
      </c>
      <c r="I47" s="2">
        <f>VLOOKUP(A47,'[62]1eke2qcujcpj3rdu'!$B$1:$N$15,9,FALSE)/100</f>
        <v>3.7999999999999999E-2</v>
      </c>
      <c r="J47" s="2">
        <f>VLOOKUP(A47,'[62]1eke2qcujcpj3rdu'!$B$1:$N$15,8,FALSE)/100</f>
        <v>0.04</v>
      </c>
      <c r="K47" s="2">
        <f t="shared" si="1"/>
        <v>1.6392922635089062</v>
      </c>
      <c r="L47" s="2">
        <f t="shared" si="2"/>
        <v>1.6729392247462171</v>
      </c>
      <c r="M47">
        <f>VLOOKUP(A47,'[62]1eke2qcujcpj3rdu'!$B$1:$N$15,7,FALSE)</f>
        <v>8</v>
      </c>
      <c r="N47">
        <f>VLOOKUP(A47,'[62]1eke2qcujcpj3rdu'!$B$1:$N$15,10,FALSE)</f>
        <v>1.19</v>
      </c>
    </row>
    <row r="48" spans="1:14" x14ac:dyDescent="0.3">
      <c r="A48" t="s">
        <v>136</v>
      </c>
      <c r="B48" t="str">
        <f>VLOOKUP(A48,'[5]Ticker List'!$H$4:$I$20,2,FALSE)</f>
        <v>NWNG</v>
      </c>
      <c r="C48" t="str">
        <f>VLOOKUP(A48,'[61]6wxlfk1a50ogq37v'!$B$1:$N$15,2,FALSE)</f>
        <v>NW NATURAL GAS</v>
      </c>
      <c r="D48">
        <f>VLOOKUP(A48,'[61]6wxlfk1a50ogq37v'!$B$1:$N$15,12,FALSE)</f>
        <v>1.88</v>
      </c>
      <c r="E48">
        <f>VLOOKUP(A48,[45]WRDS!$B$1:$N$15,12,FALSE)</f>
        <v>2.58</v>
      </c>
      <c r="F48" s="1">
        <f t="shared" si="3"/>
        <v>2.220557911073437</v>
      </c>
      <c r="G48" s="1">
        <f t="shared" si="4"/>
        <v>2.220557911073437</v>
      </c>
      <c r="H48" s="2">
        <f t="shared" si="0"/>
        <v>8.2344374348088945E-2</v>
      </c>
      <c r="I48" s="2">
        <f>VLOOKUP(A48,'[62]1eke2qcujcpj3rdu'!$B$1:$N$15,9,FALSE)/100</f>
        <v>4.2500000000000003E-2</v>
      </c>
      <c r="J48" s="2">
        <f>VLOOKUP(A48,'[62]1eke2qcujcpj3rdu'!$B$1:$N$15,8,FALSE)/100</f>
        <v>4.2500000000000003E-2</v>
      </c>
      <c r="K48" s="2">
        <f t="shared" si="1"/>
        <v>-0.48387488111400839</v>
      </c>
      <c r="L48" s="2">
        <f t="shared" si="2"/>
        <v>-0.48387488111400839</v>
      </c>
      <c r="M48">
        <f>VLOOKUP(A48,'[62]1eke2qcujcpj3rdu'!$B$1:$N$15,7,FALSE)</f>
        <v>2</v>
      </c>
      <c r="N48">
        <f>VLOOKUP(A48,'[62]1eke2qcujcpj3rdu'!$B$1:$N$15,10,FALSE)</f>
        <v>1.06</v>
      </c>
    </row>
    <row r="49" spans="1:14" x14ac:dyDescent="0.3">
      <c r="A49" t="s">
        <v>138</v>
      </c>
      <c r="B49" t="str">
        <f>VLOOKUP(A49,'[5]Ticker List'!$H$4:$I$20,2,FALSE)</f>
        <v>SJI</v>
      </c>
      <c r="C49" t="str">
        <f>VLOOKUP(A49,'[61]6wxlfk1a50ogq37v'!$B$1:$N$15,2,FALSE)</f>
        <v>SO JERSEY INDS</v>
      </c>
      <c r="D49">
        <f>VLOOKUP(A49,'[61]6wxlfk1a50ogq37v'!$B$1:$N$15,12,FALSE)</f>
        <v>0.755</v>
      </c>
      <c r="E49">
        <f>VLOOKUP(A49,[45]WRDS!$B$1:$N$15,12,FALSE)</f>
        <v>1.135</v>
      </c>
      <c r="F49" s="1">
        <f t="shared" si="3"/>
        <v>0.91770721875000005</v>
      </c>
      <c r="G49" s="1">
        <f t="shared" si="4"/>
        <v>0.91770721875000005</v>
      </c>
      <c r="H49" s="2">
        <f t="shared" si="0"/>
        <v>0.1072921663726194</v>
      </c>
      <c r="I49" s="2">
        <f>VLOOKUP(A49,'[62]1eke2qcujcpj3rdu'!$B$1:$N$15,9,FALSE)/100</f>
        <v>0.05</v>
      </c>
      <c r="J49" s="2">
        <f>VLOOKUP(A49,'[62]1eke2qcujcpj3rdu'!$B$1:$N$15,8,FALSE)/100</f>
        <v>0.05</v>
      </c>
      <c r="K49" s="2">
        <f t="shared" si="1"/>
        <v>-0.53398275297794873</v>
      </c>
      <c r="L49" s="2">
        <f t="shared" si="2"/>
        <v>-0.53398275297794873</v>
      </c>
      <c r="M49">
        <f>VLOOKUP(A49,'[62]1eke2qcujcpj3rdu'!$B$1:$N$15,7,FALSE)</f>
        <v>1</v>
      </c>
      <c r="N49">
        <f>VLOOKUP(A49,'[62]1eke2qcujcpj3rdu'!$B$1:$N$15,10,FALSE)</f>
        <v>0</v>
      </c>
    </row>
    <row r="50" spans="1:14" x14ac:dyDescent="0.3">
      <c r="A50" t="s">
        <v>139</v>
      </c>
      <c r="B50" t="str">
        <f>VLOOKUP(A50,'[5]Ticker List'!$H$4:$I$20,2,FALSE)</f>
        <v>SWX</v>
      </c>
      <c r="C50" t="str">
        <f>VLOOKUP(A50,'[61]6wxlfk1a50ogq37v'!$B$1:$N$15,2,FALSE)</f>
        <v>SOUTHWEST GAS</v>
      </c>
      <c r="D50">
        <f>VLOOKUP(A50,'[61]6wxlfk1a50ogq37v'!$B$1:$N$15,12,FALSE)</f>
        <v>1.59</v>
      </c>
      <c r="E50">
        <f>VLOOKUP(A50,[45]WRDS!$B$1:$N$15,12,FALSE)</f>
        <v>1.39</v>
      </c>
      <c r="F50" s="1">
        <f t="shared" si="3"/>
        <v>1.8387053929959896</v>
      </c>
      <c r="G50" s="1">
        <f t="shared" si="4"/>
        <v>1.7965188791583897</v>
      </c>
      <c r="H50" s="2">
        <f t="shared" si="0"/>
        <v>-3.3049106633085468E-2</v>
      </c>
      <c r="I50" s="2">
        <f>VLOOKUP(A50,'[62]1eke2qcujcpj3rdu'!$B$1:$N$15,9,FALSE)/100</f>
        <v>3.7000000000000005E-2</v>
      </c>
      <c r="J50" s="2">
        <f>VLOOKUP(A50,'[62]1eke2qcujcpj3rdu'!$B$1:$N$15,8,FALSE)/100</f>
        <v>3.1E-2</v>
      </c>
      <c r="K50" s="2">
        <f t="shared" si="1"/>
        <v>2.119546147215952</v>
      </c>
      <c r="L50" s="2">
        <f t="shared" si="2"/>
        <v>1.937998123343095</v>
      </c>
      <c r="M50">
        <f>VLOOKUP(A50,'[62]1eke2qcujcpj3rdu'!$B$1:$N$15,7,FALSE)</f>
        <v>3</v>
      </c>
      <c r="N50">
        <f>VLOOKUP(A50,'[62]1eke2qcujcpj3rdu'!$B$1:$N$15,10,FALSE)</f>
        <v>1.1299999999999999</v>
      </c>
    </row>
    <row r="51" spans="1:14" x14ac:dyDescent="0.3">
      <c r="A51" t="s">
        <v>148</v>
      </c>
      <c r="B51" t="str">
        <f>VLOOKUP(A51,'[5]Ticker List'!$H$4:$I$20,2,FALSE)</f>
        <v>AGLT</v>
      </c>
      <c r="C51" t="str">
        <f>VLOOKUP(A51,'[61]6wxlfk1a50ogq37v'!$B$1:$N$15,2,FALSE)</f>
        <v>AGL RESOURCES</v>
      </c>
      <c r="D51">
        <f>VLOOKUP(A51,'[61]6wxlfk1a50ogq37v'!$B$1:$N$15,12,FALSE)</f>
        <v>2.2799999999999998</v>
      </c>
      <c r="E51">
        <f>VLOOKUP(A51,[45]WRDS!$B$1:$N$15,12,FALSE)</f>
        <v>2.71</v>
      </c>
      <c r="F51" s="1">
        <f t="shared" si="3"/>
        <v>2.7713542499999999</v>
      </c>
      <c r="G51" s="1">
        <f t="shared" si="4"/>
        <v>2.7713542499999999</v>
      </c>
      <c r="H51" s="2">
        <f t="shared" si="0"/>
        <v>4.4139705442467037E-2</v>
      </c>
      <c r="I51" s="2">
        <f>VLOOKUP(A51,'[62]1eke2qcujcpj3rdu'!$B$1:$N$15,9,FALSE)/100</f>
        <v>0.05</v>
      </c>
      <c r="J51" s="2">
        <f>VLOOKUP(A51,'[62]1eke2qcujcpj3rdu'!$B$1:$N$15,8,FALSE)/100</f>
        <v>0.05</v>
      </c>
      <c r="K51" s="2">
        <f t="shared" si="1"/>
        <v>0.13276696114729272</v>
      </c>
      <c r="L51" s="2">
        <f t="shared" si="2"/>
        <v>0.13276696114729272</v>
      </c>
      <c r="M51">
        <f>VLOOKUP(A51,'[62]1eke2qcujcpj3rdu'!$B$1:$N$15,7,FALSE)</f>
        <v>5</v>
      </c>
      <c r="N51">
        <f>VLOOKUP(A51,'[62]1eke2qcujcpj3rdu'!$B$1:$N$15,10,FALSE)</f>
        <v>1.58</v>
      </c>
    </row>
    <row r="52" spans="1:14" x14ac:dyDescent="0.3">
      <c r="A52" t="s">
        <v>143</v>
      </c>
      <c r="B52" t="str">
        <f>VLOOKUP(A52,'[5]Ticker List'!$H$4:$I$20,2,FALSE)</f>
        <v>LG</v>
      </c>
      <c r="C52" t="str">
        <f>VLOOKUP(A52,'[61]6wxlfk1a50ogq37v'!$B$1:$N$15,2,FALSE)</f>
        <v>LACLEDE GROUP</v>
      </c>
      <c r="D52">
        <f>VLOOKUP(A52,'[61]6wxlfk1a50ogq37v'!$B$1:$N$15,12,FALSE)</f>
        <v>1.9</v>
      </c>
      <c r="E52">
        <f>VLOOKUP(A52,[45]WRDS!$B$1:$N$15,12,FALSE)</f>
        <v>2.93</v>
      </c>
      <c r="F52" s="1">
        <f t="shared" si="3"/>
        <v>2.2227312640000001</v>
      </c>
      <c r="G52" s="1">
        <f t="shared" si="4"/>
        <v>2.2227312640000001</v>
      </c>
      <c r="H52" s="2">
        <f t="shared" si="0"/>
        <v>0.11436767253917712</v>
      </c>
      <c r="I52" s="2">
        <f>VLOOKUP(A52,'[62]1eke2qcujcpj3rdu'!$B$1:$N$15,9,FALSE)/100</f>
        <v>0.04</v>
      </c>
      <c r="J52" s="2">
        <f>VLOOKUP(A52,'[62]1eke2qcujcpj3rdu'!$B$1:$N$15,8,FALSE)/100</f>
        <v>0.04</v>
      </c>
      <c r="K52" s="2">
        <f t="shared" si="1"/>
        <v>-0.65025081728144951</v>
      </c>
      <c r="L52" s="2">
        <f t="shared" si="2"/>
        <v>-0.65025081728144951</v>
      </c>
      <c r="M52">
        <f>VLOOKUP(A52,'[62]1eke2qcujcpj3rdu'!$B$1:$N$15,7,FALSE)</f>
        <v>2</v>
      </c>
      <c r="N52">
        <f>VLOOKUP(A52,'[62]1eke2qcujcpj3rdu'!$B$1:$N$15,10,FALSE)</f>
        <v>1.41</v>
      </c>
    </row>
    <row r="53" spans="1:14" x14ac:dyDescent="0.3">
      <c r="A53" t="s">
        <v>144</v>
      </c>
      <c r="B53" t="str">
        <f>VLOOKUP(A53,'[5]Ticker List'!$H$4:$I$20,2,FALSE)</f>
        <v>GAS</v>
      </c>
      <c r="C53" t="str">
        <f>VLOOKUP(A53,'[61]6wxlfk1a50ogq37v'!$B$1:$N$15,2,FALSE)</f>
        <v>NICOR INC</v>
      </c>
      <c r="D53">
        <f>VLOOKUP(A53,'[61]6wxlfk1a50ogq37v'!$B$1:$N$15,12,FALSE)</f>
        <v>2.15</v>
      </c>
      <c r="E53">
        <f>VLOOKUP(A53,[45]WRDS!$B$1:$N$15,12,FALSE)</f>
        <v>2.5099999999999998</v>
      </c>
      <c r="F53" s="1">
        <f t="shared" si="3"/>
        <v>2.3409489544263851</v>
      </c>
      <c r="G53" s="1">
        <f t="shared" si="4"/>
        <v>2.3272291439999999</v>
      </c>
      <c r="H53" s="2">
        <f t="shared" si="0"/>
        <v>3.9462474140142589E-2</v>
      </c>
      <c r="I53" s="2">
        <f>VLOOKUP(A53,'[62]1eke2qcujcpj3rdu'!$B$1:$N$15,9,FALSE)/100</f>
        <v>2.1499999999999998E-2</v>
      </c>
      <c r="J53" s="2">
        <f>VLOOKUP(A53,'[62]1eke2qcujcpj3rdu'!$B$1:$N$15,8,FALSE)/100</f>
        <v>0.02</v>
      </c>
      <c r="K53" s="2">
        <f t="shared" si="1"/>
        <v>-0.45517861035151225</v>
      </c>
      <c r="L53" s="2">
        <f t="shared" si="2"/>
        <v>-0.49318940497815084</v>
      </c>
      <c r="M53">
        <f>VLOOKUP(A53,'[62]1eke2qcujcpj3rdu'!$B$1:$N$15,7,FALSE)</f>
        <v>4</v>
      </c>
      <c r="N53">
        <f>VLOOKUP(A53,'[62]1eke2qcujcpj3rdu'!$B$1:$N$15,10,FALSE)</f>
        <v>0.68</v>
      </c>
    </row>
    <row r="54" spans="1:14" x14ac:dyDescent="0.3">
      <c r="A54" t="s">
        <v>146</v>
      </c>
      <c r="B54" t="str">
        <f>VLOOKUP(A54,'[5]Ticker List'!$H$4:$I$20,2,FALSE)</f>
        <v>PNY</v>
      </c>
      <c r="C54" t="str">
        <f>VLOOKUP(A54,'[61]6wxlfk1a50ogq37v'!$B$1:$N$15,2,FALSE)</f>
        <v>PIEDMONT NAT GAS</v>
      </c>
      <c r="D54">
        <f>VLOOKUP(A54,'[61]6wxlfk1a50ogq37v'!$B$1:$N$15,12,FALSE)</f>
        <v>1.32</v>
      </c>
      <c r="E54">
        <f>VLOOKUP(A54,[45]WRDS!$B$1:$N$15,12,FALSE)</f>
        <v>1.49</v>
      </c>
      <c r="F54" s="1">
        <f t="shared" si="3"/>
        <v>1.60446825</v>
      </c>
      <c r="G54" s="1">
        <f t="shared" si="4"/>
        <v>1.60446825</v>
      </c>
      <c r="H54" s="2">
        <f t="shared" si="0"/>
        <v>3.0749384884556363E-2</v>
      </c>
      <c r="I54" s="2">
        <f>VLOOKUP(A54,'[62]1eke2qcujcpj3rdu'!$B$1:$N$15,9,FALSE)/100</f>
        <v>0.05</v>
      </c>
      <c r="J54" s="2">
        <f>VLOOKUP(A54,'[62]1eke2qcujcpj3rdu'!$B$1:$N$15,8,FALSE)/100</f>
        <v>0.05</v>
      </c>
      <c r="K54" s="2">
        <f t="shared" si="1"/>
        <v>0.62604878724296398</v>
      </c>
      <c r="L54" s="2">
        <f t="shared" si="2"/>
        <v>0.62604878724296398</v>
      </c>
      <c r="M54">
        <f>VLOOKUP(A54,'[62]1eke2qcujcpj3rdu'!$B$1:$N$15,7,FALSE)</f>
        <v>4</v>
      </c>
      <c r="N54">
        <f>VLOOKUP(A54,'[62]1eke2qcujcpj3rdu'!$B$1:$N$15,10,FALSE)</f>
        <v>0.82</v>
      </c>
    </row>
    <row r="55" spans="1:14" x14ac:dyDescent="0.3">
      <c r="A55" t="s">
        <v>145</v>
      </c>
      <c r="B55" t="str">
        <f>VLOOKUP(A55,'[5]Ticker List'!$H$4:$I$20,2,FALSE)</f>
        <v>WGL</v>
      </c>
      <c r="C55" t="str">
        <f>VLOOKUP(A55,'[61]6wxlfk1a50ogq37v'!$B$1:$N$15,2,FALSE)</f>
        <v>WGL HOLDING INC</v>
      </c>
      <c r="D55">
        <f>VLOOKUP(A55,'[61]6wxlfk1a50ogq37v'!$B$1:$N$15,12,FALSE)</f>
        <v>1.99</v>
      </c>
      <c r="E55">
        <f>VLOOKUP(A55,[45]WRDS!$B$1:$N$15,12,FALSE)</f>
        <v>2.5299999999999998</v>
      </c>
      <c r="F55" s="1">
        <f t="shared" si="3"/>
        <v>2.3172924157688111</v>
      </c>
      <c r="G55" s="1">
        <f t="shared" si="4"/>
        <v>2.3280185344000004</v>
      </c>
      <c r="H55" s="2">
        <f t="shared" si="0"/>
        <v>6.1859021616360366E-2</v>
      </c>
      <c r="I55" s="2">
        <f>VLOOKUP(A55,'[62]1eke2qcujcpj3rdu'!$B$1:$N$15,9,FALSE)/100</f>
        <v>3.8800000000000001E-2</v>
      </c>
      <c r="J55" s="2">
        <f>VLOOKUP(A55,'[62]1eke2qcujcpj3rdu'!$B$1:$N$15,8,FALSE)/100</f>
        <v>0.04</v>
      </c>
      <c r="K55" s="2">
        <f t="shared" si="1"/>
        <v>-0.37276731855490186</v>
      </c>
      <c r="L55" s="2">
        <f t="shared" si="2"/>
        <v>-0.35336836964422874</v>
      </c>
      <c r="M55">
        <f>VLOOKUP(A55,'[62]1eke2qcujcpj3rdu'!$B$1:$N$15,7,FALSE)</f>
        <v>5</v>
      </c>
      <c r="N55">
        <f>VLOOKUP(A55,'[62]1eke2qcujcpj3rdu'!$B$1:$N$15,10,FALSE)</f>
        <v>0.76</v>
      </c>
    </row>
  </sheetData>
  <mergeCells count="3">
    <mergeCell ref="P1:Q1"/>
    <mergeCell ref="P7:Q7"/>
    <mergeCell ref="P13:Q13"/>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A9D02-D166-4DF7-B445-2009A5D8B1CB}">
  <dimension ref="A1:Q56"/>
  <sheetViews>
    <sheetView topLeftCell="A19" workbookViewId="0">
      <selection activeCell="A56" sqref="A56"/>
    </sheetView>
  </sheetViews>
  <sheetFormatPr defaultRowHeight="14.4" x14ac:dyDescent="0.3"/>
  <cols>
    <col min="1" max="1" width="13.33203125" bestFit="1" customWidth="1"/>
    <col min="2" max="2" width="10.44140625" bestFit="1" customWidth="1"/>
    <col min="3" max="3" width="15.109375" bestFit="1" customWidth="1"/>
    <col min="4" max="5" width="15.44140625" bestFit="1" customWidth="1"/>
    <col min="6" max="6" width="14.33203125" bestFit="1" customWidth="1"/>
    <col min="7" max="7" width="16" bestFit="1" customWidth="1"/>
    <col min="8" max="8" width="18.33203125" bestFit="1" customWidth="1"/>
    <col min="9" max="9" width="21.44140625" bestFit="1" customWidth="1"/>
    <col min="10" max="10" width="23.109375" bestFit="1" customWidth="1"/>
    <col min="11" max="11" width="22" bestFit="1" customWidth="1"/>
    <col min="12" max="12" width="24.109375" bestFit="1" customWidth="1"/>
    <col min="13" max="13" width="19.88671875" bestFit="1" customWidth="1"/>
    <col min="14" max="14" width="8.33203125" bestFit="1" customWidth="1"/>
    <col min="16" max="16" width="51.88671875" bestFit="1" customWidth="1"/>
    <col min="17" max="17" width="12" bestFit="1" customWidth="1"/>
  </cols>
  <sheetData>
    <row r="1" spans="1:17" x14ac:dyDescent="0.3">
      <c r="A1" s="4" t="s">
        <v>0</v>
      </c>
      <c r="B1" s="4" t="s">
        <v>1</v>
      </c>
      <c r="C1" s="4" t="s">
        <v>2</v>
      </c>
      <c r="D1" s="4" t="s">
        <v>92</v>
      </c>
      <c r="E1" s="4" t="s">
        <v>82</v>
      </c>
      <c r="F1" s="4" t="s">
        <v>5</v>
      </c>
      <c r="G1" s="4" t="s">
        <v>6</v>
      </c>
      <c r="H1" s="4" t="s">
        <v>7</v>
      </c>
      <c r="I1" s="4" t="s">
        <v>8</v>
      </c>
      <c r="J1" s="4" t="s">
        <v>9</v>
      </c>
      <c r="K1" s="4" t="s">
        <v>10</v>
      </c>
      <c r="L1" s="4" t="s">
        <v>11</v>
      </c>
      <c r="M1" s="4" t="s">
        <v>12</v>
      </c>
      <c r="N1" s="4" t="s">
        <v>13</v>
      </c>
      <c r="P1" s="111" t="s">
        <v>14</v>
      </c>
      <c r="Q1" s="111"/>
    </row>
    <row r="2" spans="1:17" x14ac:dyDescent="0.3">
      <c r="A2" t="s">
        <v>15</v>
      </c>
      <c r="B2" t="str">
        <f>VLOOKUP(A2,[63]WRDS!$A$1:$N$100,2,FALSE)</f>
        <v>UEP</v>
      </c>
      <c r="C2" t="str">
        <f>VLOOKUP(A2,[63]WRDS!$A$1:$N$100,3,FALSE)</f>
        <v>AMEREN CP</v>
      </c>
      <c r="D2">
        <f>VLOOKUP(A2,[63]WRDS!$A$1:$N$100,13,FALSE)</f>
        <v>2.95</v>
      </c>
      <c r="E2">
        <f>VLOOKUP(A2,[47]WRDS!$A$1:$N$100,13,FALSE)</f>
        <v>3.29</v>
      </c>
      <c r="F2" s="1">
        <f>D2*(1+I2)^4</f>
        <v>3.3048049944032045</v>
      </c>
      <c r="G2" s="1">
        <f>D2*(1+J2)^4</f>
        <v>3.3202509894999999</v>
      </c>
      <c r="H2" s="2">
        <f t="shared" ref="H2:H56" si="0">((E2/D2)^(1/4)-1)</f>
        <v>2.7645844676345455E-2</v>
      </c>
      <c r="I2" s="2">
        <f>VLOOKUP(A2,[64]WRDS!$A$1:$O$100,10,FALSE)/100</f>
        <v>2.8799999999999999E-2</v>
      </c>
      <c r="J2" s="2">
        <f>VLOOKUP(A2,[64]WRDS!$A$1:$O$100,9,FALSE)/100</f>
        <v>0.03</v>
      </c>
      <c r="K2" s="2">
        <f t="shared" ref="K2:K56" si="1">(I2-H2)/(ABS(H2))</f>
        <v>4.1747877019727007E-2</v>
      </c>
      <c r="L2" s="2">
        <f t="shared" ref="L2:L56" si="2">(J2-H2)/(ABS(H2))</f>
        <v>8.5154038562215623E-2</v>
      </c>
      <c r="M2">
        <f>VLOOKUP(A2,[64]WRDS!$A$1:$O$100,8,FALSE)</f>
        <v>8</v>
      </c>
      <c r="N2">
        <f>VLOOKUP(A2,[64]WRDS!$A$1:$O$100,11,FALSE)</f>
        <v>1.73</v>
      </c>
      <c r="P2" t="s">
        <v>16</v>
      </c>
      <c r="Q2" s="3">
        <f>AVERAGE(H2:H999)</f>
        <v>4.7216752539611599E-2</v>
      </c>
    </row>
    <row r="3" spans="1:17" x14ac:dyDescent="0.3">
      <c r="A3" t="s">
        <v>17</v>
      </c>
      <c r="B3" t="str">
        <f>VLOOKUP(A3,[63]WRDS!$A$1:$N$100,2,FALSE)</f>
        <v>MPL</v>
      </c>
      <c r="C3" t="str">
        <f>VLOOKUP(A3,[63]WRDS!$A$1:$N$100,3,FALSE)</f>
        <v>ALLETE INC</v>
      </c>
      <c r="D3">
        <f>VLOOKUP(A3,[63]WRDS!$A$1:$N$100,13,FALSE)</f>
        <v>5.85</v>
      </c>
      <c r="E3">
        <f>VLOOKUP(A3,[47]WRDS!$A$1:$N$100,13,FALSE)</f>
        <v>3.08</v>
      </c>
      <c r="F3" s="1">
        <f t="shared" ref="F3:F56" si="3">D3*(1+I3)^4</f>
        <v>8.2577524185000009</v>
      </c>
      <c r="G3" s="1">
        <f t="shared" ref="G3:G56" si="4">D3*(1+J3)^4</f>
        <v>8.5649850000000018</v>
      </c>
      <c r="H3" s="2">
        <f t="shared" si="0"/>
        <v>-0.14817827419898155</v>
      </c>
      <c r="I3" s="2">
        <f>VLOOKUP(A3,[64]WRDS!$A$1:$O$100,10,FALSE)/100</f>
        <v>0.09</v>
      </c>
      <c r="J3" s="2">
        <f>VLOOKUP(A3,[64]WRDS!$A$1:$O$100,9,FALSE)/100</f>
        <v>0.1</v>
      </c>
      <c r="K3" s="2">
        <f t="shared" si="1"/>
        <v>1.6073764894787699</v>
      </c>
      <c r="L3" s="2">
        <f t="shared" si="2"/>
        <v>1.6748627660875222</v>
      </c>
      <c r="M3">
        <f>VLOOKUP(A3,[64]WRDS!$A$1:$O$100,8,FALSE)</f>
        <v>3</v>
      </c>
      <c r="N3">
        <f>VLOOKUP(A3,[64]WRDS!$A$1:$O$100,11,FALSE)</f>
        <v>3.61</v>
      </c>
      <c r="P3" t="s">
        <v>18</v>
      </c>
      <c r="Q3" s="3">
        <f>AVERAGE(I2:I999)</f>
        <v>4.4767272727272739E-2</v>
      </c>
    </row>
    <row r="4" spans="1:17" x14ac:dyDescent="0.3">
      <c r="A4" t="s">
        <v>63</v>
      </c>
      <c r="B4" t="str">
        <f>VLOOKUP(A4,[63]WRDS!$A$1:$N$100,2,FALSE)</f>
        <v>WWP</v>
      </c>
      <c r="C4" t="str">
        <f>VLOOKUP(A4,[63]WRDS!$A$1:$N$100,3,FALSE)</f>
        <v>AVISTA CORP</v>
      </c>
      <c r="D4">
        <f>VLOOKUP(A4,[63]WRDS!$A$1:$N$100,13,FALSE)</f>
        <v>1.02</v>
      </c>
      <c r="E4">
        <f>VLOOKUP(A4,[47]WRDS!$A$1:$N$100,13,FALSE)</f>
        <v>0.72</v>
      </c>
      <c r="F4" s="1">
        <f t="shared" si="3"/>
        <v>1.2084731378837221</v>
      </c>
      <c r="G4" s="1">
        <f t="shared" si="4"/>
        <v>1.1932557312000003</v>
      </c>
      <c r="H4" s="2">
        <f t="shared" si="0"/>
        <v>-8.3393186575178357E-2</v>
      </c>
      <c r="I4" s="2">
        <f>VLOOKUP(A4,[64]WRDS!$A$1:$O$100,10,FALSE)/100</f>
        <v>4.3299999999999998E-2</v>
      </c>
      <c r="J4" s="2">
        <f>VLOOKUP(A4,[64]WRDS!$A$1:$O$100,9,FALSE)/100</f>
        <v>0.04</v>
      </c>
      <c r="K4" s="2">
        <f t="shared" si="1"/>
        <v>1.519227070918622</v>
      </c>
      <c r="L4" s="2">
        <f t="shared" si="2"/>
        <v>1.4796554927654706</v>
      </c>
      <c r="M4">
        <f>VLOOKUP(A4,[64]WRDS!$A$1:$O$100,8,FALSE)</f>
        <v>3</v>
      </c>
      <c r="N4">
        <f>VLOOKUP(A4,[64]WRDS!$A$1:$O$100,11,FALSE)</f>
        <v>0.57999999999999996</v>
      </c>
      <c r="P4" t="s">
        <v>20</v>
      </c>
      <c r="Q4" s="3">
        <f>(Q3-Q2)/ABS(Q2)</f>
        <v>-5.1877346081434038E-2</v>
      </c>
    </row>
    <row r="5" spans="1:17" x14ac:dyDescent="0.3">
      <c r="A5" t="s">
        <v>19</v>
      </c>
      <c r="B5" t="str">
        <f>VLOOKUP(A5,[63]WRDS!$A$1:$N$100,2,FALSE)</f>
        <v>BHP</v>
      </c>
      <c r="C5" t="str">
        <f>VLOOKUP(A5,[63]WRDS!$A$1:$N$100,3,FALSE)</f>
        <v>BLACK HILLS CP</v>
      </c>
      <c r="D5">
        <f>VLOOKUP(A5,[63]WRDS!$A$1:$N$100,13,FALSE)</f>
        <v>1.97</v>
      </c>
      <c r="E5">
        <f>VLOOKUP(A5,[47]WRDS!$A$1:$N$100,13,FALSE)</f>
        <v>2.68</v>
      </c>
      <c r="F5" s="1">
        <f t="shared" si="3"/>
        <v>2.4898963685352222</v>
      </c>
      <c r="G5" s="1">
        <f t="shared" si="4"/>
        <v>2.5391013849377742</v>
      </c>
      <c r="H5" s="2">
        <f t="shared" si="0"/>
        <v>7.9983553676880037E-2</v>
      </c>
      <c r="I5" s="2">
        <f>VLOOKUP(A5,[64]WRDS!$A$1:$O$100,10,FALSE)/100</f>
        <v>6.0299999999999999E-2</v>
      </c>
      <c r="J5" s="2">
        <f>VLOOKUP(A5,[64]WRDS!$A$1:$O$100,9,FALSE)/100</f>
        <v>6.5500000000000003E-2</v>
      </c>
      <c r="K5" s="2">
        <f t="shared" si="1"/>
        <v>-0.24609501293726269</v>
      </c>
      <c r="L5" s="2">
        <f t="shared" si="2"/>
        <v>-0.18108164755208464</v>
      </c>
      <c r="M5">
        <f>VLOOKUP(A5,[64]WRDS!$A$1:$O$100,8,FALSE)</f>
        <v>4</v>
      </c>
      <c r="N5">
        <f>VLOOKUP(A5,[64]WRDS!$A$1:$O$100,11,FALSE)</f>
        <v>2.44</v>
      </c>
      <c r="P5" t="s">
        <v>22</v>
      </c>
      <c r="Q5" s="3">
        <f>AVERAGE(J2:J999)</f>
        <v>4.5581818181818182E-2</v>
      </c>
    </row>
    <row r="6" spans="1:17" x14ac:dyDescent="0.3">
      <c r="A6" t="s">
        <v>83</v>
      </c>
      <c r="B6" t="str">
        <f>VLOOKUP(A6,[63]WRDS!$A$1:$N$100,2,FALSE)</f>
        <v>BGE</v>
      </c>
      <c r="C6" t="str">
        <f>VLOOKUP(A6,[63]WRDS!$A$1:$N$100,3,FALSE)</f>
        <v>CONSTELLATION EN</v>
      </c>
      <c r="D6">
        <f>VLOOKUP(A6,[63]WRDS!$A$1:$N$100,13,FALSE)</f>
        <v>2.76</v>
      </c>
      <c r="E6">
        <f>VLOOKUP(A6,[47]WRDS!$A$1:$N$100,13,FALSE)</f>
        <v>4.5999999999999996</v>
      </c>
      <c r="F6" s="1">
        <f t="shared" si="3"/>
        <v>3.6164447297116284</v>
      </c>
      <c r="G6" s="1">
        <f t="shared" si="4"/>
        <v>3.6042914606139589</v>
      </c>
      <c r="H6" s="2">
        <f t="shared" si="0"/>
        <v>0.13621936646749933</v>
      </c>
      <c r="I6" s="2">
        <f>VLOOKUP(A6,[64]WRDS!$A$1:$O$100,10,FALSE)/100</f>
        <v>6.9900000000000004E-2</v>
      </c>
      <c r="J6" s="2">
        <f>VLOOKUP(A6,[64]WRDS!$A$1:$O$100,9,FALSE)/100</f>
        <v>6.9000000000000006E-2</v>
      </c>
      <c r="K6" s="2">
        <f t="shared" si="1"/>
        <v>-0.4868571054712878</v>
      </c>
      <c r="L6" s="2">
        <f t="shared" si="2"/>
        <v>-0.49346409552959736</v>
      </c>
      <c r="M6">
        <f>VLOOKUP(A6,[64]WRDS!$A$1:$O$100,8,FALSE)</f>
        <v>9</v>
      </c>
      <c r="N6">
        <f>VLOOKUP(A6,[64]WRDS!$A$1:$O$100,11,FALSE)</f>
        <v>1.8</v>
      </c>
      <c r="P6" t="s">
        <v>24</v>
      </c>
      <c r="Q6" s="3">
        <f>(Q5-Q2)/ABS(Q2)</f>
        <v>-3.4626150039052776E-2</v>
      </c>
    </row>
    <row r="7" spans="1:17" x14ac:dyDescent="0.3">
      <c r="A7" t="s">
        <v>21</v>
      </c>
      <c r="B7" t="str">
        <f>VLOOKUP(A7,[63]WRDS!$A$1:$N$100,2,FALSE)</f>
        <v>CMS</v>
      </c>
      <c r="C7" t="str">
        <f>VLOOKUP(A7,[63]WRDS!$A$1:$N$100,3,FALSE)</f>
        <v>CMS ENERGY CORP</v>
      </c>
      <c r="D7">
        <f>VLOOKUP(A7,[63]WRDS!$A$1:$N$100,13,FALSE)</f>
        <v>0.81</v>
      </c>
      <c r="E7">
        <f>VLOOKUP(A7,[47]WRDS!$A$1:$N$100,13,FALSE)</f>
        <v>0.89</v>
      </c>
      <c r="F7" s="1">
        <f t="shared" si="3"/>
        <v>0.95819894578662401</v>
      </c>
      <c r="G7" s="1">
        <f t="shared" si="4"/>
        <v>0.94758543360000025</v>
      </c>
      <c r="H7" s="2">
        <f t="shared" si="0"/>
        <v>2.3826218546910916E-2</v>
      </c>
      <c r="I7" s="2">
        <f>VLOOKUP(A7,[64]WRDS!$A$1:$O$100,10,FALSE)/100</f>
        <v>4.2900000000000001E-2</v>
      </c>
      <c r="J7" s="2">
        <f>VLOOKUP(A7,[64]WRDS!$A$1:$O$100,9,FALSE)/100</f>
        <v>0.04</v>
      </c>
      <c r="K7" s="2">
        <f t="shared" si="1"/>
        <v>0.80053750096915877</v>
      </c>
      <c r="L7" s="2">
        <f t="shared" si="2"/>
        <v>0.67882284472648835</v>
      </c>
      <c r="M7">
        <f>VLOOKUP(A7,[64]WRDS!$A$1:$O$100,8,FALSE)</f>
        <v>7</v>
      </c>
      <c r="N7">
        <f>VLOOKUP(A7,[64]WRDS!$A$1:$O$100,11,FALSE)</f>
        <v>1.6</v>
      </c>
      <c r="P7" s="111" t="s">
        <v>26</v>
      </c>
      <c r="Q7" s="111"/>
    </row>
    <row r="8" spans="1:17" x14ac:dyDescent="0.3">
      <c r="A8" t="s">
        <v>23</v>
      </c>
      <c r="B8" t="str">
        <f>VLOOKUP(A8,[63]WRDS!$A$1:$N$100,2,FALSE)</f>
        <v>HOU</v>
      </c>
      <c r="C8" t="str">
        <f>VLOOKUP(A8,[63]WRDS!$A$1:$N$100,3,FALSE)</f>
        <v>CENTERPOINT ENER</v>
      </c>
      <c r="D8">
        <f>VLOOKUP(A8,[63]WRDS!$A$1:$N$100,13,FALSE)</f>
        <v>1.62</v>
      </c>
      <c r="E8">
        <f>VLOOKUP(A8,[47]WRDS!$A$1:$N$100,13,FALSE)</f>
        <v>1.17</v>
      </c>
      <c r="F8" s="1">
        <f t="shared" si="3"/>
        <v>1.83752731533312</v>
      </c>
      <c r="G8" s="1">
        <f t="shared" si="4"/>
        <v>1.8233242722</v>
      </c>
      <c r="H8" s="2">
        <f t="shared" si="0"/>
        <v>-7.8134182432824217E-2</v>
      </c>
      <c r="I8" s="2">
        <f>VLOOKUP(A8,[64]WRDS!$A$1:$O$100,10,FALSE)/100</f>
        <v>3.2000000000000001E-2</v>
      </c>
      <c r="J8" s="2">
        <f>VLOOKUP(A8,[64]WRDS!$A$1:$O$100,9,FALSE)/100</f>
        <v>0.03</v>
      </c>
      <c r="K8" s="2">
        <f t="shared" si="1"/>
        <v>1.4095518632643524</v>
      </c>
      <c r="L8" s="2">
        <f t="shared" si="2"/>
        <v>1.3839548718103305</v>
      </c>
      <c r="M8">
        <f>VLOOKUP(A8,[64]WRDS!$A$1:$O$100,8,FALSE)</f>
        <v>5</v>
      </c>
      <c r="N8">
        <f>VLOOKUP(A8,[64]WRDS!$A$1:$O$100,11,FALSE)</f>
        <v>0.45</v>
      </c>
      <c r="P8" t="s">
        <v>28</v>
      </c>
      <c r="Q8" s="2">
        <f>MEDIAN(H2:H99)</f>
        <v>5.182951797101909E-2</v>
      </c>
    </row>
    <row r="9" spans="1:17" x14ac:dyDescent="0.3">
      <c r="A9" t="s">
        <v>25</v>
      </c>
      <c r="B9" t="str">
        <f>VLOOKUP(A9,[63]WRDS!$A$1:$N$100,2,FALSE)</f>
        <v>D</v>
      </c>
      <c r="C9" t="str">
        <f>VLOOKUP(A9,[63]WRDS!$A$1:$N$100,3,FALSE)</f>
        <v>DOMINION RES INC</v>
      </c>
      <c r="D9">
        <f>VLOOKUP(A9,[63]WRDS!$A$1:$N$100,13,FALSE)</f>
        <v>2.25</v>
      </c>
      <c r="E9">
        <f>VLOOKUP(A9,[47]WRDS!$A$1:$N$100,13,FALSE)</f>
        <v>2.56</v>
      </c>
      <c r="F9" s="1">
        <f t="shared" si="3"/>
        <v>2.7715369814438913</v>
      </c>
      <c r="G9" s="1">
        <f t="shared" si="4"/>
        <v>2.7873554639062497</v>
      </c>
      <c r="H9" s="2">
        <f t="shared" si="0"/>
        <v>3.2795558988644613E-2</v>
      </c>
      <c r="I9" s="2">
        <f>VLOOKUP(A9,[64]WRDS!$A$1:$O$100,10,FALSE)/100</f>
        <v>5.3499999999999999E-2</v>
      </c>
      <c r="J9" s="2">
        <f>VLOOKUP(A9,[64]WRDS!$A$1:$O$100,9,FALSE)/100</f>
        <v>5.5E-2</v>
      </c>
      <c r="K9" s="2">
        <f t="shared" si="1"/>
        <v>0.63131843608838167</v>
      </c>
      <c r="L9" s="2">
        <f t="shared" si="2"/>
        <v>0.6770563361656261</v>
      </c>
      <c r="M9">
        <f>VLOOKUP(A9,[64]WRDS!$A$1:$O$100,8,FALSE)</f>
        <v>16</v>
      </c>
      <c r="N9">
        <f>VLOOKUP(A9,[64]WRDS!$A$1:$O$100,11,FALSE)</f>
        <v>1.1499999999999999</v>
      </c>
      <c r="P9" t="s">
        <v>30</v>
      </c>
      <c r="Q9" s="2">
        <f>MEDIAN(I2:I100)</f>
        <v>4.3299999999999998E-2</v>
      </c>
    </row>
    <row r="10" spans="1:17" x14ac:dyDescent="0.3">
      <c r="A10" t="s">
        <v>86</v>
      </c>
      <c r="B10" t="str">
        <f>VLOOKUP(A10,[63]WRDS!$A$1:$N$100,2,FALSE)</f>
        <v>DPL</v>
      </c>
      <c r="C10" t="str">
        <f>VLOOKUP(A10,[63]WRDS!$A$1:$N$100,3,FALSE)</f>
        <v>DPL INC</v>
      </c>
      <c r="D10">
        <f>VLOOKUP(A10,[63]WRDS!$A$1:$N$100,13,FALSE)</f>
        <v>1.51</v>
      </c>
      <c r="E10">
        <f>VLOOKUP(A10,[47]WRDS!$A$1:$N$100,13,FALSE)</f>
        <v>1.53</v>
      </c>
      <c r="F10" s="1">
        <f t="shared" si="3"/>
        <v>1.789014155102373</v>
      </c>
      <c r="G10" s="1">
        <f t="shared" si="4"/>
        <v>1.7664864256000004</v>
      </c>
      <c r="H10" s="2">
        <f t="shared" si="0"/>
        <v>3.2949375565631822E-3</v>
      </c>
      <c r="I10" s="2">
        <f>VLOOKUP(A10,[64]WRDS!$A$1:$O$100,10,FALSE)/100</f>
        <v>4.3299999999999998E-2</v>
      </c>
      <c r="J10" s="2">
        <f>VLOOKUP(A10,[64]WRDS!$A$1:$O$100,9,FALSE)/100</f>
        <v>0.04</v>
      </c>
      <c r="K10" s="2">
        <f t="shared" si="1"/>
        <v>12.141371955213772</v>
      </c>
      <c r="L10" s="2">
        <f t="shared" si="2"/>
        <v>11.139835524446905</v>
      </c>
      <c r="M10">
        <f>VLOOKUP(A10,[64]WRDS!$A$1:$O$100,8,FALSE)</f>
        <v>6</v>
      </c>
      <c r="N10">
        <f>VLOOKUP(A10,[64]WRDS!$A$1:$O$100,11,FALSE)</f>
        <v>1.51</v>
      </c>
      <c r="P10" t="s">
        <v>32</v>
      </c>
      <c r="Q10" s="2">
        <f>(Q9-Q8)/ABS(Q8)</f>
        <v>-0.16456873042478309</v>
      </c>
    </row>
    <row r="11" spans="1:17" x14ac:dyDescent="0.3">
      <c r="A11" t="s">
        <v>27</v>
      </c>
      <c r="B11" t="str">
        <f>VLOOKUP(A11,[63]WRDS!$A$1:$N$100,2,FALSE)</f>
        <v>DTE</v>
      </c>
      <c r="C11" t="str">
        <f>VLOOKUP(A11,[63]WRDS!$A$1:$N$100,3,FALSE)</f>
        <v>DTE ENERGY</v>
      </c>
      <c r="D11">
        <f>VLOOKUP(A11,[63]WRDS!$A$1:$N$100,13,FALSE)</f>
        <v>3.15</v>
      </c>
      <c r="E11">
        <f>VLOOKUP(A11,[47]WRDS!$A$1:$N$100,13,FALSE)</f>
        <v>2.82</v>
      </c>
      <c r="F11" s="1">
        <f t="shared" si="3"/>
        <v>3.7968560339907511</v>
      </c>
      <c r="G11" s="1">
        <f t="shared" si="4"/>
        <v>3.8288446874999997</v>
      </c>
      <c r="H11" s="2">
        <f t="shared" si="0"/>
        <v>-2.7287182516470554E-2</v>
      </c>
      <c r="I11" s="2">
        <f>VLOOKUP(A11,[64]WRDS!$A$1:$O$100,10,FALSE)/100</f>
        <v>4.7800000000000002E-2</v>
      </c>
      <c r="J11" s="2">
        <f>VLOOKUP(A11,[64]WRDS!$A$1:$O$100,9,FALSE)/100</f>
        <v>0.05</v>
      </c>
      <c r="K11" s="2">
        <f t="shared" si="1"/>
        <v>2.7517382005690001</v>
      </c>
      <c r="L11" s="2">
        <f t="shared" si="2"/>
        <v>2.8323621344864014</v>
      </c>
      <c r="M11">
        <f>VLOOKUP(A11,[64]WRDS!$A$1:$O$100,8,FALSE)</f>
        <v>8</v>
      </c>
      <c r="N11">
        <f>VLOOKUP(A11,[64]WRDS!$A$1:$O$100,11,FALSE)</f>
        <v>2.34</v>
      </c>
      <c r="P11" t="s">
        <v>34</v>
      </c>
      <c r="Q11" s="2">
        <f>MEDIAN(J2:J99)</f>
        <v>0.04</v>
      </c>
    </row>
    <row r="12" spans="1:17" x14ac:dyDescent="0.3">
      <c r="A12" t="s">
        <v>29</v>
      </c>
      <c r="B12" t="str">
        <f>VLOOKUP(A12,[63]WRDS!$A$1:$N$100,2,FALSE)</f>
        <v>DUK</v>
      </c>
      <c r="C12" t="str">
        <f>VLOOKUP(A12,[63]WRDS!$A$1:$N$100,3,FALSE)</f>
        <v>DUKE ENERGY CORP</v>
      </c>
      <c r="D12">
        <f>VLOOKUP(A12,[63]WRDS!$A$1:$N$100,13,FALSE)</f>
        <v>3.84</v>
      </c>
      <c r="E12">
        <f>VLOOKUP(A12,[47]WRDS!$A$1:$N$100,13,FALSE)</f>
        <v>3.75</v>
      </c>
      <c r="F12" s="1">
        <f t="shared" si="3"/>
        <v>4.4457878636385191</v>
      </c>
      <c r="G12" s="1">
        <f t="shared" si="4"/>
        <v>4.6675439999999995</v>
      </c>
      <c r="H12" s="2">
        <f t="shared" si="0"/>
        <v>-5.9115890411867156E-3</v>
      </c>
      <c r="I12" s="2">
        <f>VLOOKUP(A12,[64]WRDS!$A$1:$O$100,10,FALSE)/100</f>
        <v>3.73E-2</v>
      </c>
      <c r="J12" s="2">
        <f>VLOOKUP(A12,[64]WRDS!$A$1:$O$100,9,FALSE)/100</f>
        <v>0.05</v>
      </c>
      <c r="K12" s="2">
        <f t="shared" si="1"/>
        <v>7.3096402236567259</v>
      </c>
      <c r="L12" s="2">
        <f t="shared" si="2"/>
        <v>9.4579627662958803</v>
      </c>
      <c r="M12">
        <f>VLOOKUP(A12,[64]WRDS!$A$1:$O$100,8,FALSE)</f>
        <v>15</v>
      </c>
      <c r="N12">
        <f>VLOOKUP(A12,[64]WRDS!$A$1:$O$100,11,FALSE)</f>
        <v>4.01</v>
      </c>
      <c r="P12" t="s">
        <v>32</v>
      </c>
      <c r="Q12" s="2">
        <f>(Q11-Q8)/ABS(Q8)</f>
        <v>-0.22823901193975341</v>
      </c>
    </row>
    <row r="13" spans="1:17" x14ac:dyDescent="0.3">
      <c r="A13" t="s">
        <v>93</v>
      </c>
      <c r="B13" t="str">
        <f>VLOOKUP(A13,[63]WRDS!$A$1:$N$100,2,FALSE)</f>
        <v>NGE</v>
      </c>
      <c r="C13" t="str">
        <f>VLOOKUP(A13,[63]WRDS!$A$1:$N$100,3,FALSE)</f>
        <v>ENERGY EAST CORP</v>
      </c>
      <c r="D13">
        <f>VLOOKUP(A13,[63]WRDS!$A$1:$N$100,13,FALSE)</f>
        <v>1.42</v>
      </c>
      <c r="E13">
        <f>VLOOKUP(A13,[47]WRDS!$A$1:$N$100,13,FALSE)</f>
        <v>1.61</v>
      </c>
      <c r="F13" s="1">
        <f t="shared" si="3"/>
        <v>1.6888436933248998</v>
      </c>
      <c r="G13" s="1">
        <f t="shared" si="4"/>
        <v>1.6611991552000003</v>
      </c>
      <c r="H13" s="2">
        <f t="shared" si="0"/>
        <v>3.1892326517030112E-2</v>
      </c>
      <c r="I13" s="2">
        <f>VLOOKUP(A13,[64]WRDS!$A$1:$O$100,10,FALSE)/100</f>
        <v>4.4299999999999999E-2</v>
      </c>
      <c r="J13" s="2">
        <f>VLOOKUP(A13,[64]WRDS!$A$1:$O$100,9,FALSE)/100</f>
        <v>0.04</v>
      </c>
      <c r="K13" s="2">
        <f t="shared" si="1"/>
        <v>0.38904886654613741</v>
      </c>
      <c r="L13" s="2">
        <f t="shared" si="2"/>
        <v>0.25422019552698644</v>
      </c>
      <c r="M13">
        <f>VLOOKUP(A13,[64]WRDS!$A$1:$O$100,8,FALSE)</f>
        <v>7</v>
      </c>
      <c r="N13">
        <f>VLOOKUP(A13,[64]WRDS!$A$1:$O$100,11,FALSE)</f>
        <v>2.15</v>
      </c>
      <c r="P13" s="111" t="s">
        <v>37</v>
      </c>
      <c r="Q13" s="111"/>
    </row>
    <row r="14" spans="1:17" x14ac:dyDescent="0.3">
      <c r="A14" t="s">
        <v>31</v>
      </c>
      <c r="B14" t="str">
        <f>VLOOKUP(A14,[63]WRDS!$A$1:$N$100,2,FALSE)</f>
        <v>ED</v>
      </c>
      <c r="C14" t="str">
        <f>VLOOKUP(A14,[63]WRDS!$A$1:$N$100,3,FALSE)</f>
        <v>CONS EDISON INC</v>
      </c>
      <c r="D14">
        <f>VLOOKUP(A14,[63]WRDS!$A$1:$N$100,13,FALSE)</f>
        <v>2.83</v>
      </c>
      <c r="E14">
        <f>VLOOKUP(A14,[47]WRDS!$A$1:$N$100,13,FALSE)</f>
        <v>3.45</v>
      </c>
      <c r="F14" s="1">
        <f t="shared" si="3"/>
        <v>3.2075137713061759</v>
      </c>
      <c r="G14" s="1">
        <f t="shared" si="4"/>
        <v>3.1851899322999997</v>
      </c>
      <c r="H14" s="2">
        <f t="shared" si="0"/>
        <v>5.0771209543902573E-2</v>
      </c>
      <c r="I14" s="2">
        <f>VLOOKUP(A14,[64]WRDS!$A$1:$O$100,10,FALSE)/100</f>
        <v>3.1800000000000002E-2</v>
      </c>
      <c r="J14" s="2">
        <f>VLOOKUP(A14,[64]WRDS!$A$1:$O$100,9,FALSE)/100</f>
        <v>0.03</v>
      </c>
      <c r="K14" s="2">
        <f t="shared" si="1"/>
        <v>-0.37366077574925416</v>
      </c>
      <c r="L14" s="2">
        <f t="shared" si="2"/>
        <v>-0.40911393938608887</v>
      </c>
      <c r="M14">
        <f>VLOOKUP(A14,[64]WRDS!$A$1:$O$100,8,FALSE)</f>
        <v>11</v>
      </c>
      <c r="N14">
        <f>VLOOKUP(A14,[64]WRDS!$A$1:$O$100,11,FALSE)</f>
        <v>1.17</v>
      </c>
      <c r="P14" t="s">
        <v>39</v>
      </c>
      <c r="Q14" s="1">
        <f>AVERAGE(M2:M1002)</f>
        <v>6.5272727272727273</v>
      </c>
    </row>
    <row r="15" spans="1:17" x14ac:dyDescent="0.3">
      <c r="A15" t="s">
        <v>72</v>
      </c>
      <c r="B15" t="str">
        <f>VLOOKUP(A15,[63]WRDS!$A$1:$N$100,2,FALSE)</f>
        <v>EDE</v>
      </c>
      <c r="C15" t="str">
        <f>VLOOKUP(A15,[63]WRDS!$A$1:$N$100,3,FALSE)</f>
        <v>EMPIRE DIST ELEC</v>
      </c>
      <c r="D15">
        <f>VLOOKUP(A15,[63]WRDS!$A$1:$N$100,13,FALSE)</f>
        <v>1.34</v>
      </c>
      <c r="E15">
        <f>VLOOKUP(A15,[47]WRDS!$A$1:$N$100,13,FALSE)</f>
        <v>1.0900000000000001</v>
      </c>
      <c r="F15" s="1">
        <f t="shared" si="3"/>
        <v>1.5081818054</v>
      </c>
      <c r="G15" s="1">
        <f t="shared" si="4"/>
        <v>1.5081818054</v>
      </c>
      <c r="H15" s="2">
        <f t="shared" si="0"/>
        <v>-5.0313149167611981E-2</v>
      </c>
      <c r="I15" s="2">
        <f>VLOOKUP(A15,[64]WRDS!$A$1:$O$100,10,FALSE)/100</f>
        <v>0.03</v>
      </c>
      <c r="J15" s="2">
        <f>VLOOKUP(A15,[64]WRDS!$A$1:$O$100,9,FALSE)/100</f>
        <v>0.03</v>
      </c>
      <c r="K15" s="2">
        <f t="shared" si="1"/>
        <v>1.5962655984831866</v>
      </c>
      <c r="L15" s="2">
        <f t="shared" si="2"/>
        <v>1.5962655984831866</v>
      </c>
      <c r="M15">
        <f>VLOOKUP(A15,[64]WRDS!$A$1:$O$100,8,FALSE)</f>
        <v>1</v>
      </c>
      <c r="N15">
        <f>VLOOKUP(A15,[64]WRDS!$A$1:$O$100,11,FALSE)</f>
        <v>0</v>
      </c>
      <c r="P15" t="s">
        <v>41</v>
      </c>
      <c r="Q15" s="1">
        <f>COUNT(N2:N1002)</f>
        <v>55</v>
      </c>
    </row>
    <row r="16" spans="1:17" x14ac:dyDescent="0.3">
      <c r="A16" t="s">
        <v>33</v>
      </c>
      <c r="B16" t="str">
        <f>VLOOKUP(A16,[63]WRDS!$A$1:$N$100,2,FALSE)</f>
        <v>SCE</v>
      </c>
      <c r="C16" t="str">
        <f>VLOOKUP(A16,[63]WRDS!$A$1:$N$100,3,FALSE)</f>
        <v>EDISON INTL</v>
      </c>
      <c r="D16">
        <f>VLOOKUP(A16,[63]WRDS!$A$1:$N$100,13,FALSE)</f>
        <v>2.86</v>
      </c>
      <c r="E16">
        <f>VLOOKUP(A16,[47]WRDS!$A$1:$N$100,13,FALSE)</f>
        <v>3.69</v>
      </c>
      <c r="F16" s="1">
        <f t="shared" si="3"/>
        <v>3.2819157817874989</v>
      </c>
      <c r="G16" s="1">
        <f t="shared" si="4"/>
        <v>3.3457954816000006</v>
      </c>
      <c r="H16" s="2">
        <f t="shared" si="0"/>
        <v>6.5773906790579817E-2</v>
      </c>
      <c r="I16" s="2">
        <f>VLOOKUP(A16,[64]WRDS!$A$1:$O$100,10,FALSE)/100</f>
        <v>3.5000000000000003E-2</v>
      </c>
      <c r="J16" s="2">
        <f>VLOOKUP(A16,[64]WRDS!$A$1:$O$100,9,FALSE)/100</f>
        <v>0.04</v>
      </c>
      <c r="K16" s="2">
        <f t="shared" si="1"/>
        <v>-0.46787409007894409</v>
      </c>
      <c r="L16" s="2">
        <f t="shared" si="2"/>
        <v>-0.39185610294736473</v>
      </c>
      <c r="M16">
        <f>VLOOKUP(A16,[64]WRDS!$A$1:$O$100,8,FALSE)</f>
        <v>4</v>
      </c>
      <c r="N16">
        <f>VLOOKUP(A16,[64]WRDS!$A$1:$O$100,11,FALSE)</f>
        <v>2.65</v>
      </c>
    </row>
    <row r="17" spans="1:14" x14ac:dyDescent="0.3">
      <c r="A17" t="s">
        <v>59</v>
      </c>
      <c r="B17" t="str">
        <f>VLOOKUP(A17,[63]WRDS!$A$1:$N$100,2,FALSE)</f>
        <v>MSU</v>
      </c>
      <c r="C17" t="str">
        <f>VLOOKUP(A17,[63]WRDS!$A$1:$N$100,3,FALSE)</f>
        <v>ENTERGY CP</v>
      </c>
      <c r="D17">
        <f>VLOOKUP(A17,[63]WRDS!$A$1:$N$100,13,FALSE)</f>
        <v>4.25</v>
      </c>
      <c r="E17">
        <f>VLOOKUP(A17,[47]WRDS!$A$1:$N$100,13,FALSE)</f>
        <v>5.76</v>
      </c>
      <c r="F17" s="1">
        <f t="shared" si="3"/>
        <v>5.3291747171839745</v>
      </c>
      <c r="G17" s="1">
        <f t="shared" si="4"/>
        <v>5.3655270800000014</v>
      </c>
      <c r="H17" s="2">
        <f t="shared" si="0"/>
        <v>7.8967562151151194E-2</v>
      </c>
      <c r="I17" s="2">
        <f>VLOOKUP(A17,[64]WRDS!$A$1:$O$100,10,FALSE)/100</f>
        <v>5.8200000000000002E-2</v>
      </c>
      <c r="J17" s="2">
        <f>VLOOKUP(A17,[64]WRDS!$A$1:$O$100,9,FALSE)/100</f>
        <v>0.06</v>
      </c>
      <c r="K17" s="2">
        <f t="shared" si="1"/>
        <v>-0.26298851813862717</v>
      </c>
      <c r="L17" s="2">
        <f t="shared" si="2"/>
        <v>-0.24019434859652289</v>
      </c>
      <c r="M17">
        <f>VLOOKUP(A17,[64]WRDS!$A$1:$O$100,8,FALSE)</f>
        <v>11</v>
      </c>
      <c r="N17">
        <f>VLOOKUP(A17,[64]WRDS!$A$1:$O$100,11,FALSE)</f>
        <v>1.83</v>
      </c>
    </row>
    <row r="18" spans="1:14" x14ac:dyDescent="0.3">
      <c r="A18" t="s">
        <v>35</v>
      </c>
      <c r="B18" t="str">
        <f>VLOOKUP(A18,[63]WRDS!$A$1:$N$100,2,FALSE)</f>
        <v>PE</v>
      </c>
      <c r="C18" t="str">
        <f>VLOOKUP(A18,[63]WRDS!$A$1:$N$100,3,FALSE)</f>
        <v>EXELON CORP</v>
      </c>
      <c r="D18">
        <f>VLOOKUP(A18,[63]WRDS!$A$1:$N$100,13,FALSE)</f>
        <v>2.61</v>
      </c>
      <c r="E18">
        <f>VLOOKUP(A18,[47]WRDS!$A$1:$N$100,13,FALSE)</f>
        <v>4.32</v>
      </c>
      <c r="F18" s="1">
        <f t="shared" si="3"/>
        <v>3.1979273238813422</v>
      </c>
      <c r="G18" s="1">
        <f t="shared" si="4"/>
        <v>3.1724713124999999</v>
      </c>
      <c r="H18" s="2">
        <f t="shared" si="0"/>
        <v>0.13425528070419568</v>
      </c>
      <c r="I18" s="2">
        <f>VLOOKUP(A18,[64]WRDS!$A$1:$O$100,10,FALSE)/100</f>
        <v>5.21E-2</v>
      </c>
      <c r="J18" s="2">
        <f>VLOOKUP(A18,[64]WRDS!$A$1:$O$100,9,FALSE)/100</f>
        <v>0.05</v>
      </c>
      <c r="K18" s="2">
        <f t="shared" si="1"/>
        <v>-0.61193332786073562</v>
      </c>
      <c r="L18" s="2">
        <f t="shared" si="2"/>
        <v>-0.62757517069168489</v>
      </c>
      <c r="M18">
        <f>VLOOKUP(A18,[64]WRDS!$A$1:$O$100,8,FALSE)</f>
        <v>15</v>
      </c>
      <c r="N18">
        <f>VLOOKUP(A18,[64]WRDS!$A$1:$O$100,11,FALSE)</f>
        <v>1.3</v>
      </c>
    </row>
    <row r="19" spans="1:14" x14ac:dyDescent="0.3">
      <c r="A19" t="s">
        <v>67</v>
      </c>
      <c r="B19" t="str">
        <f>VLOOKUP(A19,[63]WRDS!$A$1:$N$100,2,FALSE)</f>
        <v>OEC</v>
      </c>
      <c r="C19" t="str">
        <f>VLOOKUP(A19,[63]WRDS!$A$1:$N$100,3,FALSE)</f>
        <v>FIRSTENERGY CORP</v>
      </c>
      <c r="D19">
        <f>VLOOKUP(A19,[63]WRDS!$A$1:$N$100,13,FALSE)</f>
        <v>1.86</v>
      </c>
      <c r="E19">
        <f>VLOOKUP(A19,[47]WRDS!$A$1:$N$100,13,FALSE)</f>
        <v>4.2300000000000004</v>
      </c>
      <c r="F19" s="1">
        <f t="shared" si="3"/>
        <v>2.2129948172210243</v>
      </c>
      <c r="G19" s="1">
        <f t="shared" si="4"/>
        <v>2.1759369216000004</v>
      </c>
      <c r="H19" s="2">
        <f t="shared" si="0"/>
        <v>0.22802400346960749</v>
      </c>
      <c r="I19" s="2">
        <f>VLOOKUP(A19,[64]WRDS!$A$1:$O$100,10,FALSE)/100</f>
        <v>4.4400000000000002E-2</v>
      </c>
      <c r="J19" s="2">
        <f>VLOOKUP(A19,[64]WRDS!$A$1:$O$100,9,FALSE)/100</f>
        <v>0.04</v>
      </c>
      <c r="K19" s="2">
        <f t="shared" si="1"/>
        <v>-0.80528365731497253</v>
      </c>
      <c r="L19" s="2">
        <f t="shared" si="2"/>
        <v>-0.82457987145493017</v>
      </c>
      <c r="M19">
        <f>VLOOKUP(A19,[64]WRDS!$A$1:$O$100,8,FALSE)</f>
        <v>9</v>
      </c>
      <c r="N19">
        <f>VLOOKUP(A19,[64]WRDS!$A$1:$O$100,11,FALSE)</f>
        <v>1.01</v>
      </c>
    </row>
    <row r="20" spans="1:14" x14ac:dyDescent="0.3">
      <c r="A20" t="s">
        <v>89</v>
      </c>
      <c r="B20" t="str">
        <f>VLOOKUP(A20,[63]WRDS!$A$1:$N$100,2,FALSE)</f>
        <v>FPL</v>
      </c>
      <c r="C20" t="str">
        <f>VLOOKUP(A20,[63]WRDS!$A$1:$N$100,3,FALSE)</f>
        <v>FPL GROUP</v>
      </c>
      <c r="D20">
        <f>VLOOKUP(A20,[63]WRDS!$A$1:$N$100,13,FALSE)</f>
        <v>0.61129999999999995</v>
      </c>
      <c r="E20">
        <f>VLOOKUP(A20,[47]WRDS!$A$1:$N$100,13,FALSE)</f>
        <v>0.87</v>
      </c>
      <c r="F20" s="1">
        <f t="shared" si="3"/>
        <v>0.73262088841567108</v>
      </c>
      <c r="G20" s="1">
        <f t="shared" si="4"/>
        <v>0.74303897062499991</v>
      </c>
      <c r="H20" s="2">
        <f t="shared" si="0"/>
        <v>9.2235314583479999E-2</v>
      </c>
      <c r="I20" s="2">
        <f>VLOOKUP(A20,[64]WRDS!$A$1:$O$100,10,FALSE)/100</f>
        <v>4.6300000000000001E-2</v>
      </c>
      <c r="J20" s="2">
        <f>VLOOKUP(A20,[64]WRDS!$A$1:$O$100,9,FALSE)/100</f>
        <v>0.05</v>
      </c>
      <c r="K20" s="2">
        <f t="shared" si="1"/>
        <v>-0.49802307056593853</v>
      </c>
      <c r="L20" s="2">
        <f t="shared" si="2"/>
        <v>-0.45790828354852969</v>
      </c>
      <c r="M20">
        <f>VLOOKUP(A20,[64]WRDS!$A$1:$O$100,8,FALSE)</f>
        <v>18</v>
      </c>
      <c r="N20">
        <f>VLOOKUP(A20,[64]WRDS!$A$1:$O$100,11,FALSE)</f>
        <v>1.83</v>
      </c>
    </row>
    <row r="21" spans="1:14" x14ac:dyDescent="0.3">
      <c r="A21" t="s">
        <v>68</v>
      </c>
      <c r="B21" t="str">
        <f>VLOOKUP(A21,[63]WRDS!$A$1:$N$100,2,FALSE)</f>
        <v>KLT</v>
      </c>
      <c r="C21" t="str">
        <f>VLOOKUP(A21,[63]WRDS!$A$1:$N$100,3,FALSE)</f>
        <v>GREAT PLAINS</v>
      </c>
      <c r="D21">
        <f>VLOOKUP(A21,[63]WRDS!$A$1:$N$100,13,FALSE)</f>
        <v>2.08</v>
      </c>
      <c r="E21">
        <f>VLOOKUP(A21,[47]WRDS!$A$1:$N$100,13,FALSE)</f>
        <v>1.57</v>
      </c>
      <c r="F21" s="1">
        <f t="shared" si="3"/>
        <v>2.4333058048000007</v>
      </c>
      <c r="G21" s="1">
        <f t="shared" si="4"/>
        <v>2.4333058048000007</v>
      </c>
      <c r="H21" s="2">
        <f t="shared" si="0"/>
        <v>-6.7907358595867828E-2</v>
      </c>
      <c r="I21" s="2">
        <f>VLOOKUP(A21,[64]WRDS!$A$1:$O$100,10,FALSE)/100</f>
        <v>0.04</v>
      </c>
      <c r="J21" s="2">
        <f>VLOOKUP(A21,[64]WRDS!$A$1:$O$100,9,FALSE)/100</f>
        <v>0.04</v>
      </c>
      <c r="K21" s="2">
        <f t="shared" si="1"/>
        <v>1.5890377836376928</v>
      </c>
      <c r="L21" s="2">
        <f t="shared" si="2"/>
        <v>1.5890377836376928</v>
      </c>
      <c r="M21">
        <f>VLOOKUP(A21,[64]WRDS!$A$1:$O$100,8,FALSE)</f>
        <v>5</v>
      </c>
      <c r="N21">
        <f>VLOOKUP(A21,[64]WRDS!$A$1:$O$100,11,FALSE)</f>
        <v>1</v>
      </c>
    </row>
    <row r="22" spans="1:14" x14ac:dyDescent="0.3">
      <c r="A22" t="s">
        <v>36</v>
      </c>
      <c r="B22" t="str">
        <f>VLOOKUP(A22,[63]WRDS!$A$1:$N$100,2,FALSE)</f>
        <v>HE</v>
      </c>
      <c r="C22" t="str">
        <f>VLOOKUP(A22,[63]WRDS!$A$1:$N$100,3,FALSE)</f>
        <v>HAWAIIAN ELEC</v>
      </c>
      <c r="D22">
        <f>VLOOKUP(A22,[63]WRDS!$A$1:$N$100,13,FALSE)</f>
        <v>1.58</v>
      </c>
      <c r="E22">
        <f>VLOOKUP(A22,[47]WRDS!$A$1:$N$100,13,FALSE)</f>
        <v>1.05</v>
      </c>
      <c r="F22" s="1">
        <f t="shared" si="3"/>
        <v>1.7700311495447671</v>
      </c>
      <c r="G22" s="1">
        <f t="shared" si="4"/>
        <v>1.7611015898742193</v>
      </c>
      <c r="H22" s="2">
        <f t="shared" si="0"/>
        <v>-9.7113721310970735E-2</v>
      </c>
      <c r="I22" s="2">
        <f>VLOOKUP(A22,[64]WRDS!$A$1:$O$100,10,FALSE)/100</f>
        <v>2.8799999999999999E-2</v>
      </c>
      <c r="J22" s="2">
        <f>VLOOKUP(A22,[64]WRDS!$A$1:$O$100,9,FALSE)/100</f>
        <v>2.75E-2</v>
      </c>
      <c r="K22" s="2">
        <f t="shared" si="1"/>
        <v>1.2965595346488541</v>
      </c>
      <c r="L22" s="2">
        <f t="shared" si="2"/>
        <v>1.2831731667653989</v>
      </c>
      <c r="M22">
        <f>VLOOKUP(A22,[64]WRDS!$A$1:$O$100,8,FALSE)</f>
        <v>4</v>
      </c>
      <c r="N22">
        <f>VLOOKUP(A22,[64]WRDS!$A$1:$O$100,11,FALSE)</f>
        <v>1.65</v>
      </c>
    </row>
    <row r="23" spans="1:14" x14ac:dyDescent="0.3">
      <c r="A23" t="s">
        <v>38</v>
      </c>
      <c r="B23" t="str">
        <f>VLOOKUP(A23,[63]WRDS!$A$1:$N$100,2,FALSE)</f>
        <v>IDA</v>
      </c>
      <c r="C23" t="str">
        <f>VLOOKUP(A23,[63]WRDS!$A$1:$N$100,3,FALSE)</f>
        <v>IDACORP INC.</v>
      </c>
      <c r="D23">
        <f>VLOOKUP(A23,[63]WRDS!$A$1:$N$100,13,FALSE)</f>
        <v>1.22</v>
      </c>
      <c r="E23">
        <f>VLOOKUP(A23,[47]WRDS!$A$1:$N$100,13,FALSE)</f>
        <v>1.86</v>
      </c>
      <c r="F23" s="1">
        <f t="shared" si="3"/>
        <v>1.482917625</v>
      </c>
      <c r="G23" s="1">
        <f t="shared" si="4"/>
        <v>1.482917625</v>
      </c>
      <c r="H23" s="2">
        <f t="shared" si="0"/>
        <v>0.11118988233336435</v>
      </c>
      <c r="I23" s="2">
        <f>VLOOKUP(A23,[64]WRDS!$A$1:$O$100,10,FALSE)/100</f>
        <v>0.05</v>
      </c>
      <c r="J23" s="2">
        <f>VLOOKUP(A23,[64]WRDS!$A$1:$O$100,9,FALSE)/100</f>
        <v>0.05</v>
      </c>
      <c r="K23" s="2">
        <f t="shared" si="1"/>
        <v>-0.55031879744154855</v>
      </c>
      <c r="L23" s="2">
        <f t="shared" si="2"/>
        <v>-0.55031879744154855</v>
      </c>
      <c r="M23">
        <f>VLOOKUP(A23,[64]WRDS!$A$1:$O$100,8,FALSE)</f>
        <v>1</v>
      </c>
      <c r="N23">
        <f>VLOOKUP(A23,[64]WRDS!$A$1:$O$100,11,FALSE)</f>
        <v>0</v>
      </c>
    </row>
    <row r="24" spans="1:14" x14ac:dyDescent="0.3">
      <c r="A24" t="s">
        <v>40</v>
      </c>
      <c r="B24" t="str">
        <f>VLOOKUP(A24,[63]WRDS!$A$1:$N$100,2,FALSE)</f>
        <v>WPL</v>
      </c>
      <c r="C24" t="str">
        <f>VLOOKUP(A24,[63]WRDS!$A$1:$N$100,3,FALSE)</f>
        <v>ALLIANT ENER</v>
      </c>
      <c r="D24">
        <f>VLOOKUP(A24,[63]WRDS!$A$1:$N$100,13,FALSE)</f>
        <v>0.78500000000000003</v>
      </c>
      <c r="E24">
        <f>VLOOKUP(A24,[47]WRDS!$A$1:$N$100,13,FALSE)</f>
        <v>1.325</v>
      </c>
      <c r="F24" s="1">
        <f t="shared" si="3"/>
        <v>0.90673848888826747</v>
      </c>
      <c r="G24" s="1">
        <f t="shared" si="4"/>
        <v>0.88352441584999997</v>
      </c>
      <c r="H24" s="2">
        <f t="shared" si="0"/>
        <v>0.13982074083377571</v>
      </c>
      <c r="I24" s="2">
        <f>VLOOKUP(A24,[64]WRDS!$A$1:$O$100,10,FALSE)/100</f>
        <v>3.6699999999999997E-2</v>
      </c>
      <c r="J24" s="2">
        <f>VLOOKUP(A24,[64]WRDS!$A$1:$O$100,9,FALSE)/100</f>
        <v>0.03</v>
      </c>
      <c r="K24" s="2">
        <f t="shared" si="1"/>
        <v>-0.73752105888474462</v>
      </c>
      <c r="L24" s="2">
        <f t="shared" si="2"/>
        <v>-0.78543955767145335</v>
      </c>
      <c r="M24">
        <f>VLOOKUP(A24,[64]WRDS!$A$1:$O$100,8,FALSE)</f>
        <v>3</v>
      </c>
      <c r="N24">
        <f>VLOOKUP(A24,[64]WRDS!$A$1:$O$100,11,FALSE)</f>
        <v>1.1499999999999999</v>
      </c>
    </row>
    <row r="25" spans="1:14" x14ac:dyDescent="0.3">
      <c r="A25" t="s">
        <v>60</v>
      </c>
      <c r="B25" t="str">
        <f>VLOOKUP(A25,[63]WRDS!$A$1:$N$100,2,FALSE)</f>
        <v>BSE</v>
      </c>
      <c r="C25" t="str">
        <f>VLOOKUP(A25,[63]WRDS!$A$1:$N$100,3,FALSE)</f>
        <v>NSTAR</v>
      </c>
      <c r="D25">
        <f>VLOOKUP(A25,[63]WRDS!$A$1:$N$100,13,FALSE)</f>
        <v>1.6950000000000001</v>
      </c>
      <c r="E25">
        <f>VLOOKUP(A25,[47]WRDS!$A$1:$N$100,13,FALSE)</f>
        <v>2.0699999999999998</v>
      </c>
      <c r="F25" s="1">
        <f t="shared" si="3"/>
        <v>2.021319028059374</v>
      </c>
      <c r="G25" s="1">
        <f t="shared" si="4"/>
        <v>2.021319028059374</v>
      </c>
      <c r="H25" s="2">
        <f t="shared" si="0"/>
        <v>5.1235844284696297E-2</v>
      </c>
      <c r="I25" s="2">
        <f>VLOOKUP(A25,[64]WRDS!$A$1:$O$100,10,FALSE)/100</f>
        <v>4.4999999999999998E-2</v>
      </c>
      <c r="J25" s="2">
        <f>VLOOKUP(A25,[64]WRDS!$A$1:$O$100,9,FALSE)/100</f>
        <v>4.4999999999999998E-2</v>
      </c>
      <c r="K25" s="2">
        <f t="shared" si="1"/>
        <v>-0.12170862746100763</v>
      </c>
      <c r="L25" s="2">
        <f t="shared" si="2"/>
        <v>-0.12170862746100763</v>
      </c>
      <c r="M25">
        <f>VLOOKUP(A25,[64]WRDS!$A$1:$O$100,8,FALSE)</f>
        <v>4</v>
      </c>
      <c r="N25">
        <f>VLOOKUP(A25,[64]WRDS!$A$1:$O$100,11,FALSE)</f>
        <v>1.29</v>
      </c>
    </row>
    <row r="26" spans="1:14" x14ac:dyDescent="0.3">
      <c r="A26" t="s">
        <v>78</v>
      </c>
      <c r="B26" t="str">
        <f>VLOOKUP(A26,[63]WRDS!$A$1:$N$100,2,FALSE)</f>
        <v>NU</v>
      </c>
      <c r="C26" t="str">
        <f>VLOOKUP(A26,[63]WRDS!$A$1:$N$100,3,FALSE)</f>
        <v>NORTHEAST UTILS</v>
      </c>
      <c r="D26">
        <f>VLOOKUP(A26,[63]WRDS!$A$1:$N$100,13,FALSE)</f>
        <v>1.24</v>
      </c>
      <c r="E26">
        <f>VLOOKUP(A26,[47]WRDS!$A$1:$N$100,13,FALSE)</f>
        <v>1.59</v>
      </c>
      <c r="F26" s="1">
        <f t="shared" si="3"/>
        <v>1.42843573648384</v>
      </c>
      <c r="G26" s="1">
        <f t="shared" si="4"/>
        <v>1.4506246144000003</v>
      </c>
      <c r="H26" s="2">
        <f t="shared" si="0"/>
        <v>6.412797309673901E-2</v>
      </c>
      <c r="I26" s="2">
        <f>VLOOKUP(A26,[64]WRDS!$A$1:$O$100,10,FALSE)/100</f>
        <v>3.6000000000000004E-2</v>
      </c>
      <c r="J26" s="2">
        <f>VLOOKUP(A26,[64]WRDS!$A$1:$O$100,9,FALSE)/100</f>
        <v>0.04</v>
      </c>
      <c r="K26" s="2">
        <f t="shared" si="1"/>
        <v>-0.43862251897946469</v>
      </c>
      <c r="L26" s="2">
        <f t="shared" si="2"/>
        <v>-0.37624724331051634</v>
      </c>
      <c r="M26">
        <f>VLOOKUP(A26,[64]WRDS!$A$1:$O$100,8,FALSE)</f>
        <v>5</v>
      </c>
      <c r="N26">
        <f>VLOOKUP(A26,[64]WRDS!$A$1:$O$100,11,FALSE)</f>
        <v>2.0699999999999998</v>
      </c>
    </row>
    <row r="27" spans="1:14" x14ac:dyDescent="0.3">
      <c r="A27" t="s">
        <v>44</v>
      </c>
      <c r="B27" t="str">
        <f>VLOOKUP(A27,[63]WRDS!$A$1:$N$100,2,FALSE)</f>
        <v>OGE</v>
      </c>
      <c r="C27" t="str">
        <f>VLOOKUP(A27,[63]WRDS!$A$1:$N$100,3,FALSE)</f>
        <v>OGE ENERGY CORP</v>
      </c>
      <c r="D27">
        <f>VLOOKUP(A27,[63]WRDS!$A$1:$N$100,13,FALSE)</f>
        <v>0.83</v>
      </c>
      <c r="E27">
        <f>VLOOKUP(A27,[47]WRDS!$A$1:$N$100,13,FALSE)</f>
        <v>1.32</v>
      </c>
      <c r="F27" s="1">
        <f t="shared" si="3"/>
        <v>0.94620188724157706</v>
      </c>
      <c r="G27" s="1">
        <f t="shared" si="4"/>
        <v>0.93417231229999986</v>
      </c>
      <c r="H27" s="2">
        <f t="shared" si="0"/>
        <v>0.1229850113529245</v>
      </c>
      <c r="I27" s="2">
        <f>VLOOKUP(A27,[64]WRDS!$A$1:$O$100,10,FALSE)/100</f>
        <v>3.3300000000000003E-2</v>
      </c>
      <c r="J27" s="2">
        <f>VLOOKUP(A27,[64]WRDS!$A$1:$O$100,9,FALSE)/100</f>
        <v>0.03</v>
      </c>
      <c r="K27" s="2">
        <f t="shared" si="1"/>
        <v>-0.72923529758890293</v>
      </c>
      <c r="L27" s="2">
        <f t="shared" si="2"/>
        <v>-0.75606783566567826</v>
      </c>
      <c r="M27">
        <f>VLOOKUP(A27,[64]WRDS!$A$1:$O$100,8,FALSE)</f>
        <v>3</v>
      </c>
      <c r="N27">
        <f>VLOOKUP(A27,[64]WRDS!$A$1:$O$100,11,FALSE)</f>
        <v>0.57999999999999996</v>
      </c>
    </row>
    <row r="28" spans="1:14" x14ac:dyDescent="0.3">
      <c r="A28" t="s">
        <v>69</v>
      </c>
      <c r="B28" t="str">
        <f>VLOOKUP(A28,[63]WRDS!$A$1:$N$100,2,FALSE)</f>
        <v>OTTR</v>
      </c>
      <c r="C28" t="str">
        <f>VLOOKUP(A28,[63]WRDS!$A$1:$N$100,3,FALSE)</f>
        <v>OTTER TAIL CORP.</v>
      </c>
      <c r="D28">
        <f>VLOOKUP(A28,[63]WRDS!$A$1:$N$100,13,FALSE)</f>
        <v>1.54</v>
      </c>
      <c r="E28">
        <f>VLOOKUP(A28,[47]WRDS!$A$1:$N$100,13,FALSE)</f>
        <v>1.78</v>
      </c>
      <c r="F28" s="1">
        <f t="shared" si="3"/>
        <v>1.8484581292611155</v>
      </c>
      <c r="G28" s="1">
        <f t="shared" si="4"/>
        <v>1.871879625</v>
      </c>
      <c r="H28" s="2">
        <f t="shared" si="0"/>
        <v>3.6871220604814736E-2</v>
      </c>
      <c r="I28" s="2">
        <f>VLOOKUP(A28,[64]WRDS!$A$1:$O$100,10,FALSE)/100</f>
        <v>4.6699999999999998E-2</v>
      </c>
      <c r="J28" s="2">
        <f>VLOOKUP(A28,[64]WRDS!$A$1:$O$100,9,FALSE)/100</f>
        <v>0.05</v>
      </c>
      <c r="K28" s="2">
        <f t="shared" si="1"/>
        <v>0.26657049140113892</v>
      </c>
      <c r="L28" s="2">
        <f t="shared" si="2"/>
        <v>0.35607118993697967</v>
      </c>
      <c r="M28">
        <f>VLOOKUP(A28,[64]WRDS!$A$1:$O$100,8,FALSE)</f>
        <v>3</v>
      </c>
      <c r="N28">
        <f>VLOOKUP(A28,[64]WRDS!$A$1:$O$100,11,FALSE)</f>
        <v>0.57999999999999996</v>
      </c>
    </row>
    <row r="29" spans="1:14" x14ac:dyDescent="0.3">
      <c r="A29" t="s">
        <v>45</v>
      </c>
      <c r="B29" t="str">
        <f>VLOOKUP(A29,[63]WRDS!$A$1:$N$100,2,FALSE)</f>
        <v>PCG</v>
      </c>
      <c r="C29" t="str">
        <f>VLOOKUP(A29,[63]WRDS!$A$1:$N$100,3,FALSE)</f>
        <v>P G &amp; E CORP</v>
      </c>
      <c r="D29">
        <f>VLOOKUP(A29,[63]WRDS!$A$1:$N$100,13,FALSE)</f>
        <v>1.52</v>
      </c>
      <c r="E29">
        <f>VLOOKUP(A29,[47]WRDS!$A$1:$N$100,13,FALSE)</f>
        <v>2.78</v>
      </c>
      <c r="F29" s="1">
        <f t="shared" si="3"/>
        <v>1.9088471179040278</v>
      </c>
      <c r="G29" s="1">
        <f t="shared" si="4"/>
        <v>1.8475695000000001</v>
      </c>
      <c r="H29" s="2">
        <f t="shared" si="0"/>
        <v>0.16292123811363379</v>
      </c>
      <c r="I29" s="2">
        <f>VLOOKUP(A29,[64]WRDS!$A$1:$O$100,10,FALSE)/100</f>
        <v>5.8600000000000006E-2</v>
      </c>
      <c r="J29" s="2">
        <f>VLOOKUP(A29,[64]WRDS!$A$1:$O$100,9,FALSE)/100</f>
        <v>0.05</v>
      </c>
      <c r="K29" s="2">
        <f t="shared" si="1"/>
        <v>-0.6403169980875798</v>
      </c>
      <c r="L29" s="2">
        <f t="shared" si="2"/>
        <v>-0.69310324068906126</v>
      </c>
      <c r="M29">
        <f>VLOOKUP(A29,[64]WRDS!$A$1:$O$100,8,FALSE)</f>
        <v>7</v>
      </c>
      <c r="N29">
        <f>VLOOKUP(A29,[64]WRDS!$A$1:$O$100,11,FALSE)</f>
        <v>2.04</v>
      </c>
    </row>
    <row r="30" spans="1:14" x14ac:dyDescent="0.3">
      <c r="A30" t="s">
        <v>46</v>
      </c>
      <c r="B30" t="str">
        <f>VLOOKUP(A30,[63]WRDS!$A$1:$N$100,2,FALSE)</f>
        <v>PEG</v>
      </c>
      <c r="C30" t="str">
        <f>VLOOKUP(A30,[63]WRDS!$A$1:$N$100,3,FALSE)</f>
        <v>PUB SVC ENTERS</v>
      </c>
      <c r="D30">
        <f>VLOOKUP(A30,[63]WRDS!$A$1:$N$100,13,FALSE)</f>
        <v>1.86</v>
      </c>
      <c r="E30">
        <f>VLOOKUP(A30,[47]WRDS!$A$1:$N$100,13,FALSE)</f>
        <v>2.7050000000000001</v>
      </c>
      <c r="F30" s="1">
        <f t="shared" si="3"/>
        <v>2.1759369216000004</v>
      </c>
      <c r="G30" s="1">
        <f t="shared" si="4"/>
        <v>2.1759369216000004</v>
      </c>
      <c r="H30" s="2">
        <f t="shared" si="0"/>
        <v>9.8154843252685975E-2</v>
      </c>
      <c r="I30" s="2">
        <f>VLOOKUP(A30,[64]WRDS!$A$1:$O$100,10,FALSE)/100</f>
        <v>0.04</v>
      </c>
      <c r="J30" s="2">
        <f>VLOOKUP(A30,[64]WRDS!$A$1:$O$100,9,FALSE)/100</f>
        <v>0.04</v>
      </c>
      <c r="K30" s="2">
        <f t="shared" si="1"/>
        <v>-0.59248062882617447</v>
      </c>
      <c r="L30" s="2">
        <f t="shared" si="2"/>
        <v>-0.59248062882617447</v>
      </c>
      <c r="M30">
        <f>VLOOKUP(A30,[64]WRDS!$A$1:$O$100,8,FALSE)</f>
        <v>11</v>
      </c>
      <c r="N30">
        <f>VLOOKUP(A30,[64]WRDS!$A$1:$O$100,11,FALSE)</f>
        <v>1.26</v>
      </c>
    </row>
    <row r="31" spans="1:14" x14ac:dyDescent="0.3">
      <c r="A31" t="s">
        <v>74</v>
      </c>
      <c r="B31" t="str">
        <f>VLOOKUP(A31,[63]WRDS!$A$1:$N$100,2,FALSE)</f>
        <v>CPL</v>
      </c>
      <c r="C31" t="str">
        <f>VLOOKUP(A31,[63]WRDS!$A$1:$N$100,3,FALSE)</f>
        <v>PROGRESS ENERGY</v>
      </c>
      <c r="D31">
        <f>VLOOKUP(A31,[63]WRDS!$A$1:$N$100,13,FALSE)</f>
        <v>3.56</v>
      </c>
      <c r="E31">
        <f>VLOOKUP(A31,[47]WRDS!$A$1:$N$100,13,FALSE)</f>
        <v>2.81</v>
      </c>
      <c r="F31" s="1">
        <f t="shared" si="3"/>
        <v>4.1582929437844376</v>
      </c>
      <c r="G31" s="1">
        <f t="shared" si="4"/>
        <v>4.1646964736000012</v>
      </c>
      <c r="H31" s="2">
        <f t="shared" si="0"/>
        <v>-5.7428985340482352E-2</v>
      </c>
      <c r="I31" s="2">
        <f>VLOOKUP(A31,[64]WRDS!$A$1:$O$100,10,FALSE)/100</f>
        <v>3.9599999999999996E-2</v>
      </c>
      <c r="J31" s="2">
        <f>VLOOKUP(A31,[64]WRDS!$A$1:$O$100,9,FALSE)/100</f>
        <v>0.04</v>
      </c>
      <c r="K31" s="2">
        <f t="shared" si="1"/>
        <v>1.6895472689482727</v>
      </c>
      <c r="L31" s="2">
        <f t="shared" si="2"/>
        <v>1.6965123928770434</v>
      </c>
      <c r="M31">
        <f>VLOOKUP(A31,[64]WRDS!$A$1:$O$100,8,FALSE)</f>
        <v>12</v>
      </c>
      <c r="N31">
        <f>VLOOKUP(A31,[64]WRDS!$A$1:$O$100,11,FALSE)</f>
        <v>1.42</v>
      </c>
    </row>
    <row r="32" spans="1:14" x14ac:dyDescent="0.3">
      <c r="A32" t="s">
        <v>47</v>
      </c>
      <c r="B32" t="str">
        <f>VLOOKUP(A32,[63]WRDS!$A$1:$N$100,2,FALSE)</f>
        <v>PNM</v>
      </c>
      <c r="C32" t="str">
        <f>VLOOKUP(A32,[63]WRDS!$A$1:$N$100,3,FALSE)</f>
        <v>PNM RESOURCES</v>
      </c>
      <c r="D32">
        <f>VLOOKUP(A32,[63]WRDS!$A$1:$N$100,13,FALSE)</f>
        <v>1.3</v>
      </c>
      <c r="E32">
        <f>VLOOKUP(A32,[47]WRDS!$A$1:$N$100,13,FALSE)</f>
        <v>1.08</v>
      </c>
      <c r="F32" s="1">
        <f t="shared" si="3"/>
        <v>1.5801581250000001</v>
      </c>
      <c r="G32" s="1">
        <f t="shared" si="4"/>
        <v>1.5801581250000001</v>
      </c>
      <c r="H32" s="2">
        <f t="shared" si="0"/>
        <v>-4.5293013341108912E-2</v>
      </c>
      <c r="I32" s="2">
        <f>VLOOKUP(A32,[64]WRDS!$A$1:$O$100,10,FALSE)/100</f>
        <v>0.05</v>
      </c>
      <c r="J32" s="2">
        <f>VLOOKUP(A32,[64]WRDS!$A$1:$O$100,9,FALSE)/100</f>
        <v>0.05</v>
      </c>
      <c r="K32" s="2">
        <f t="shared" si="1"/>
        <v>2.1039230184011388</v>
      </c>
      <c r="L32" s="2">
        <f t="shared" si="2"/>
        <v>2.1039230184011388</v>
      </c>
      <c r="M32">
        <f>VLOOKUP(A32,[64]WRDS!$A$1:$O$100,8,FALSE)</f>
        <v>1</v>
      </c>
      <c r="N32">
        <f>VLOOKUP(A32,[64]WRDS!$A$1:$O$100,11,FALSE)</f>
        <v>0</v>
      </c>
    </row>
    <row r="33" spans="1:14" x14ac:dyDescent="0.3">
      <c r="A33" t="s">
        <v>48</v>
      </c>
      <c r="B33" t="str">
        <f>VLOOKUP(A33,[63]WRDS!$A$1:$N$100,2,FALSE)</f>
        <v>AZP</v>
      </c>
      <c r="C33" t="str">
        <f>VLOOKUP(A33,[63]WRDS!$A$1:$N$100,3,FALSE)</f>
        <v>PINNACLE WST CAP</v>
      </c>
      <c r="D33">
        <f>VLOOKUP(A33,[63]WRDS!$A$1:$N$100,13,FALSE)</f>
        <v>2.57</v>
      </c>
      <c r="E33">
        <f>VLOOKUP(A33,[47]WRDS!$A$1:$N$100,13,FALSE)</f>
        <v>2.96</v>
      </c>
      <c r="F33" s="1">
        <f t="shared" si="3"/>
        <v>2.8768631494641825</v>
      </c>
      <c r="G33" s="1">
        <f t="shared" si="4"/>
        <v>3.1238510625</v>
      </c>
      <c r="H33" s="2">
        <f t="shared" si="0"/>
        <v>3.5952032777121223E-2</v>
      </c>
      <c r="I33" s="2">
        <f>VLOOKUP(A33,[64]WRDS!$A$1:$O$100,10,FALSE)/100</f>
        <v>2.86E-2</v>
      </c>
      <c r="J33" s="2">
        <f>VLOOKUP(A33,[64]WRDS!$A$1:$O$100,9,FALSE)/100</f>
        <v>0.05</v>
      </c>
      <c r="K33" s="2">
        <f t="shared" si="1"/>
        <v>-0.20449560731931221</v>
      </c>
      <c r="L33" s="2">
        <f t="shared" si="2"/>
        <v>0.39074194524595773</v>
      </c>
      <c r="M33">
        <f>VLOOKUP(A33,[64]WRDS!$A$1:$O$100,8,FALSE)</f>
        <v>7</v>
      </c>
      <c r="N33">
        <f>VLOOKUP(A33,[64]WRDS!$A$1:$O$100,11,FALSE)</f>
        <v>4.1399999999999997</v>
      </c>
    </row>
    <row r="34" spans="1:14" x14ac:dyDescent="0.3">
      <c r="A34" t="s">
        <v>49</v>
      </c>
      <c r="B34" t="str">
        <f>VLOOKUP(A34,[63]WRDS!$A$1:$N$100,2,FALSE)</f>
        <v>POM</v>
      </c>
      <c r="C34" t="str">
        <f>VLOOKUP(A34,[63]WRDS!$A$1:$N$100,3,FALSE)</f>
        <v>PEPCO HOLDINGS</v>
      </c>
      <c r="D34">
        <f>VLOOKUP(A34,[63]WRDS!$A$1:$N$100,13,FALSE)</f>
        <v>1.25</v>
      </c>
      <c r="E34">
        <f>VLOOKUP(A34,[47]WRDS!$A$1:$N$100,13,FALSE)</f>
        <v>1.53</v>
      </c>
      <c r="F34" s="1">
        <f t="shared" si="3"/>
        <v>1.41619721231989</v>
      </c>
      <c r="G34" s="1">
        <f t="shared" si="4"/>
        <v>1.4068860124999998</v>
      </c>
      <c r="H34" s="2">
        <f t="shared" si="0"/>
        <v>5.182951797101909E-2</v>
      </c>
      <c r="I34" s="2">
        <f>VLOOKUP(A34,[64]WRDS!$A$1:$O$100,10,FALSE)/100</f>
        <v>3.1699999999999999E-2</v>
      </c>
      <c r="J34" s="2">
        <f>VLOOKUP(A34,[64]WRDS!$A$1:$O$100,9,FALSE)/100</f>
        <v>0.03</v>
      </c>
      <c r="K34" s="2">
        <f t="shared" si="1"/>
        <v>-0.38837941696225459</v>
      </c>
      <c r="L34" s="2">
        <f t="shared" si="2"/>
        <v>-0.42117925895481506</v>
      </c>
      <c r="M34">
        <f>VLOOKUP(A34,[64]WRDS!$A$1:$O$100,8,FALSE)</f>
        <v>6</v>
      </c>
      <c r="N34">
        <f>VLOOKUP(A34,[64]WRDS!$A$1:$O$100,11,FALSE)</f>
        <v>0.75</v>
      </c>
    </row>
    <row r="35" spans="1:14" x14ac:dyDescent="0.3">
      <c r="A35" t="s">
        <v>51</v>
      </c>
      <c r="B35" t="str">
        <f>VLOOKUP(A35,[63]WRDS!$A$1:$N$100,2,FALSE)</f>
        <v>PPL</v>
      </c>
      <c r="C35" t="str">
        <f>VLOOKUP(A35,[63]WRDS!$A$1:$N$100,3,FALSE)</f>
        <v>PP&amp;L CORP</v>
      </c>
      <c r="D35">
        <f>VLOOKUP(A35,[63]WRDS!$A$1:$N$100,13,FALSE)</f>
        <v>1.855</v>
      </c>
      <c r="E35">
        <f>VLOOKUP(A35,[47]WRDS!$A$1:$N$100,13,FALSE)</f>
        <v>2.6</v>
      </c>
      <c r="F35" s="1">
        <f t="shared" si="3"/>
        <v>2.2180551792494012</v>
      </c>
      <c r="G35" s="1">
        <f t="shared" si="4"/>
        <v>2.25476409375</v>
      </c>
      <c r="H35" s="2">
        <f t="shared" si="0"/>
        <v>8.8071308560098815E-2</v>
      </c>
      <c r="I35" s="2">
        <f>VLOOKUP(A35,[64]WRDS!$A$1:$O$100,10,FALSE)/100</f>
        <v>4.5700000000000005E-2</v>
      </c>
      <c r="J35" s="2">
        <f>VLOOKUP(A35,[64]WRDS!$A$1:$O$100,9,FALSE)/100</f>
        <v>0.05</v>
      </c>
      <c r="K35" s="2">
        <f t="shared" si="1"/>
        <v>-0.48110229373037117</v>
      </c>
      <c r="L35" s="2">
        <f t="shared" si="2"/>
        <v>-0.43227822071156585</v>
      </c>
      <c r="M35">
        <f>VLOOKUP(A35,[64]WRDS!$A$1:$O$100,8,FALSE)</f>
        <v>7</v>
      </c>
      <c r="N35">
        <f>VLOOKUP(A35,[64]WRDS!$A$1:$O$100,11,FALSE)</f>
        <v>0.98</v>
      </c>
    </row>
    <row r="36" spans="1:14" x14ac:dyDescent="0.3">
      <c r="A36" t="s">
        <v>91</v>
      </c>
      <c r="B36" t="str">
        <f>VLOOKUP(A36,[63]WRDS!$A$1:$N$100,2,FALSE)</f>
        <v>PSD</v>
      </c>
      <c r="C36" t="str">
        <f>VLOOKUP(A36,[63]WRDS!$A$1:$N$100,3,FALSE)</f>
        <v>PUGET ENERGY INC</v>
      </c>
      <c r="D36">
        <f>VLOOKUP(A36,[63]WRDS!$A$1:$N$100,13,FALSE)</f>
        <v>1.26</v>
      </c>
      <c r="E36">
        <f>VLOOKUP(A36,[47]WRDS!$A$1:$N$100,13,FALSE)</f>
        <v>1.56</v>
      </c>
      <c r="F36" s="1">
        <f t="shared" si="3"/>
        <v>1.5461761258617188</v>
      </c>
      <c r="G36" s="1">
        <f t="shared" si="4"/>
        <v>1.5025734367874994</v>
      </c>
      <c r="H36" s="2">
        <f t="shared" si="0"/>
        <v>5.4844671280266599E-2</v>
      </c>
      <c r="I36" s="2">
        <f>VLOOKUP(A36,[64]WRDS!$A$1:$O$100,10,FALSE)/100</f>
        <v>5.2499999999999998E-2</v>
      </c>
      <c r="J36" s="2">
        <f>VLOOKUP(A36,[64]WRDS!$A$1:$O$100,9,FALSE)/100</f>
        <v>4.4999999999999998E-2</v>
      </c>
      <c r="K36" s="2">
        <f t="shared" si="1"/>
        <v>-4.2751122862691421E-2</v>
      </c>
      <c r="L36" s="2">
        <f t="shared" si="2"/>
        <v>-0.17950096245373551</v>
      </c>
      <c r="M36">
        <f>VLOOKUP(A36,[64]WRDS!$A$1:$O$100,8,FALSE)</f>
        <v>4</v>
      </c>
      <c r="N36">
        <f>VLOOKUP(A36,[64]WRDS!$A$1:$O$100,11,FALSE)</f>
        <v>1.89</v>
      </c>
    </row>
    <row r="37" spans="1:14" x14ac:dyDescent="0.3">
      <c r="A37" t="s">
        <v>52</v>
      </c>
      <c r="B37" t="str">
        <f>VLOOKUP(A37,[63]WRDS!$A$1:$N$100,2,FALSE)</f>
        <v>SCG</v>
      </c>
      <c r="C37" t="str">
        <f>VLOOKUP(A37,[63]WRDS!$A$1:$N$100,3,FALSE)</f>
        <v>SCANA CP</v>
      </c>
      <c r="D37">
        <f>VLOOKUP(A37,[63]WRDS!$A$1:$N$100,13,FALSE)</f>
        <v>2.5</v>
      </c>
      <c r="E37">
        <f>VLOOKUP(A37,[47]WRDS!$A$1:$N$100,13,FALSE)</f>
        <v>2.74</v>
      </c>
      <c r="F37" s="1">
        <f t="shared" si="3"/>
        <v>2.9404263235872055</v>
      </c>
      <c r="G37" s="1">
        <f t="shared" si="4"/>
        <v>2.9246464000000003</v>
      </c>
      <c r="H37" s="2">
        <f t="shared" si="0"/>
        <v>2.3181404377636383E-2</v>
      </c>
      <c r="I37" s="2">
        <f>VLOOKUP(A37,[64]WRDS!$A$1:$O$100,10,FALSE)/100</f>
        <v>4.1399999999999999E-2</v>
      </c>
      <c r="J37" s="2">
        <f>VLOOKUP(A37,[64]WRDS!$A$1:$O$100,9,FALSE)/100</f>
        <v>0.04</v>
      </c>
      <c r="K37" s="2">
        <f t="shared" si="1"/>
        <v>0.78591423218256362</v>
      </c>
      <c r="L37" s="2">
        <f t="shared" si="2"/>
        <v>0.72552099727783925</v>
      </c>
      <c r="M37">
        <f>VLOOKUP(A37,[64]WRDS!$A$1:$O$100,8,FALSE)</f>
        <v>7</v>
      </c>
      <c r="N37">
        <f>VLOOKUP(A37,[64]WRDS!$A$1:$O$100,11,FALSE)</f>
        <v>1.07</v>
      </c>
    </row>
    <row r="38" spans="1:14" x14ac:dyDescent="0.3">
      <c r="A38" t="s">
        <v>53</v>
      </c>
      <c r="B38" t="str">
        <f>VLOOKUP(A38,[63]WRDS!$A$1:$N$100,2,FALSE)</f>
        <v>SO</v>
      </c>
      <c r="C38" t="str">
        <f>VLOOKUP(A38,[63]WRDS!$A$1:$N$100,3,FALSE)</f>
        <v>SOUTHN CO</v>
      </c>
      <c r="D38">
        <f>VLOOKUP(A38,[63]WRDS!$A$1:$N$100,13,FALSE)</f>
        <v>1.97</v>
      </c>
      <c r="E38">
        <f>VLOOKUP(A38,[47]WRDS!$A$1:$N$100,13,FALSE)</f>
        <v>2.21</v>
      </c>
      <c r="F38" s="1">
        <f t="shared" si="3"/>
        <v>2.3438708547986113</v>
      </c>
      <c r="G38" s="1">
        <f t="shared" si="4"/>
        <v>2.3945473124999999</v>
      </c>
      <c r="H38" s="2">
        <f t="shared" si="0"/>
        <v>2.9156714579418486E-2</v>
      </c>
      <c r="I38" s="2">
        <f>VLOOKUP(A38,[64]WRDS!$A$1:$O$100,10,FALSE)/100</f>
        <v>4.4400000000000002E-2</v>
      </c>
      <c r="J38" s="2">
        <f>VLOOKUP(A38,[64]WRDS!$A$1:$O$100,9,FALSE)/100</f>
        <v>0.05</v>
      </c>
      <c r="K38" s="2">
        <f t="shared" si="1"/>
        <v>0.52280531741877534</v>
      </c>
      <c r="L38" s="2">
        <f t="shared" si="2"/>
        <v>0.71487085294907138</v>
      </c>
      <c r="M38">
        <f>VLOOKUP(A38,[64]WRDS!$A$1:$O$100,8,FALSE)</f>
        <v>16</v>
      </c>
      <c r="N38">
        <f>VLOOKUP(A38,[64]WRDS!$A$1:$O$100,11,FALSE)</f>
        <v>1.8</v>
      </c>
    </row>
    <row r="39" spans="1:14" x14ac:dyDescent="0.3">
      <c r="A39" t="s">
        <v>54</v>
      </c>
      <c r="B39" t="str">
        <f>VLOOKUP(A39,[63]WRDS!$A$1:$N$100,2,FALSE)</f>
        <v>SDO</v>
      </c>
      <c r="C39" t="str">
        <f>VLOOKUP(A39,[63]WRDS!$A$1:$N$100,3,FALSE)</f>
        <v>SEMPRA ENERGY</v>
      </c>
      <c r="D39">
        <f>VLOOKUP(A39,[63]WRDS!$A$1:$N$100,13,FALSE)</f>
        <v>2.93</v>
      </c>
      <c r="E39">
        <f>VLOOKUP(A39,[47]WRDS!$A$1:$N$100,13,FALSE)</f>
        <v>4.26</v>
      </c>
      <c r="F39" s="1">
        <f t="shared" si="3"/>
        <v>3.6297562263312497</v>
      </c>
      <c r="G39" s="1">
        <f t="shared" si="4"/>
        <v>3.7693464073312488</v>
      </c>
      <c r="H39" s="2">
        <f t="shared" si="0"/>
        <v>9.8083825865503016E-2</v>
      </c>
      <c r="I39" s="2">
        <f>VLOOKUP(A39,[64]WRDS!$A$1:$O$100,10,FALSE)/100</f>
        <v>5.5E-2</v>
      </c>
      <c r="J39" s="2">
        <f>VLOOKUP(A39,[64]WRDS!$A$1:$O$100,9,FALSE)/100</f>
        <v>6.5000000000000002E-2</v>
      </c>
      <c r="K39" s="2">
        <f t="shared" si="1"/>
        <v>-0.43925515226721995</v>
      </c>
      <c r="L39" s="2">
        <f t="shared" si="2"/>
        <v>-0.33730154358853265</v>
      </c>
      <c r="M39">
        <f>VLOOKUP(A39,[64]WRDS!$A$1:$O$100,8,FALSE)</f>
        <v>9</v>
      </c>
      <c r="N39">
        <f>VLOOKUP(A39,[64]WRDS!$A$1:$O$100,11,FALSE)</f>
        <v>3.18</v>
      </c>
    </row>
    <row r="40" spans="1:14" x14ac:dyDescent="0.3">
      <c r="A40" t="s">
        <v>75</v>
      </c>
      <c r="B40" t="str">
        <f>VLOOKUP(A40,[63]WRDS!$A$1:$N$100,2,FALSE)</f>
        <v>TE</v>
      </c>
      <c r="C40" t="str">
        <f>VLOOKUP(A40,[63]WRDS!$A$1:$N$100,3,FALSE)</f>
        <v>TECO ENERGY INC</v>
      </c>
      <c r="D40">
        <f>VLOOKUP(A40,[63]WRDS!$A$1:$N$100,13,FALSE)</f>
        <v>0.78</v>
      </c>
      <c r="E40">
        <f>VLOOKUP(A40,[47]WRDS!$A$1:$N$100,13,FALSE)</f>
        <v>1.07</v>
      </c>
      <c r="F40" s="1">
        <f t="shared" si="3"/>
        <v>0.89506794048749982</v>
      </c>
      <c r="G40" s="1">
        <f t="shared" si="4"/>
        <v>0.91248967680000015</v>
      </c>
      <c r="H40" s="2">
        <f t="shared" si="0"/>
        <v>8.2236790789844916E-2</v>
      </c>
      <c r="I40" s="2">
        <f>VLOOKUP(A40,[64]WRDS!$A$1:$O$100,10,FALSE)/100</f>
        <v>3.5000000000000003E-2</v>
      </c>
      <c r="J40" s="2">
        <f>VLOOKUP(A40,[64]WRDS!$A$1:$O$100,9,FALSE)/100</f>
        <v>0.04</v>
      </c>
      <c r="K40" s="2">
        <f t="shared" si="1"/>
        <v>-0.57439973442735548</v>
      </c>
      <c r="L40" s="2">
        <f t="shared" si="2"/>
        <v>-0.51359969648840631</v>
      </c>
      <c r="M40">
        <f>VLOOKUP(A40,[64]WRDS!$A$1:$O$100,8,FALSE)</f>
        <v>4</v>
      </c>
      <c r="N40">
        <f>VLOOKUP(A40,[64]WRDS!$A$1:$O$100,11,FALSE)</f>
        <v>2.65</v>
      </c>
    </row>
    <row r="41" spans="1:14" x14ac:dyDescent="0.3">
      <c r="A41" t="s">
        <v>79</v>
      </c>
      <c r="B41" t="str">
        <f>VLOOKUP(A41,[63]WRDS!$A$1:$N$100,2,FALSE)</f>
        <v>UIL</v>
      </c>
      <c r="C41" t="str">
        <f>VLOOKUP(A41,[63]WRDS!$A$1:$N$100,3,FALSE)</f>
        <v>UIL HOLDING CORP</v>
      </c>
      <c r="D41">
        <f>VLOOKUP(A41,[63]WRDS!$A$1:$N$100,13,FALSE)</f>
        <v>1.218</v>
      </c>
      <c r="E41">
        <f>VLOOKUP(A41,[47]WRDS!$A$1:$N$100,13,FALSE)</f>
        <v>1.87</v>
      </c>
      <c r="F41" s="1">
        <f t="shared" si="3"/>
        <v>1.26745568418</v>
      </c>
      <c r="G41" s="1">
        <f t="shared" si="4"/>
        <v>1.26745568418</v>
      </c>
      <c r="H41" s="2">
        <f t="shared" si="0"/>
        <v>0.11313689974042473</v>
      </c>
      <c r="I41" s="2">
        <f>VLOOKUP(A41,[64]WRDS!$A$1:$O$100,10,FALSE)/100</f>
        <v>0.01</v>
      </c>
      <c r="J41" s="2">
        <f>VLOOKUP(A41,[64]WRDS!$A$1:$O$100,9,FALSE)/100</f>
        <v>0.01</v>
      </c>
      <c r="K41" s="2">
        <f t="shared" si="1"/>
        <v>-0.91161150762533305</v>
      </c>
      <c r="L41" s="2">
        <f t="shared" si="2"/>
        <v>-0.91161150762533305</v>
      </c>
      <c r="M41">
        <f>VLOOKUP(A41,[64]WRDS!$A$1:$O$100,8,FALSE)</f>
        <v>1</v>
      </c>
      <c r="N41">
        <f>VLOOKUP(A41,[64]WRDS!$A$1:$O$100,11,FALSE)</f>
        <v>0</v>
      </c>
    </row>
    <row r="42" spans="1:14" x14ac:dyDescent="0.3">
      <c r="A42" t="s">
        <v>76</v>
      </c>
      <c r="B42" t="str">
        <f>VLOOKUP(A42,[63]WRDS!$A$1:$N$100,2,FALSE)</f>
        <v>SIG</v>
      </c>
      <c r="C42" t="str">
        <f>VLOOKUP(A42,[63]WRDS!$A$1:$N$100,3,FALSE)</f>
        <v>VECTREN CORP</v>
      </c>
      <c r="D42">
        <f>VLOOKUP(A42,[63]WRDS!$A$1:$N$100,13,FALSE)</f>
        <v>1.57</v>
      </c>
      <c r="E42">
        <f>VLOOKUP(A42,[47]WRDS!$A$1:$N$100,13,FALSE)</f>
        <v>1.84</v>
      </c>
      <c r="F42" s="1">
        <f t="shared" si="3"/>
        <v>2.044902312160338</v>
      </c>
      <c r="G42" s="1">
        <f t="shared" si="4"/>
        <v>2.09668655078125</v>
      </c>
      <c r="H42" s="2">
        <f t="shared" si="0"/>
        <v>4.0469952056644942E-2</v>
      </c>
      <c r="I42" s="2">
        <f>VLOOKUP(A42,[64]WRDS!$A$1:$O$100,10,FALSE)/100</f>
        <v>6.83E-2</v>
      </c>
      <c r="J42" s="2">
        <f>VLOOKUP(A42,[64]WRDS!$A$1:$O$100,9,FALSE)/100</f>
        <v>7.4999999999999997E-2</v>
      </c>
      <c r="K42" s="2">
        <f t="shared" si="1"/>
        <v>0.6876718782469009</v>
      </c>
      <c r="L42" s="2">
        <f t="shared" si="2"/>
        <v>0.85322680627404923</v>
      </c>
      <c r="M42">
        <f>VLOOKUP(A42,[64]WRDS!$A$1:$O$100,8,FALSE)</f>
        <v>4</v>
      </c>
      <c r="N42">
        <f>VLOOKUP(A42,[64]WRDS!$A$1:$O$100,11,FALSE)</f>
        <v>1.96</v>
      </c>
    </row>
    <row r="43" spans="1:14" x14ac:dyDescent="0.3">
      <c r="A43" t="s">
        <v>55</v>
      </c>
      <c r="B43" t="str">
        <f>VLOOKUP(A43,[63]WRDS!$A$1:$N$100,2,FALSE)</f>
        <v>WPC</v>
      </c>
      <c r="C43" t="str">
        <f>VLOOKUP(A43,[63]WRDS!$A$1:$N$100,3,FALSE)</f>
        <v>WISCONSIN ENERGY</v>
      </c>
      <c r="D43">
        <f>VLOOKUP(A43,[63]WRDS!$A$1:$N$100,13,FALSE)</f>
        <v>1.155</v>
      </c>
      <c r="E43">
        <f>VLOOKUP(A43,[47]WRDS!$A$1:$N$100,13,FALSE)</f>
        <v>1.42</v>
      </c>
      <c r="F43" s="1">
        <f t="shared" si="3"/>
        <v>1.4858686349718746</v>
      </c>
      <c r="G43" s="1">
        <f t="shared" si="4"/>
        <v>1.5139693915500001</v>
      </c>
      <c r="H43" s="2">
        <f t="shared" si="0"/>
        <v>5.2995681401045269E-2</v>
      </c>
      <c r="I43" s="2">
        <f>VLOOKUP(A43,[64]WRDS!$A$1:$O$100,10,FALSE)/100</f>
        <v>6.5000000000000002E-2</v>
      </c>
      <c r="J43" s="2">
        <f>VLOOKUP(A43,[64]WRDS!$A$1:$O$100,9,FALSE)/100</f>
        <v>7.0000000000000007E-2</v>
      </c>
      <c r="K43" s="2">
        <f t="shared" si="1"/>
        <v>0.22651503446312823</v>
      </c>
      <c r="L43" s="2">
        <f t="shared" si="2"/>
        <v>0.32086234480644588</v>
      </c>
      <c r="M43">
        <f>VLOOKUP(A43,[64]WRDS!$A$1:$O$100,8,FALSE)</f>
        <v>8</v>
      </c>
      <c r="N43">
        <f>VLOOKUP(A43,[64]WRDS!$A$1:$O$100,11,FALSE)</f>
        <v>1.31</v>
      </c>
    </row>
    <row r="44" spans="1:14" x14ac:dyDescent="0.3">
      <c r="A44" t="s">
        <v>56</v>
      </c>
      <c r="B44" t="str">
        <f>VLOOKUP(A44,[63]WRDS!$A$1:$N$100,2,FALSE)</f>
        <v>NSP</v>
      </c>
      <c r="C44" t="str">
        <f>VLOOKUP(A44,[63]WRDS!$A$1:$N$100,3,FALSE)</f>
        <v>XCEL ENERGY INC</v>
      </c>
      <c r="D44">
        <f>VLOOKUP(A44,[63]WRDS!$A$1:$N$100,13,FALSE)</f>
        <v>1.29</v>
      </c>
      <c r="E44">
        <f>VLOOKUP(A44,[47]WRDS!$A$1:$N$100,13,FALSE)</f>
        <v>1.43</v>
      </c>
      <c r="F44" s="1">
        <f t="shared" si="3"/>
        <v>1.4935068604410651</v>
      </c>
      <c r="G44" s="1">
        <f t="shared" si="4"/>
        <v>1.4519063648999999</v>
      </c>
      <c r="H44" s="2">
        <f t="shared" si="0"/>
        <v>2.6092661962931807E-2</v>
      </c>
      <c r="I44" s="2">
        <f>VLOOKUP(A44,[64]WRDS!$A$1:$O$100,10,FALSE)/100</f>
        <v>3.73E-2</v>
      </c>
      <c r="J44" s="2">
        <f>VLOOKUP(A44,[64]WRDS!$A$1:$O$100,9,FALSE)/100</f>
        <v>0.03</v>
      </c>
      <c r="K44" s="2">
        <f t="shared" si="1"/>
        <v>0.42952068489561351</v>
      </c>
      <c r="L44" s="2">
        <f t="shared" si="2"/>
        <v>0.14974854013052022</v>
      </c>
      <c r="M44">
        <f>VLOOKUP(A44,[64]WRDS!$A$1:$O$100,8,FALSE)</f>
        <v>11</v>
      </c>
      <c r="N44">
        <f>VLOOKUP(A44,[64]WRDS!$A$1:$O$100,11,FALSE)</f>
        <v>1.68</v>
      </c>
    </row>
    <row r="45" spans="1:14" x14ac:dyDescent="0.3">
      <c r="A45" t="s">
        <v>132</v>
      </c>
      <c r="B45" t="str">
        <f>VLOOKUP(A45,'[5]Ticker List'!$H$4:$I$20,2,FALSE)</f>
        <v>EGAS</v>
      </c>
      <c r="C45" t="str">
        <f>VLOOKUP(A45,[65]ieprf1wuovha0ksv!$B$1:$N$15,2,FALSE)</f>
        <v>ATMOS ENERGY CP</v>
      </c>
      <c r="D45">
        <f>VLOOKUP(A45,[65]ieprf1wuovha0ksv!$B$1:$N$15,12,FALSE)</f>
        <v>1.67</v>
      </c>
      <c r="E45">
        <f>VLOOKUP(A45,[49]mklxkfsu1rbweayr!$B$1:$O$22,13,FALSE)</f>
        <v>2</v>
      </c>
      <c r="F45" s="1">
        <f t="shared" si="3"/>
        <v>2.0822041169914192</v>
      </c>
      <c r="G45" s="1">
        <f t="shared" si="4"/>
        <v>2.0298954375</v>
      </c>
      <c r="H45" s="2">
        <f t="shared" si="0"/>
        <v>4.6112474989743024E-2</v>
      </c>
      <c r="I45" s="2">
        <f>VLOOKUP(A45,[66]zvrtdfhzifwncoli!$B$1:$N$15,9,FALSE)/100</f>
        <v>5.67E-2</v>
      </c>
      <c r="J45" s="2">
        <f>VLOOKUP(A45,[66]zvrtdfhzifwncoli!$B$1:$N$15,8,FALSE)/100</f>
        <v>0.05</v>
      </c>
      <c r="K45" s="2">
        <f t="shared" si="1"/>
        <v>0.22960218493177822</v>
      </c>
      <c r="L45" s="2">
        <f t="shared" si="2"/>
        <v>8.4305277717617533E-2</v>
      </c>
      <c r="M45">
        <f>VLOOKUP(A45,[66]zvrtdfhzifwncoli!$B$1:$N$15,7,FALSE)</f>
        <v>6</v>
      </c>
      <c r="N45">
        <f>VLOOKUP(A45,[66]zvrtdfhzifwncoli!$B$1:$N$15,10,FALSE)</f>
        <v>2.34</v>
      </c>
    </row>
    <row r="46" spans="1:14" x14ac:dyDescent="0.3">
      <c r="A46" t="s">
        <v>133</v>
      </c>
      <c r="B46" t="str">
        <f>VLOOKUP(A46,'[5]Ticker List'!$H$4:$I$20,2,FALSE)</f>
        <v>CHPK</v>
      </c>
      <c r="C46" t="str">
        <f>VLOOKUP(A46,[65]ieprf1wuovha0ksv!$B$1:$N$15,2,FALSE)</f>
        <v>CHESAPEAKE UTIL</v>
      </c>
      <c r="D46">
        <f>VLOOKUP(A46,[65]ieprf1wuovha0ksv!$B$1:$N$15,12,FALSE)</f>
        <v>1.2067000000000001</v>
      </c>
      <c r="E46">
        <f>VLOOKUP(A46,[49]mklxkfsu1rbweayr!$B$1:$O$22,13,FALSE)</f>
        <v>1.2932999999999999</v>
      </c>
      <c r="F46" s="1">
        <f t="shared" si="3"/>
        <v>1.3581514810270001</v>
      </c>
      <c r="G46" s="1">
        <f t="shared" si="4"/>
        <v>1.3581514810270001</v>
      </c>
      <c r="H46" s="2">
        <f t="shared" si="0"/>
        <v>1.7477914639877357E-2</v>
      </c>
      <c r="I46" s="2">
        <f>VLOOKUP(A46,[66]zvrtdfhzifwncoli!$B$1:$N$15,9,FALSE)/100</f>
        <v>0.03</v>
      </c>
      <c r="J46" s="2">
        <f>VLOOKUP(A46,[66]zvrtdfhzifwncoli!$B$1:$N$15,8,FALSE)/100</f>
        <v>0.03</v>
      </c>
      <c r="K46" s="2">
        <f t="shared" si="1"/>
        <v>0.71645191192045499</v>
      </c>
      <c r="L46" s="2">
        <f t="shared" si="2"/>
        <v>0.71645191192045499</v>
      </c>
      <c r="M46">
        <f>VLOOKUP(A46,[66]zvrtdfhzifwncoli!$B$1:$N$15,7,FALSE)</f>
        <v>1</v>
      </c>
      <c r="N46">
        <f>VLOOKUP(A46,[66]zvrtdfhzifwncoli!$B$1:$N$15,10,FALSE)</f>
        <v>0</v>
      </c>
    </row>
    <row r="47" spans="1:14" x14ac:dyDescent="0.3">
      <c r="A47" t="s">
        <v>134</v>
      </c>
      <c r="B47" t="str">
        <f>VLOOKUP(A47,'[5]Ticker List'!$H$4:$I$20,2,FALSE)</f>
        <v>NJR</v>
      </c>
      <c r="C47" t="str">
        <f>VLOOKUP(A47,[65]ieprf1wuovha0ksv!$B$1:$N$15,2,FALSE)</f>
        <v>NEW JERSEY RES</v>
      </c>
      <c r="D47">
        <f>VLOOKUP(A47,[65]ieprf1wuovha0ksv!$B$1:$N$15,12,FALSE)</f>
        <v>0.85</v>
      </c>
      <c r="E47">
        <f>VLOOKUP(A47,[49]mklxkfsu1rbweayr!$B$1:$O$22,13,FALSE)</f>
        <v>1.1200000000000001</v>
      </c>
      <c r="F47" s="1">
        <f t="shared" si="3"/>
        <v>1.0731054160000002</v>
      </c>
      <c r="G47" s="1">
        <f t="shared" si="4"/>
        <v>1.0934963980312495</v>
      </c>
      <c r="H47" s="2">
        <f t="shared" si="0"/>
        <v>7.1395392171864414E-2</v>
      </c>
      <c r="I47" s="2">
        <f>VLOOKUP(A47,[66]zvrtdfhzifwncoli!$B$1:$N$15,9,FALSE)/100</f>
        <v>0.06</v>
      </c>
      <c r="J47" s="2">
        <f>VLOOKUP(A47,[66]zvrtdfhzifwncoli!$B$1:$N$15,8,FALSE)/100</f>
        <v>6.5000000000000002E-2</v>
      </c>
      <c r="K47" s="2">
        <f t="shared" si="1"/>
        <v>-0.15960963061079908</v>
      </c>
      <c r="L47" s="2">
        <f t="shared" si="2"/>
        <v>-8.9577099828365606E-2</v>
      </c>
      <c r="M47">
        <f>VLOOKUP(A47,[66]zvrtdfhzifwncoli!$B$1:$N$15,7,FALSE)</f>
        <v>4</v>
      </c>
      <c r="N47">
        <f>VLOOKUP(A47,[66]zvrtdfhzifwncoli!$B$1:$N$15,10,FALSE)</f>
        <v>2.4500000000000002</v>
      </c>
    </row>
    <row r="48" spans="1:14" x14ac:dyDescent="0.3">
      <c r="A48" t="s">
        <v>135</v>
      </c>
      <c r="B48" t="str">
        <f>VLOOKUP(A48,'[5]Ticker List'!$H$4:$I$20,2,FALSE)</f>
        <v>NI</v>
      </c>
      <c r="C48" t="str">
        <f>VLOOKUP(A48,[65]ieprf1wuovha0ksv!$B$1:$N$15,2,FALSE)</f>
        <v>NISOURCE INC</v>
      </c>
      <c r="D48">
        <f>VLOOKUP(A48,[65]ieprf1wuovha0ksv!$B$1:$N$15,12,FALSE)</f>
        <v>1.61</v>
      </c>
      <c r="E48">
        <f>VLOOKUP(A48,[49]mklxkfsu1rbweayr!$B$1:$O$22,13,FALSE)</f>
        <v>1.37</v>
      </c>
      <c r="F48" s="1">
        <f t="shared" si="3"/>
        <v>1.8755163785016109</v>
      </c>
      <c r="G48" s="1">
        <f t="shared" si="4"/>
        <v>1.8834722816000005</v>
      </c>
      <c r="H48" s="2">
        <f t="shared" si="0"/>
        <v>-3.9552406346707092E-2</v>
      </c>
      <c r="I48" s="2">
        <f>VLOOKUP(A48,[66]zvrtdfhzifwncoli!$B$1:$N$15,9,FALSE)/100</f>
        <v>3.8900000000000004E-2</v>
      </c>
      <c r="J48" s="2">
        <f>VLOOKUP(A48,[66]zvrtdfhzifwncoli!$B$1:$N$15,8,FALSE)/100</f>
        <v>0.04</v>
      </c>
      <c r="K48" s="2">
        <f t="shared" si="1"/>
        <v>1.9835052678972742</v>
      </c>
      <c r="L48" s="2">
        <f t="shared" si="2"/>
        <v>2.011316470845526</v>
      </c>
      <c r="M48">
        <f>VLOOKUP(A48,[66]zvrtdfhzifwncoli!$B$1:$N$15,7,FALSE)</f>
        <v>9</v>
      </c>
      <c r="N48">
        <f>VLOOKUP(A48,[66]zvrtdfhzifwncoli!$B$1:$N$15,10,FALSE)</f>
        <v>1.27</v>
      </c>
    </row>
    <row r="49" spans="1:14" x14ac:dyDescent="0.3">
      <c r="A49" t="s">
        <v>136</v>
      </c>
      <c r="B49" t="str">
        <f>VLOOKUP(A49,'[5]Ticker List'!$H$4:$I$20,2,FALSE)</f>
        <v>NWNG</v>
      </c>
      <c r="C49" t="str">
        <f>VLOOKUP(A49,[65]ieprf1wuovha0ksv!$B$1:$N$15,2,FALSE)</f>
        <v>NW NATURAL GAS</v>
      </c>
      <c r="D49">
        <f>VLOOKUP(A49,[65]ieprf1wuovha0ksv!$B$1:$N$15,12,FALSE)</f>
        <v>1.76</v>
      </c>
      <c r="E49">
        <f>VLOOKUP(A49,[49]mklxkfsu1rbweayr!$B$1:$O$22,13,FALSE)</f>
        <v>2.76</v>
      </c>
      <c r="F49" s="1">
        <f t="shared" si="3"/>
        <v>2.0724464826391604</v>
      </c>
      <c r="G49" s="1">
        <f t="shared" si="4"/>
        <v>2.0589510656000005</v>
      </c>
      <c r="H49" s="2">
        <f t="shared" si="0"/>
        <v>0.11904900022522824</v>
      </c>
      <c r="I49" s="2">
        <f>VLOOKUP(A49,[66]zvrtdfhzifwncoli!$B$1:$N$15,9,FALSE)/100</f>
        <v>4.1700000000000001E-2</v>
      </c>
      <c r="J49" s="2">
        <f>VLOOKUP(A49,[66]zvrtdfhzifwncoli!$B$1:$N$15,8,FALSE)/100</f>
        <v>0.04</v>
      </c>
      <c r="K49" s="2">
        <f t="shared" si="1"/>
        <v>-0.6497240638635523</v>
      </c>
      <c r="L49" s="2">
        <f t="shared" si="2"/>
        <v>-0.66400389819045769</v>
      </c>
      <c r="M49">
        <f>VLOOKUP(A49,[66]zvrtdfhzifwncoli!$B$1:$N$15,7,FALSE)</f>
        <v>3</v>
      </c>
      <c r="N49">
        <f>VLOOKUP(A49,[66]zvrtdfhzifwncoli!$B$1:$N$15,10,FALSE)</f>
        <v>0.76</v>
      </c>
    </row>
    <row r="50" spans="1:14" x14ac:dyDescent="0.3">
      <c r="A50" t="s">
        <v>138</v>
      </c>
      <c r="B50" t="str">
        <f>VLOOKUP(A50,'[5]Ticker List'!$H$4:$I$20,2,FALSE)</f>
        <v>SJI</v>
      </c>
      <c r="C50" t="str">
        <f>VLOOKUP(A50,[65]ieprf1wuovha0ksv!$B$1:$N$15,2,FALSE)</f>
        <v>SO JERSEY INDS</v>
      </c>
      <c r="D50">
        <f>VLOOKUP(A50,[65]ieprf1wuovha0ksv!$B$1:$N$15,12,FALSE)</f>
        <v>0.6825</v>
      </c>
      <c r="E50">
        <f>VLOOKUP(A50,[49]mklxkfsu1rbweayr!$B$1:$O$22,13,FALSE)</f>
        <v>1.0449999999999999</v>
      </c>
      <c r="F50" s="1">
        <f t="shared" si="3"/>
        <v>0.82958301562500003</v>
      </c>
      <c r="G50" s="1">
        <f t="shared" si="4"/>
        <v>0.82958301562500003</v>
      </c>
      <c r="H50" s="2">
        <f t="shared" si="0"/>
        <v>0.11238060653992799</v>
      </c>
      <c r="I50" s="2">
        <f>VLOOKUP(A50,[66]zvrtdfhzifwncoli!$B$1:$N$15,9,FALSE)/100</f>
        <v>0.05</v>
      </c>
      <c r="J50" s="2">
        <f>VLOOKUP(A50,[66]zvrtdfhzifwncoli!$B$1:$N$15,8,FALSE)/100</f>
        <v>0.05</v>
      </c>
      <c r="K50" s="2">
        <f t="shared" si="1"/>
        <v>-0.55508337657676388</v>
      </c>
      <c r="L50" s="2">
        <f t="shared" si="2"/>
        <v>-0.55508337657676388</v>
      </c>
      <c r="M50">
        <f>VLOOKUP(A50,[66]zvrtdfhzifwncoli!$B$1:$N$15,7,FALSE)</f>
        <v>1</v>
      </c>
      <c r="N50">
        <f>VLOOKUP(A50,[66]zvrtdfhzifwncoli!$B$1:$N$15,10,FALSE)</f>
        <v>0</v>
      </c>
    </row>
    <row r="51" spans="1:14" x14ac:dyDescent="0.3">
      <c r="A51" t="s">
        <v>139</v>
      </c>
      <c r="B51" t="str">
        <f>VLOOKUP(A51,'[5]Ticker List'!$H$4:$I$20,2,FALSE)</f>
        <v>SWX</v>
      </c>
      <c r="C51" t="str">
        <f>VLOOKUP(A51,[65]ieprf1wuovha0ksv!$B$1:$N$15,2,FALSE)</f>
        <v>SOUTHWEST GAS</v>
      </c>
      <c r="D51">
        <f>VLOOKUP(A51,[65]ieprf1wuovha0ksv!$B$1:$N$15,12,FALSE)</f>
        <v>1.1299999999999999</v>
      </c>
      <c r="E51">
        <f>VLOOKUP(A51,[49]mklxkfsu1rbweayr!$B$1:$O$22,13,FALSE)</f>
        <v>1.95</v>
      </c>
      <c r="F51" s="1">
        <f t="shared" si="3"/>
        <v>1.3998718552062497</v>
      </c>
      <c r="G51" s="1">
        <f t="shared" si="4"/>
        <v>1.3998718552062497</v>
      </c>
      <c r="H51" s="2">
        <f t="shared" si="0"/>
        <v>0.14614362190308938</v>
      </c>
      <c r="I51" s="2">
        <f>VLOOKUP(A51,[66]zvrtdfhzifwncoli!$B$1:$N$15,9,FALSE)/100</f>
        <v>5.5E-2</v>
      </c>
      <c r="J51" s="2">
        <f>VLOOKUP(A51,[66]zvrtdfhzifwncoli!$B$1:$N$15,8,FALSE)/100</f>
        <v>5.5E-2</v>
      </c>
      <c r="K51" s="2">
        <f t="shared" si="1"/>
        <v>-0.62365788336304173</v>
      </c>
      <c r="L51" s="2">
        <f t="shared" si="2"/>
        <v>-0.62365788336304173</v>
      </c>
      <c r="M51">
        <f>VLOOKUP(A51,[66]zvrtdfhzifwncoli!$B$1:$N$15,7,FALSE)</f>
        <v>4</v>
      </c>
      <c r="N51">
        <f>VLOOKUP(A51,[66]zvrtdfhzifwncoli!$B$1:$N$15,10,FALSE)</f>
        <v>0.57999999999999996</v>
      </c>
    </row>
    <row r="52" spans="1:14" x14ac:dyDescent="0.3">
      <c r="A52" t="s">
        <v>148</v>
      </c>
      <c r="B52" t="str">
        <f>VLOOKUP(A52,'[5]Ticker List'!$H$4:$I$20,2,FALSE)</f>
        <v>AGLT</v>
      </c>
      <c r="C52" t="str">
        <f>VLOOKUP(A52,[65]ieprf1wuovha0ksv!$B$1:$N$15,2,FALSE)</f>
        <v>AGL RESOURCES</v>
      </c>
      <c r="D52">
        <f>VLOOKUP(A52,[65]ieprf1wuovha0ksv!$B$1:$N$15,12,FALSE)</f>
        <v>2.08</v>
      </c>
      <c r="E52">
        <f>VLOOKUP(A52,[49]mklxkfsu1rbweayr!$B$1:$O$22,13,FALSE)</f>
        <v>2.72</v>
      </c>
      <c r="F52" s="1">
        <f t="shared" si="3"/>
        <v>2.5004373259568098</v>
      </c>
      <c r="G52" s="1">
        <f t="shared" si="4"/>
        <v>2.5282530000000003</v>
      </c>
      <c r="H52" s="2">
        <f t="shared" si="0"/>
        <v>6.936605042133781E-2</v>
      </c>
      <c r="I52" s="2">
        <f>VLOOKUP(A52,[66]zvrtdfhzifwncoli!$B$1:$N$15,9,FALSE)/100</f>
        <v>4.7100000000000003E-2</v>
      </c>
      <c r="J52" s="2">
        <f>VLOOKUP(A52,[66]zvrtdfhzifwncoli!$B$1:$N$15,8,FALSE)/100</f>
        <v>0.05</v>
      </c>
      <c r="K52" s="2">
        <f t="shared" si="1"/>
        <v>-0.32099348724759613</v>
      </c>
      <c r="L52" s="2">
        <f t="shared" si="2"/>
        <v>-0.27918629219490032</v>
      </c>
      <c r="M52">
        <f>VLOOKUP(A52,[66]zvrtdfhzifwncoli!$B$1:$N$15,7,FALSE)</f>
        <v>7</v>
      </c>
      <c r="N52">
        <f>VLOOKUP(A52,[66]zvrtdfhzifwncoli!$B$1:$N$15,10,FALSE)</f>
        <v>1.38</v>
      </c>
    </row>
    <row r="53" spans="1:14" x14ac:dyDescent="0.3">
      <c r="A53" t="s">
        <v>143</v>
      </c>
      <c r="B53" t="str">
        <f>VLOOKUP(A53,'[5]Ticker List'!$H$4:$I$20,2,FALSE)</f>
        <v>LG</v>
      </c>
      <c r="C53" t="str">
        <f>VLOOKUP(A53,[65]ieprf1wuovha0ksv!$B$1:$N$15,2,FALSE)</f>
        <v>LACLEDE GROUP</v>
      </c>
      <c r="D53">
        <f>VLOOKUP(A53,[65]ieprf1wuovha0ksv!$B$1:$N$15,12,FALSE)</f>
        <v>1.9</v>
      </c>
      <c r="E53">
        <f>VLOOKUP(A53,[49]mklxkfsu1rbweayr!$B$1:$O$22,13,FALSE)</f>
        <v>2.64</v>
      </c>
      <c r="F53" s="1">
        <f t="shared" si="3"/>
        <v>2.2227312640000001</v>
      </c>
      <c r="G53" s="1">
        <f t="shared" si="4"/>
        <v>2.2227312640000001</v>
      </c>
      <c r="H53" s="2">
        <f t="shared" si="0"/>
        <v>8.5706858921414275E-2</v>
      </c>
      <c r="I53" s="2">
        <f>VLOOKUP(A53,[66]zvrtdfhzifwncoli!$B$1:$N$15,9,FALSE)/100</f>
        <v>0.04</v>
      </c>
      <c r="J53" s="2">
        <f>VLOOKUP(A53,[66]zvrtdfhzifwncoli!$B$1:$N$15,8,FALSE)/100</f>
        <v>0.04</v>
      </c>
      <c r="K53" s="2">
        <f t="shared" si="1"/>
        <v>-0.53329289506833388</v>
      </c>
      <c r="L53" s="2">
        <f t="shared" si="2"/>
        <v>-0.53329289506833388</v>
      </c>
      <c r="M53">
        <f>VLOOKUP(A53,[66]zvrtdfhzifwncoli!$B$1:$N$15,7,FALSE)</f>
        <v>2</v>
      </c>
      <c r="N53">
        <f>VLOOKUP(A53,[66]zvrtdfhzifwncoli!$B$1:$N$15,10,FALSE)</f>
        <v>1.41</v>
      </c>
    </row>
    <row r="54" spans="1:14" x14ac:dyDescent="0.3">
      <c r="A54" t="s">
        <v>144</v>
      </c>
      <c r="B54" t="str">
        <f>VLOOKUP(A54,'[5]Ticker List'!$H$4:$I$20,2,FALSE)</f>
        <v>GAS</v>
      </c>
      <c r="C54" t="str">
        <f>VLOOKUP(A54,[65]ieprf1wuovha0ksv!$B$1:$N$15,2,FALSE)</f>
        <v>NICOR INC</v>
      </c>
      <c r="D54">
        <f>VLOOKUP(A54,[65]ieprf1wuovha0ksv!$B$1:$N$15,12,FALSE)</f>
        <v>1.99</v>
      </c>
      <c r="E54">
        <f>VLOOKUP(A54,[49]mklxkfsu1rbweayr!$B$1:$O$22,13,FALSE)</f>
        <v>2.72</v>
      </c>
      <c r="F54" s="1">
        <f t="shared" si="3"/>
        <v>2.3155083393115552</v>
      </c>
      <c r="G54" s="1">
        <f t="shared" si="4"/>
        <v>2.3280185344000004</v>
      </c>
      <c r="H54" s="2">
        <f t="shared" si="0"/>
        <v>8.1257061806210062E-2</v>
      </c>
      <c r="I54" s="2">
        <f>VLOOKUP(A54,[66]zvrtdfhzifwncoli!$B$1:$N$15,9,FALSE)/100</f>
        <v>3.8599999999999995E-2</v>
      </c>
      <c r="J54" s="2">
        <f>VLOOKUP(A54,[66]zvrtdfhzifwncoli!$B$1:$N$15,8,FALSE)/100</f>
        <v>0.04</v>
      </c>
      <c r="K54" s="2">
        <f t="shared" si="1"/>
        <v>-0.52496436442586214</v>
      </c>
      <c r="L54" s="2">
        <f t="shared" si="2"/>
        <v>-0.50773509266928718</v>
      </c>
      <c r="M54">
        <f>VLOOKUP(A54,[66]zvrtdfhzifwncoli!$B$1:$N$15,7,FALSE)</f>
        <v>7</v>
      </c>
      <c r="N54">
        <f>VLOOKUP(A54,[66]zvrtdfhzifwncoli!$B$1:$N$15,10,FALSE)</f>
        <v>1.35</v>
      </c>
    </row>
    <row r="55" spans="1:14" x14ac:dyDescent="0.3">
      <c r="A55" t="s">
        <v>146</v>
      </c>
      <c r="B55" t="str">
        <f>VLOOKUP(A55,'[5]Ticker List'!$H$4:$I$20,2,FALSE)</f>
        <v>PNY</v>
      </c>
      <c r="C55" t="str">
        <f>VLOOKUP(A55,[65]ieprf1wuovha0ksv!$B$1:$N$15,2,FALSE)</f>
        <v>PIEDMONT NAT GAS</v>
      </c>
      <c r="D55">
        <f>VLOOKUP(A55,[65]ieprf1wuovha0ksv!$B$1:$N$15,12,FALSE)</f>
        <v>1.3</v>
      </c>
      <c r="E55">
        <f>VLOOKUP(A55,[49]mklxkfsu1rbweayr!$B$1:$O$22,13,FALSE)</f>
        <v>1.4</v>
      </c>
      <c r="F55" s="1">
        <f t="shared" si="3"/>
        <v>1.5922318667008004</v>
      </c>
      <c r="G55" s="1">
        <f t="shared" si="4"/>
        <v>1.5801581250000001</v>
      </c>
      <c r="H55" s="2">
        <f t="shared" si="0"/>
        <v>1.869968259813537E-2</v>
      </c>
      <c r="I55" s="2">
        <f>VLOOKUP(A55,[66]zvrtdfhzifwncoli!$B$1:$N$15,9,FALSE)/100</f>
        <v>5.2000000000000005E-2</v>
      </c>
      <c r="J55" s="2">
        <f>VLOOKUP(A55,[66]zvrtdfhzifwncoli!$B$1:$N$15,8,FALSE)/100</f>
        <v>0.05</v>
      </c>
      <c r="K55" s="2">
        <f t="shared" si="1"/>
        <v>1.7807958625557185</v>
      </c>
      <c r="L55" s="2">
        <f t="shared" si="2"/>
        <v>1.6738421755343447</v>
      </c>
      <c r="M55">
        <f>VLOOKUP(A55,[66]zvrtdfhzifwncoli!$B$1:$N$15,7,FALSE)</f>
        <v>5</v>
      </c>
      <c r="N55">
        <f>VLOOKUP(A55,[66]zvrtdfhzifwncoli!$B$1:$N$15,10,FALSE)</f>
        <v>0.84</v>
      </c>
    </row>
    <row r="56" spans="1:14" x14ac:dyDescent="0.3">
      <c r="A56" t="s">
        <v>145</v>
      </c>
      <c r="B56" t="str">
        <f>VLOOKUP(A56,'[5]Ticker List'!$H$4:$I$20,2,FALSE)</f>
        <v>WGL</v>
      </c>
      <c r="C56" t="str">
        <f>VLOOKUP(A56,[65]ieprf1wuovha0ksv!$B$1:$N$15,2,FALSE)</f>
        <v>WGL HOLDING INC</v>
      </c>
      <c r="D56">
        <f>VLOOKUP(A56,[65]ieprf1wuovha0ksv!$B$1:$N$15,12,FALSE)</f>
        <v>1.84</v>
      </c>
      <c r="E56">
        <f>VLOOKUP(A56,[49]mklxkfsu1rbweayr!$B$1:$O$22,13,FALSE)</f>
        <v>2.33</v>
      </c>
      <c r="F56" s="1">
        <f t="shared" si="3"/>
        <v>2.1641537741601833</v>
      </c>
      <c r="G56" s="1">
        <f t="shared" si="4"/>
        <v>2.1525397504000003</v>
      </c>
      <c r="H56" s="2">
        <f t="shared" si="0"/>
        <v>6.0802475421820823E-2</v>
      </c>
      <c r="I56" s="2">
        <f>VLOOKUP(A56,[66]zvrtdfhzifwncoli!$B$1:$N$15,9,FALSE)/100</f>
        <v>4.1399999999999999E-2</v>
      </c>
      <c r="J56" s="2">
        <f>VLOOKUP(A56,[66]zvrtdfhzifwncoli!$B$1:$N$15,8,FALSE)/100</f>
        <v>0.04</v>
      </c>
      <c r="K56" s="2">
        <f t="shared" si="1"/>
        <v>-0.31910666937842558</v>
      </c>
      <c r="L56" s="2">
        <f t="shared" si="2"/>
        <v>-0.34213204770862371</v>
      </c>
      <c r="M56">
        <f>VLOOKUP(A56,[66]zvrtdfhzifwncoli!$B$1:$N$15,7,FALSE)</f>
        <v>7</v>
      </c>
      <c r="N56">
        <f>VLOOKUP(A56,[66]zvrtdfhzifwncoli!$B$1:$N$15,10,FALSE)</f>
        <v>0.69</v>
      </c>
    </row>
  </sheetData>
  <mergeCells count="3">
    <mergeCell ref="P1:Q1"/>
    <mergeCell ref="P7:Q7"/>
    <mergeCell ref="P13:Q13"/>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69F365-340B-4A85-9B2E-644A67E088DD}">
  <dimension ref="A1:Q61"/>
  <sheetViews>
    <sheetView topLeftCell="A25" workbookViewId="0">
      <selection activeCell="A61" sqref="A61"/>
    </sheetView>
  </sheetViews>
  <sheetFormatPr defaultRowHeight="14.4" x14ac:dyDescent="0.3"/>
  <cols>
    <col min="1" max="1" width="13.33203125" bestFit="1" customWidth="1"/>
    <col min="2" max="2" width="10.44140625" bestFit="1" customWidth="1"/>
    <col min="3" max="3" width="15.109375" bestFit="1" customWidth="1"/>
    <col min="4" max="5" width="15.44140625" bestFit="1" customWidth="1"/>
    <col min="6" max="6" width="14.33203125" bestFit="1" customWidth="1"/>
    <col min="7" max="7" width="16" bestFit="1" customWidth="1"/>
    <col min="8" max="8" width="18.33203125" bestFit="1" customWidth="1"/>
    <col min="9" max="9" width="21.44140625" bestFit="1" customWidth="1"/>
    <col min="10" max="10" width="23.109375" bestFit="1" customWidth="1"/>
    <col min="11" max="11" width="22" bestFit="1" customWidth="1"/>
    <col min="12" max="12" width="24.109375" bestFit="1" customWidth="1"/>
    <col min="13" max="13" width="19.88671875" bestFit="1" customWidth="1"/>
    <col min="14" max="14" width="8.33203125" bestFit="1" customWidth="1"/>
    <col min="16" max="16" width="51.88671875" bestFit="1" customWidth="1"/>
    <col min="17" max="17" width="12" bestFit="1" customWidth="1"/>
  </cols>
  <sheetData>
    <row r="1" spans="1:17" x14ac:dyDescent="0.3">
      <c r="A1" s="4" t="s">
        <v>0</v>
      </c>
      <c r="B1" s="4" t="s">
        <v>1</v>
      </c>
      <c r="C1" s="4" t="s">
        <v>2</v>
      </c>
      <c r="D1" s="4" t="s">
        <v>94</v>
      </c>
      <c r="E1" s="4" t="s">
        <v>85</v>
      </c>
      <c r="F1" s="4" t="s">
        <v>5</v>
      </c>
      <c r="G1" s="4" t="s">
        <v>6</v>
      </c>
      <c r="H1" s="4" t="s">
        <v>7</v>
      </c>
      <c r="I1" s="4" t="s">
        <v>8</v>
      </c>
      <c r="J1" s="4" t="s">
        <v>9</v>
      </c>
      <c r="K1" s="4" t="s">
        <v>10</v>
      </c>
      <c r="L1" s="4" t="s">
        <v>11</v>
      </c>
      <c r="M1" s="4" t="s">
        <v>12</v>
      </c>
      <c r="N1" s="4" t="s">
        <v>13</v>
      </c>
      <c r="P1" s="111" t="s">
        <v>14</v>
      </c>
      <c r="Q1" s="111"/>
    </row>
    <row r="2" spans="1:17" x14ac:dyDescent="0.3">
      <c r="A2" t="s">
        <v>15</v>
      </c>
      <c r="B2" t="str">
        <f>VLOOKUP(A2,[67]WRDS!$A$1:$N$100,2,FALSE)</f>
        <v>UEP</v>
      </c>
      <c r="C2" t="str">
        <f>VLOOKUP(A2,[67]WRDS!$A$1:$N$100,3,FALSE)</f>
        <v>AMEREN CP</v>
      </c>
      <c r="D2">
        <f>VLOOKUP(A2,[67]WRDS!$A$1:$N$100,13,FALSE)</f>
        <v>3.03</v>
      </c>
      <c r="E2">
        <f>VLOOKUP(A2,[51]WRDS!$A$1:$N$100,13,FALSE)</f>
        <v>2.79</v>
      </c>
      <c r="F2" s="1">
        <f>D2*(1+I2)^4</f>
        <v>3.4944965908316563</v>
      </c>
      <c r="G2" s="1">
        <f>D2*(1+J2)^4</f>
        <v>3.4102916942999997</v>
      </c>
      <c r="H2" s="2">
        <f t="shared" ref="H2:H61" si="0">((E2/D2)^(1/4)-1)</f>
        <v>-2.0418908074229192E-2</v>
      </c>
      <c r="I2" s="2">
        <f>VLOOKUP(A2,[68]WRDS!$A$1:$O$100,10,FALSE)/100</f>
        <v>3.6299999999999999E-2</v>
      </c>
      <c r="J2" s="2">
        <f>VLOOKUP(A2,[68]WRDS!$A$1:$O$100,9,FALSE)/100</f>
        <v>0.03</v>
      </c>
      <c r="K2" s="2">
        <f t="shared" ref="K2:K61" si="1">(I2-H2)/(ABS(H2))</f>
        <v>2.7777640150020764</v>
      </c>
      <c r="L2" s="2">
        <f t="shared" ref="L2:L61" si="2">(J2-H2)/(ABS(H2))</f>
        <v>2.4692264586794019</v>
      </c>
      <c r="M2">
        <f>VLOOKUP(A2,[68]WRDS!$A$1:$O$100,8,FALSE)</f>
        <v>8</v>
      </c>
      <c r="N2">
        <f>VLOOKUP(A2,[68]WRDS!$A$1:$O$100,11,FALSE)</f>
        <v>1.51</v>
      </c>
      <c r="P2" t="s">
        <v>16</v>
      </c>
      <c r="Q2" s="3">
        <f>AVERAGE(H2:H999)</f>
        <v>1.5907388459863742E-2</v>
      </c>
    </row>
    <row r="3" spans="1:17" x14ac:dyDescent="0.3">
      <c r="A3" t="s">
        <v>17</v>
      </c>
      <c r="B3" t="str">
        <f>VLOOKUP(A3,[67]WRDS!$A$1:$N$100,2,FALSE)</f>
        <v>MPL</v>
      </c>
      <c r="C3" t="str">
        <f>VLOOKUP(A3,[67]WRDS!$A$1:$N$100,3,FALSE)</f>
        <v>ALLETE INC</v>
      </c>
      <c r="D3">
        <f>VLOOKUP(A3,[67]WRDS!$A$1:$N$100,13,FALSE)</f>
        <v>5.4</v>
      </c>
      <c r="E3">
        <f>VLOOKUP(A3,[51]WRDS!$A$1:$N$100,13,FALSE)</f>
        <v>2.77</v>
      </c>
      <c r="F3" s="1">
        <f t="shared" ref="F3:F61" si="3">D3*(1+I3)^4</f>
        <v>7.3466403840000023</v>
      </c>
      <c r="G3" s="1">
        <f t="shared" ref="G3:G61" si="4">D3*(1+J3)^4</f>
        <v>7.3466403840000023</v>
      </c>
      <c r="H3" s="2">
        <f t="shared" si="0"/>
        <v>-0.15370553142975585</v>
      </c>
      <c r="I3" s="2">
        <f>VLOOKUP(A3,[68]WRDS!$A$1:$O$100,10,FALSE)/100</f>
        <v>0.08</v>
      </c>
      <c r="J3" s="2">
        <f>VLOOKUP(A3,[68]WRDS!$A$1:$O$100,9,FALSE)/100</f>
        <v>0.08</v>
      </c>
      <c r="K3" s="2">
        <f t="shared" si="1"/>
        <v>1.5204757386142631</v>
      </c>
      <c r="L3" s="2">
        <f t="shared" si="2"/>
        <v>1.5204757386142631</v>
      </c>
      <c r="M3">
        <f>VLOOKUP(A3,[68]WRDS!$A$1:$O$100,8,FALSE)</f>
        <v>5</v>
      </c>
      <c r="N3">
        <f>VLOOKUP(A3,[68]WRDS!$A$1:$O$100,11,FALSE)</f>
        <v>3.39</v>
      </c>
      <c r="P3" t="s">
        <v>18</v>
      </c>
      <c r="Q3" s="3">
        <f>AVERAGE(I2:I999)</f>
        <v>6.0451666666666667E-2</v>
      </c>
    </row>
    <row r="4" spans="1:17" x14ac:dyDescent="0.3">
      <c r="A4" t="s">
        <v>63</v>
      </c>
      <c r="B4" t="str">
        <f>VLOOKUP(A4,[67]WRDS!$A$1:$N$100,2,FALSE)</f>
        <v>WWP</v>
      </c>
      <c r="C4" t="str">
        <f>VLOOKUP(A4,[67]WRDS!$A$1:$N$100,3,FALSE)</f>
        <v>AVISTA CORP</v>
      </c>
      <c r="D4">
        <f>VLOOKUP(A4,[67]WRDS!$A$1:$N$100,13,FALSE)</f>
        <v>0.67</v>
      </c>
      <c r="E4">
        <f>VLOOKUP(A4,[51]WRDS!$A$1:$N$100,13,FALSE)</f>
        <v>1.47</v>
      </c>
      <c r="F4" s="1">
        <f t="shared" si="3"/>
        <v>0.89143961132592042</v>
      </c>
      <c r="G4" s="1">
        <f t="shared" si="4"/>
        <v>0.78380523520000023</v>
      </c>
      <c r="H4" s="2">
        <f t="shared" si="0"/>
        <v>0.21705619973075052</v>
      </c>
      <c r="I4" s="2">
        <f>VLOOKUP(A4,[68]WRDS!$A$1:$O$100,10,FALSE)/100</f>
        <v>7.400000000000001E-2</v>
      </c>
      <c r="J4" s="2">
        <f>VLOOKUP(A4,[68]WRDS!$A$1:$O$100,9,FALSE)/100</f>
        <v>0.04</v>
      </c>
      <c r="K4" s="2">
        <f t="shared" si="1"/>
        <v>-0.65907446969128713</v>
      </c>
      <c r="L4" s="2">
        <f t="shared" si="2"/>
        <v>-0.81571592956285788</v>
      </c>
      <c r="M4">
        <f>VLOOKUP(A4,[68]WRDS!$A$1:$O$100,8,FALSE)</f>
        <v>5</v>
      </c>
      <c r="N4">
        <f>VLOOKUP(A4,[68]WRDS!$A$1:$O$100,11,FALSE)</f>
        <v>7.06</v>
      </c>
      <c r="P4" t="s">
        <v>20</v>
      </c>
      <c r="Q4" s="3">
        <f>(Q3-Q2)/ABS(Q2)</f>
        <v>2.8002257139312032</v>
      </c>
    </row>
    <row r="5" spans="1:17" x14ac:dyDescent="0.3">
      <c r="A5" t="s">
        <v>19</v>
      </c>
      <c r="B5" t="str">
        <f>VLOOKUP(A5,[67]WRDS!$A$1:$N$100,2,FALSE)</f>
        <v>BHP</v>
      </c>
      <c r="C5" t="str">
        <f>VLOOKUP(A5,[67]WRDS!$A$1:$N$100,3,FALSE)</f>
        <v>BLACK HILLS CP</v>
      </c>
      <c r="D5">
        <f>VLOOKUP(A5,[67]WRDS!$A$1:$N$100,13,FALSE)</f>
        <v>2.29</v>
      </c>
      <c r="E5">
        <f>VLOOKUP(A5,[51]WRDS!$A$1:$N$100,13,FALSE)</f>
        <v>2.14</v>
      </c>
      <c r="F5" s="1">
        <f t="shared" si="3"/>
        <v>3.5179067118306766</v>
      </c>
      <c r="G5" s="1">
        <f t="shared" si="4"/>
        <v>3.3527890000000009</v>
      </c>
      <c r="H5" s="2">
        <f t="shared" si="0"/>
        <v>-1.6793880940176975E-2</v>
      </c>
      <c r="I5" s="2">
        <f>VLOOKUP(A5,[68]WRDS!$A$1:$O$100,10,FALSE)/100</f>
        <v>0.1133</v>
      </c>
      <c r="J5" s="2">
        <f>VLOOKUP(A5,[68]WRDS!$A$1:$O$100,9,FALSE)/100</f>
        <v>0.1</v>
      </c>
      <c r="K5" s="2">
        <f t="shared" si="1"/>
        <v>7.746504896848819</v>
      </c>
      <c r="L5" s="2">
        <f t="shared" si="2"/>
        <v>6.954549776565595</v>
      </c>
      <c r="M5">
        <f>VLOOKUP(A5,[68]WRDS!$A$1:$O$100,8,FALSE)</f>
        <v>3</v>
      </c>
      <c r="N5">
        <f>VLOOKUP(A5,[68]WRDS!$A$1:$O$100,11,FALSE)</f>
        <v>3.21</v>
      </c>
      <c r="P5" t="s">
        <v>22</v>
      </c>
      <c r="Q5" s="3">
        <f>AVERAGE(J2:J999)</f>
        <v>5.7958333333333334E-2</v>
      </c>
    </row>
    <row r="6" spans="1:17" x14ac:dyDescent="0.3">
      <c r="A6" t="s">
        <v>83</v>
      </c>
      <c r="B6" t="str">
        <f>VLOOKUP(A6,[67]WRDS!$A$1:$N$100,2,FALSE)</f>
        <v>BGE</v>
      </c>
      <c r="C6" t="str">
        <f>VLOOKUP(A6,[67]WRDS!$A$1:$N$100,3,FALSE)</f>
        <v>CONSTELLATION EN</v>
      </c>
      <c r="D6">
        <f>VLOOKUP(A6,[67]WRDS!$A$1:$N$100,13,FALSE)</f>
        <v>2.52</v>
      </c>
      <c r="E6">
        <f>VLOOKUP(A6,[51]WRDS!$A$1:$N$100,13,FALSE)</f>
        <v>3.61</v>
      </c>
      <c r="F6" s="1">
        <f t="shared" si="3"/>
        <v>3.4513455977802607</v>
      </c>
      <c r="G6" s="1">
        <f t="shared" si="4"/>
        <v>3.3032059452000002</v>
      </c>
      <c r="H6" s="2">
        <f t="shared" si="0"/>
        <v>9.4023536247074047E-2</v>
      </c>
      <c r="I6" s="2">
        <f>VLOOKUP(A6,[68]WRDS!$A$1:$O$100,10,FALSE)/100</f>
        <v>8.1799999999999998E-2</v>
      </c>
      <c r="J6" s="2">
        <f>VLOOKUP(A6,[68]WRDS!$A$1:$O$100,9,FALSE)/100</f>
        <v>7.0000000000000007E-2</v>
      </c>
      <c r="K6" s="2">
        <f t="shared" si="1"/>
        <v>-0.13000506825177444</v>
      </c>
      <c r="L6" s="2">
        <f t="shared" si="2"/>
        <v>-0.25550555962865773</v>
      </c>
      <c r="M6">
        <f>VLOOKUP(A6,[68]WRDS!$A$1:$O$100,8,FALSE)</f>
        <v>11</v>
      </c>
      <c r="N6">
        <f>VLOOKUP(A6,[68]WRDS!$A$1:$O$100,11,FALSE)</f>
        <v>4.42</v>
      </c>
      <c r="P6" t="s">
        <v>24</v>
      </c>
      <c r="Q6" s="3">
        <f>(Q5-Q2)/ABS(Q2)</f>
        <v>2.6434851314261416</v>
      </c>
    </row>
    <row r="7" spans="1:17" x14ac:dyDescent="0.3">
      <c r="A7" t="s">
        <v>88</v>
      </c>
      <c r="B7" t="str">
        <f>VLOOKUP(A7,[67]WRDS!$A$1:$N$100,2,FALSE)</f>
        <v>CIN</v>
      </c>
      <c r="C7" t="str">
        <f>VLOOKUP(A7,[67]WRDS!$A$1:$N$100,3,FALSE)</f>
        <v>CINERGY CORP</v>
      </c>
      <c r="D7">
        <f>VLOOKUP(A7,[67]WRDS!$A$1:$N$100,13,FALSE)</f>
        <v>2.68</v>
      </c>
      <c r="E7">
        <f>VLOOKUP(A7,[51]WRDS!$A$1:$N$100,13,FALSE)</f>
        <v>0.27389999999999998</v>
      </c>
      <c r="F7" s="1">
        <f t="shared" si="3"/>
        <v>3.2426905711631884</v>
      </c>
      <c r="G7" s="1">
        <f t="shared" si="4"/>
        <v>3.25755675</v>
      </c>
      <c r="H7" s="2">
        <f t="shared" si="0"/>
        <v>-0.43458892686407546</v>
      </c>
      <c r="I7" s="2">
        <f>VLOOKUP(A7,[68]WRDS!$A$1:$O$100,10,FALSE)/100</f>
        <v>4.8799999999999996E-2</v>
      </c>
      <c r="J7" s="2">
        <f>VLOOKUP(A7,[68]WRDS!$A$1:$O$100,9,FALSE)/100</f>
        <v>0.05</v>
      </c>
      <c r="K7" s="2">
        <f t="shared" si="1"/>
        <v>1.1122900216352336</v>
      </c>
      <c r="L7" s="2">
        <f t="shared" si="2"/>
        <v>1.1150512516754443</v>
      </c>
      <c r="M7">
        <f>VLOOKUP(A7,[68]WRDS!$A$1:$O$100,8,FALSE)</f>
        <v>12</v>
      </c>
      <c r="N7">
        <f>VLOOKUP(A7,[68]WRDS!$A$1:$O$100,11,FALSE)</f>
        <v>1.21</v>
      </c>
      <c r="P7" s="111" t="s">
        <v>26</v>
      </c>
      <c r="Q7" s="111"/>
    </row>
    <row r="8" spans="1:17" x14ac:dyDescent="0.3">
      <c r="A8" t="s">
        <v>21</v>
      </c>
      <c r="B8" t="str">
        <f>VLOOKUP(A8,[67]WRDS!$A$1:$N$100,2,FALSE)</f>
        <v>CMS</v>
      </c>
      <c r="C8" t="str">
        <f>VLOOKUP(A8,[67]WRDS!$A$1:$N$100,3,FALSE)</f>
        <v>CMS ENERGY CORP</v>
      </c>
      <c r="D8">
        <f>VLOOKUP(A8,[67]WRDS!$A$1:$N$100,13,FALSE)</f>
        <v>1.53</v>
      </c>
      <c r="E8">
        <f>VLOOKUP(A8,[51]WRDS!$A$1:$N$100,13,FALSE)</f>
        <v>1.1299999999999999</v>
      </c>
      <c r="F8" s="1">
        <f t="shared" si="3"/>
        <v>1.8597245625000001</v>
      </c>
      <c r="G8" s="1">
        <f t="shared" si="4"/>
        <v>1.7898835968000004</v>
      </c>
      <c r="H8" s="2">
        <f t="shared" si="0"/>
        <v>-7.2963672247421951E-2</v>
      </c>
      <c r="I8" s="2">
        <f>VLOOKUP(A8,[68]WRDS!$A$1:$O$100,10,FALSE)/100</f>
        <v>0.05</v>
      </c>
      <c r="J8" s="2">
        <f>VLOOKUP(A8,[68]WRDS!$A$1:$O$100,9,FALSE)/100</f>
        <v>0.04</v>
      </c>
      <c r="K8" s="2">
        <f t="shared" si="1"/>
        <v>1.6852725261750605</v>
      </c>
      <c r="L8" s="2">
        <f t="shared" si="2"/>
        <v>1.5482180209400487</v>
      </c>
      <c r="M8">
        <f>VLOOKUP(A8,[68]WRDS!$A$1:$O$100,8,FALSE)</f>
        <v>11</v>
      </c>
      <c r="N8">
        <f>VLOOKUP(A8,[68]WRDS!$A$1:$O$100,11,FALSE)</f>
        <v>2.37</v>
      </c>
      <c r="P8" t="s">
        <v>28</v>
      </c>
      <c r="Q8" s="2">
        <f>MEDIAN(H2:H99)</f>
        <v>2.6084767351192806E-2</v>
      </c>
    </row>
    <row r="9" spans="1:17" x14ac:dyDescent="0.3">
      <c r="A9" t="s">
        <v>71</v>
      </c>
      <c r="B9" t="str">
        <f>VLOOKUP(A9,[67]WRDS!$A$1:$N$100,2,FALSE)</f>
        <v>CNL</v>
      </c>
      <c r="C9" t="str">
        <f>VLOOKUP(A9,[67]WRDS!$A$1:$N$100,3,FALSE)</f>
        <v>CLECO CORP</v>
      </c>
      <c r="D9">
        <f>VLOOKUP(A9,[67]WRDS!$A$1:$N$100,13,FALSE)</f>
        <v>1.65</v>
      </c>
      <c r="E9">
        <f>VLOOKUP(A9,[51]WRDS!$A$1:$N$100,13,FALSE)</f>
        <v>1.36</v>
      </c>
      <c r="F9" s="1">
        <f t="shared" si="3"/>
        <v>2.2035240820312496</v>
      </c>
      <c r="G9" s="1">
        <f t="shared" si="4"/>
        <v>2.2035240820312496</v>
      </c>
      <c r="H9" s="2">
        <f t="shared" si="0"/>
        <v>-4.7173689112889994E-2</v>
      </c>
      <c r="I9" s="2">
        <f>VLOOKUP(A9,[68]WRDS!$A$1:$O$100,10,FALSE)/100</f>
        <v>7.4999999999999997E-2</v>
      </c>
      <c r="J9" s="2">
        <f>VLOOKUP(A9,[68]WRDS!$A$1:$O$100,9,FALSE)/100</f>
        <v>7.4999999999999997E-2</v>
      </c>
      <c r="K9" s="2">
        <f t="shared" si="1"/>
        <v>2.5898692981275997</v>
      </c>
      <c r="L9" s="2">
        <f t="shared" si="2"/>
        <v>2.5898692981275997</v>
      </c>
      <c r="M9">
        <f>VLOOKUP(A9,[68]WRDS!$A$1:$O$100,8,FALSE)</f>
        <v>2</v>
      </c>
      <c r="N9">
        <f>VLOOKUP(A9,[68]WRDS!$A$1:$O$100,11,FALSE)</f>
        <v>3.54</v>
      </c>
      <c r="P9" t="s">
        <v>30</v>
      </c>
      <c r="Q9" s="2">
        <f>MEDIAN(I2:I100)</f>
        <v>0.06</v>
      </c>
    </row>
    <row r="10" spans="1:17" x14ac:dyDescent="0.3">
      <c r="A10" t="s">
        <v>23</v>
      </c>
      <c r="B10" t="str">
        <f>VLOOKUP(A10,[67]WRDS!$A$1:$N$100,2,FALSE)</f>
        <v>HOU</v>
      </c>
      <c r="C10" t="str">
        <f>VLOOKUP(A10,[67]WRDS!$A$1:$N$100,3,FALSE)</f>
        <v>CENTERPOINT ENER</v>
      </c>
      <c r="D10">
        <f>VLOOKUP(A10,[67]WRDS!$A$1:$N$100,13,FALSE)</f>
        <v>1.29</v>
      </c>
      <c r="E10">
        <f>VLOOKUP(A10,[51]WRDS!$A$1:$N$100,13,FALSE)</f>
        <v>1.1100000000000001</v>
      </c>
      <c r="F10" s="1">
        <f t="shared" si="3"/>
        <v>1.6595415923062495</v>
      </c>
      <c r="G10" s="1">
        <f t="shared" si="4"/>
        <v>1.6285952784000004</v>
      </c>
      <c r="H10" s="2">
        <f t="shared" si="0"/>
        <v>-3.6873533982574314E-2</v>
      </c>
      <c r="I10" s="2">
        <f>VLOOKUP(A10,[68]WRDS!$A$1:$O$100,10,FALSE)/100</f>
        <v>6.5000000000000002E-2</v>
      </c>
      <c r="J10" s="2">
        <f>VLOOKUP(A10,[68]WRDS!$A$1:$O$100,9,FALSE)/100</f>
        <v>0.06</v>
      </c>
      <c r="K10" s="2">
        <f t="shared" si="1"/>
        <v>2.7627819462793473</v>
      </c>
      <c r="L10" s="2">
        <f t="shared" si="2"/>
        <v>2.6271833350270897</v>
      </c>
      <c r="M10">
        <f>VLOOKUP(A10,[68]WRDS!$A$1:$O$100,8,FALSE)</f>
        <v>10</v>
      </c>
      <c r="N10">
        <f>VLOOKUP(A10,[68]WRDS!$A$1:$O$100,11,FALSE)</f>
        <v>3.6</v>
      </c>
      <c r="P10" t="s">
        <v>32</v>
      </c>
      <c r="Q10" s="2">
        <f>(Q9-Q8)/ABS(Q8)</f>
        <v>1.3001930280684031</v>
      </c>
    </row>
    <row r="11" spans="1:17" x14ac:dyDescent="0.3">
      <c r="A11" t="s">
        <v>25</v>
      </c>
      <c r="B11" t="str">
        <f>VLOOKUP(A11,[67]WRDS!$A$1:$N$100,2,FALSE)</f>
        <v>D</v>
      </c>
      <c r="C11" t="str">
        <f>VLOOKUP(A11,[67]WRDS!$A$1:$N$100,3,FALSE)</f>
        <v>DOMINION RES INC</v>
      </c>
      <c r="D11">
        <f>VLOOKUP(A11,[67]WRDS!$A$1:$N$100,13,FALSE)</f>
        <v>2.415</v>
      </c>
      <c r="E11">
        <f>VLOOKUP(A11,[51]WRDS!$A$1:$N$100,13,FALSE)</f>
        <v>2.56</v>
      </c>
      <c r="F11" s="1">
        <f t="shared" si="3"/>
        <v>3.2564728817924551</v>
      </c>
      <c r="G11" s="1">
        <f t="shared" si="4"/>
        <v>3.16557236415</v>
      </c>
      <c r="H11" s="2">
        <f t="shared" si="0"/>
        <v>1.4683755334862436E-2</v>
      </c>
      <c r="I11" s="2">
        <f>VLOOKUP(A11,[68]WRDS!$A$1:$O$100,10,FALSE)/100</f>
        <v>7.7600000000000002E-2</v>
      </c>
      <c r="J11" s="2">
        <f>VLOOKUP(A11,[68]WRDS!$A$1:$O$100,9,FALSE)/100</f>
        <v>7.0000000000000007E-2</v>
      </c>
      <c r="K11" s="2">
        <f t="shared" si="1"/>
        <v>4.2847516340564926</v>
      </c>
      <c r="L11" s="2">
        <f t="shared" si="2"/>
        <v>3.7671728657726096</v>
      </c>
      <c r="M11">
        <f>VLOOKUP(A11,[68]WRDS!$A$1:$O$100,8,FALSE)</f>
        <v>17</v>
      </c>
      <c r="N11">
        <f>VLOOKUP(A11,[68]WRDS!$A$1:$O$100,11,FALSE)</f>
        <v>2.5499999999999998</v>
      </c>
      <c r="P11" t="s">
        <v>34</v>
      </c>
      <c r="Q11" s="2">
        <f>MEDIAN(J2:J99)</f>
        <v>0.06</v>
      </c>
    </row>
    <row r="12" spans="1:17" x14ac:dyDescent="0.3">
      <c r="A12" t="s">
        <v>86</v>
      </c>
      <c r="B12" t="str">
        <f>VLOOKUP(A12,[67]WRDS!$A$1:$N$100,2,FALSE)</f>
        <v>DPL</v>
      </c>
      <c r="C12" t="str">
        <f>VLOOKUP(A12,[67]WRDS!$A$1:$N$100,3,FALSE)</f>
        <v>DPL INC</v>
      </c>
      <c r="D12">
        <f>VLOOKUP(A12,[67]WRDS!$A$1:$N$100,13,FALSE)</f>
        <v>1.54</v>
      </c>
      <c r="E12">
        <f>VLOOKUP(A12,[51]WRDS!$A$1:$N$100,13,FALSE)</f>
        <v>1.35</v>
      </c>
      <c r="F12" s="1">
        <f t="shared" si="3"/>
        <v>2.0390780203984713</v>
      </c>
      <c r="G12" s="1">
        <f t="shared" si="4"/>
        <v>1.9442145184000006</v>
      </c>
      <c r="H12" s="2">
        <f t="shared" si="0"/>
        <v>-3.2383507840767045E-2</v>
      </c>
      <c r="I12" s="2">
        <f>VLOOKUP(A12,[68]WRDS!$A$1:$O$100,10,FALSE)/100</f>
        <v>7.2700000000000001E-2</v>
      </c>
      <c r="J12" s="2">
        <f>VLOOKUP(A12,[68]WRDS!$A$1:$O$100,9,FALSE)/100</f>
        <v>0.06</v>
      </c>
      <c r="K12" s="2">
        <f t="shared" si="1"/>
        <v>3.2449698889160863</v>
      </c>
      <c r="L12" s="2">
        <f t="shared" si="2"/>
        <v>2.8527949564644453</v>
      </c>
      <c r="M12">
        <f>VLOOKUP(A12,[68]WRDS!$A$1:$O$100,8,FALSE)</f>
        <v>11</v>
      </c>
      <c r="N12">
        <f>VLOOKUP(A12,[68]WRDS!$A$1:$O$100,11,FALSE)</f>
        <v>3.77</v>
      </c>
      <c r="P12" t="s">
        <v>32</v>
      </c>
      <c r="Q12" s="2">
        <f>(Q11-Q8)/ABS(Q8)</f>
        <v>1.3001930280684031</v>
      </c>
    </row>
    <row r="13" spans="1:17" x14ac:dyDescent="0.3">
      <c r="A13" t="s">
        <v>27</v>
      </c>
      <c r="B13" t="str">
        <f>VLOOKUP(A13,[67]WRDS!$A$1:$N$100,2,FALSE)</f>
        <v>DTE</v>
      </c>
      <c r="C13" t="str">
        <f>VLOOKUP(A13,[67]WRDS!$A$1:$N$100,3,FALSE)</f>
        <v>DTE ENERGY</v>
      </c>
      <c r="D13">
        <f>VLOOKUP(A13,[67]WRDS!$A$1:$N$100,13,FALSE)</f>
        <v>3.83</v>
      </c>
      <c r="E13">
        <f>VLOOKUP(A13,[51]WRDS!$A$1:$N$100,13,FALSE)</f>
        <v>2.91</v>
      </c>
      <c r="F13" s="1">
        <f t="shared" si="3"/>
        <v>4.979187034013127</v>
      </c>
      <c r="G13" s="1">
        <f t="shared" si="4"/>
        <v>5.0203487183000002</v>
      </c>
      <c r="H13" s="2">
        <f t="shared" si="0"/>
        <v>-6.6372675455137031E-2</v>
      </c>
      <c r="I13" s="2">
        <f>VLOOKUP(A13,[68]WRDS!$A$1:$O$100,10,FALSE)/100</f>
        <v>6.7799999999999999E-2</v>
      </c>
      <c r="J13" s="2">
        <f>VLOOKUP(A13,[68]WRDS!$A$1:$O$100,9,FALSE)/100</f>
        <v>7.0000000000000007E-2</v>
      </c>
      <c r="K13" s="2">
        <f t="shared" si="1"/>
        <v>2.0215047010697607</v>
      </c>
      <c r="L13" s="2">
        <f t="shared" si="2"/>
        <v>2.0546508713109626</v>
      </c>
      <c r="M13">
        <f>VLOOKUP(A13,[68]WRDS!$A$1:$O$100,8,FALSE)</f>
        <v>9</v>
      </c>
      <c r="N13">
        <f>VLOOKUP(A13,[68]WRDS!$A$1:$O$100,11,FALSE)</f>
        <v>1.0900000000000001</v>
      </c>
      <c r="P13" s="111" t="s">
        <v>37</v>
      </c>
      <c r="Q13" s="111"/>
    </row>
    <row r="14" spans="1:17" x14ac:dyDescent="0.3">
      <c r="A14" t="s">
        <v>29</v>
      </c>
      <c r="B14" t="str">
        <f>VLOOKUP(A14,[67]WRDS!$A$1:$N$100,2,FALSE)</f>
        <v>DUK</v>
      </c>
      <c r="C14" t="str">
        <f>VLOOKUP(A14,[67]WRDS!$A$1:$N$100,3,FALSE)</f>
        <v>DUKE ENERGY CORP</v>
      </c>
      <c r="D14">
        <f>VLOOKUP(A14,[67]WRDS!$A$1:$N$100,13,FALSE)</f>
        <v>5.64</v>
      </c>
      <c r="E14">
        <f>VLOOKUP(A14,[51]WRDS!$A$1:$N$100,13,FALSE)</f>
        <v>5.43</v>
      </c>
      <c r="F14" s="1">
        <f t="shared" si="3"/>
        <v>7.673157734400001</v>
      </c>
      <c r="G14" s="1">
        <f t="shared" si="4"/>
        <v>7.673157734400001</v>
      </c>
      <c r="H14" s="2">
        <f t="shared" si="0"/>
        <v>-9.4413805225163072E-3</v>
      </c>
      <c r="I14" s="2">
        <f>VLOOKUP(A14,[68]WRDS!$A$1:$O$100,10,FALSE)/100</f>
        <v>0.08</v>
      </c>
      <c r="J14" s="2">
        <f>VLOOKUP(A14,[68]WRDS!$A$1:$O$100,9,FALSE)/100</f>
        <v>0.08</v>
      </c>
      <c r="K14" s="2">
        <f t="shared" si="1"/>
        <v>9.4733371151826518</v>
      </c>
      <c r="L14" s="2">
        <f t="shared" si="2"/>
        <v>9.4733371151826518</v>
      </c>
      <c r="M14">
        <f>VLOOKUP(A14,[68]WRDS!$A$1:$O$100,8,FALSE)</f>
        <v>17</v>
      </c>
      <c r="N14">
        <f>VLOOKUP(A14,[68]WRDS!$A$1:$O$100,11,FALSE)</f>
        <v>4.2699999999999996</v>
      </c>
      <c r="P14" t="s">
        <v>39</v>
      </c>
      <c r="Q14" s="1">
        <f>AVERAGE(M2:M1002)</f>
        <v>7.3</v>
      </c>
    </row>
    <row r="15" spans="1:17" x14ac:dyDescent="0.3">
      <c r="A15" t="s">
        <v>93</v>
      </c>
      <c r="B15" t="str">
        <f>VLOOKUP(A15,[67]WRDS!$A$1:$N$100,2,FALSE)</f>
        <v>NGE</v>
      </c>
      <c r="C15" t="str">
        <f>VLOOKUP(A15,[67]WRDS!$A$1:$N$100,3,FALSE)</f>
        <v>ENERGY EAST CORP</v>
      </c>
      <c r="D15">
        <f>VLOOKUP(A15,[67]WRDS!$A$1:$N$100,13,FALSE)</f>
        <v>1.69</v>
      </c>
      <c r="E15">
        <f>VLOOKUP(A15,[51]WRDS!$A$1:$N$100,13,FALSE)</f>
        <v>1.76</v>
      </c>
      <c r="F15" s="1">
        <f t="shared" si="3"/>
        <v>2.1831243718128408</v>
      </c>
      <c r="G15" s="1">
        <f t="shared" si="4"/>
        <v>2.1335860624000005</v>
      </c>
      <c r="H15" s="2">
        <f t="shared" si="0"/>
        <v>1.0197968466562068E-2</v>
      </c>
      <c r="I15" s="2">
        <f>VLOOKUP(A15,[68]WRDS!$A$1:$O$100,10,FALSE)/100</f>
        <v>6.6100000000000006E-2</v>
      </c>
      <c r="J15" s="2">
        <f>VLOOKUP(A15,[68]WRDS!$A$1:$O$100,9,FALSE)/100</f>
        <v>0.06</v>
      </c>
      <c r="K15" s="2">
        <f t="shared" si="1"/>
        <v>5.4816831133312567</v>
      </c>
      <c r="L15" s="2">
        <f t="shared" si="2"/>
        <v>4.8835247624792029</v>
      </c>
      <c r="M15">
        <f>VLOOKUP(A15,[68]WRDS!$A$1:$O$100,8,FALSE)</f>
        <v>7</v>
      </c>
      <c r="N15">
        <f>VLOOKUP(A15,[68]WRDS!$A$1:$O$100,11,FALSE)</f>
        <v>2.72</v>
      </c>
      <c r="P15" t="s">
        <v>41</v>
      </c>
      <c r="Q15" s="1">
        <f>COUNT(N2:N1002)</f>
        <v>60</v>
      </c>
    </row>
    <row r="16" spans="1:17" x14ac:dyDescent="0.3">
      <c r="A16" t="s">
        <v>31</v>
      </c>
      <c r="B16" t="str">
        <f>VLOOKUP(A16,[67]WRDS!$A$1:$N$100,2,FALSE)</f>
        <v>ED</v>
      </c>
      <c r="C16" t="str">
        <f>VLOOKUP(A16,[67]WRDS!$A$1:$N$100,3,FALSE)</f>
        <v>CONS EDISON INC</v>
      </c>
      <c r="D16">
        <f>VLOOKUP(A16,[67]WRDS!$A$1:$N$100,13,FALSE)</f>
        <v>3.13</v>
      </c>
      <c r="E16">
        <f>VLOOKUP(A16,[51]WRDS!$A$1:$N$100,13,FALSE)</f>
        <v>2.95</v>
      </c>
      <c r="F16" s="1">
        <f t="shared" si="3"/>
        <v>3.6167983146341482</v>
      </c>
      <c r="G16" s="1">
        <f t="shared" si="4"/>
        <v>3.6616572928000006</v>
      </c>
      <c r="H16" s="2">
        <f t="shared" si="0"/>
        <v>-1.4697874603506023E-2</v>
      </c>
      <c r="I16" s="2">
        <f>VLOOKUP(A16,[68]WRDS!$A$1:$O$100,10,FALSE)/100</f>
        <v>3.6799999999999999E-2</v>
      </c>
      <c r="J16" s="2">
        <f>VLOOKUP(A16,[68]WRDS!$A$1:$O$100,9,FALSE)/100</f>
        <v>0.04</v>
      </c>
      <c r="K16" s="2">
        <f t="shared" si="1"/>
        <v>3.5037633666585881</v>
      </c>
      <c r="L16" s="2">
        <f t="shared" si="2"/>
        <v>3.7214819202810743</v>
      </c>
      <c r="M16">
        <f>VLOOKUP(A16,[68]WRDS!$A$1:$O$100,8,FALSE)</f>
        <v>9</v>
      </c>
      <c r="N16">
        <f>VLOOKUP(A16,[68]WRDS!$A$1:$O$100,11,FALSE)</f>
        <v>1.1599999999999999</v>
      </c>
    </row>
    <row r="17" spans="1:14" x14ac:dyDescent="0.3">
      <c r="A17" t="s">
        <v>72</v>
      </c>
      <c r="B17" t="str">
        <f>VLOOKUP(A17,[67]WRDS!$A$1:$N$100,2,FALSE)</f>
        <v>EDE</v>
      </c>
      <c r="C17" t="str">
        <f>VLOOKUP(A17,[67]WRDS!$A$1:$N$100,3,FALSE)</f>
        <v>EMPIRE DIST ELEC</v>
      </c>
      <c r="D17">
        <f>VLOOKUP(A17,[67]WRDS!$A$1:$N$100,13,FALSE)</f>
        <v>1.19</v>
      </c>
      <c r="E17">
        <f>VLOOKUP(A17,[51]WRDS!$A$1:$N$100,13,FALSE)</f>
        <v>1.39</v>
      </c>
      <c r="F17" s="1">
        <f t="shared" si="3"/>
        <v>1.4837262869579573</v>
      </c>
      <c r="G17" s="1">
        <f t="shared" si="4"/>
        <v>1.3921316864000002</v>
      </c>
      <c r="H17" s="2">
        <f t="shared" si="0"/>
        <v>3.9601649035196251E-2</v>
      </c>
      <c r="I17" s="2">
        <f>VLOOKUP(A17,[68]WRDS!$A$1:$O$100,10,FALSE)/100</f>
        <v>5.67E-2</v>
      </c>
      <c r="J17" s="2">
        <f>VLOOKUP(A17,[68]WRDS!$A$1:$O$100,9,FALSE)/100</f>
        <v>0.04</v>
      </c>
      <c r="K17" s="2">
        <f t="shared" si="1"/>
        <v>0.43175856009449165</v>
      </c>
      <c r="L17" s="2">
        <f t="shared" si="2"/>
        <v>1.0058948920276329E-2</v>
      </c>
      <c r="M17">
        <f>VLOOKUP(A17,[68]WRDS!$A$1:$O$100,8,FALSE)</f>
        <v>3</v>
      </c>
      <c r="N17">
        <f>VLOOKUP(A17,[68]WRDS!$A$1:$O$100,11,FALSE)</f>
        <v>3.79</v>
      </c>
    </row>
    <row r="18" spans="1:14" x14ac:dyDescent="0.3">
      <c r="A18" t="s">
        <v>33</v>
      </c>
      <c r="B18" t="str">
        <f>VLOOKUP(A18,[67]WRDS!$A$1:$N$100,2,FALSE)</f>
        <v>SCE</v>
      </c>
      <c r="C18" t="str">
        <f>VLOOKUP(A18,[67]WRDS!$A$1:$N$100,3,FALSE)</f>
        <v>EDISON INTL</v>
      </c>
      <c r="D18">
        <f>VLOOKUP(A18,[67]WRDS!$A$1:$N$100,13,FALSE)</f>
        <v>2.08</v>
      </c>
      <c r="E18">
        <f>VLOOKUP(A18,[51]WRDS!$A$1:$N$100,13,FALSE)</f>
        <v>3.07</v>
      </c>
      <c r="F18" s="1">
        <f t="shared" si="3"/>
        <v>2.7953885836172447</v>
      </c>
      <c r="G18" s="1">
        <f t="shared" si="4"/>
        <v>2.8298170368000006</v>
      </c>
      <c r="H18" s="2">
        <f t="shared" si="0"/>
        <v>0.1022212004747185</v>
      </c>
      <c r="I18" s="2">
        <f>VLOOKUP(A18,[68]WRDS!$A$1:$O$100,10,FALSE)/100</f>
        <v>7.6700000000000004E-2</v>
      </c>
      <c r="J18" s="2">
        <f>VLOOKUP(A18,[68]WRDS!$A$1:$O$100,9,FALSE)/100</f>
        <v>0.08</v>
      </c>
      <c r="K18" s="2">
        <f t="shared" si="1"/>
        <v>-0.2496664131921483</v>
      </c>
      <c r="L18" s="2">
        <f t="shared" si="2"/>
        <v>-0.21738348181710385</v>
      </c>
      <c r="M18">
        <f>VLOOKUP(A18,[68]WRDS!$A$1:$O$100,8,FALSE)</f>
        <v>9</v>
      </c>
      <c r="N18">
        <f>VLOOKUP(A18,[68]WRDS!$A$1:$O$100,11,FALSE)</f>
        <v>2.65</v>
      </c>
    </row>
    <row r="19" spans="1:14" x14ac:dyDescent="0.3">
      <c r="A19" t="s">
        <v>59</v>
      </c>
      <c r="B19" t="str">
        <f>VLOOKUP(A19,[67]WRDS!$A$1:$N$100,2,FALSE)</f>
        <v>MSU</v>
      </c>
      <c r="C19" t="str">
        <f>VLOOKUP(A19,[67]WRDS!$A$1:$N$100,3,FALSE)</f>
        <v>ENTERGY CP</v>
      </c>
      <c r="D19">
        <f>VLOOKUP(A19,[67]WRDS!$A$1:$N$100,13,FALSE)</f>
        <v>3.81</v>
      </c>
      <c r="E19">
        <f>VLOOKUP(A19,[51]WRDS!$A$1:$N$100,13,FALSE)</f>
        <v>4.72</v>
      </c>
      <c r="F19" s="1">
        <f t="shared" si="3"/>
        <v>5.2277596150418661</v>
      </c>
      <c r="G19" s="1">
        <f t="shared" si="4"/>
        <v>5.1834629376000017</v>
      </c>
      <c r="H19" s="2">
        <f t="shared" si="0"/>
        <v>5.500436315847379E-2</v>
      </c>
      <c r="I19" s="2">
        <f>VLOOKUP(A19,[68]WRDS!$A$1:$O$100,10,FALSE)/100</f>
        <v>8.2299999999999998E-2</v>
      </c>
      <c r="J19" s="2">
        <f>VLOOKUP(A19,[68]WRDS!$A$1:$O$100,9,FALSE)/100</f>
        <v>0.08</v>
      </c>
      <c r="K19" s="2">
        <f t="shared" si="1"/>
        <v>0.49624493902209887</v>
      </c>
      <c r="L19" s="2">
        <f t="shared" si="2"/>
        <v>0.45443007438357125</v>
      </c>
      <c r="M19">
        <f>VLOOKUP(A19,[68]WRDS!$A$1:$O$100,8,FALSE)</f>
        <v>13</v>
      </c>
      <c r="N19">
        <f>VLOOKUP(A19,[68]WRDS!$A$1:$O$100,11,FALSE)</f>
        <v>3.3</v>
      </c>
    </row>
    <row r="20" spans="1:14" x14ac:dyDescent="0.3">
      <c r="A20" t="s">
        <v>35</v>
      </c>
      <c r="B20" t="str">
        <f>VLOOKUP(A20,[67]WRDS!$A$1:$N$100,2,FALSE)</f>
        <v>PE</v>
      </c>
      <c r="C20" t="str">
        <f>VLOOKUP(A20,[67]WRDS!$A$1:$N$100,3,FALSE)</f>
        <v>EXELON CORP</v>
      </c>
      <c r="D20">
        <f>VLOOKUP(A20,[67]WRDS!$A$1:$N$100,13,FALSE)</f>
        <v>2.415</v>
      </c>
      <c r="E20">
        <f>VLOOKUP(A20,[51]WRDS!$A$1:$N$100,13,FALSE)</f>
        <v>3.22</v>
      </c>
      <c r="F20" s="1">
        <f t="shared" si="3"/>
        <v>3.0442823768749681</v>
      </c>
      <c r="G20" s="1">
        <f t="shared" si="4"/>
        <v>2.9354475937500002</v>
      </c>
      <c r="H20" s="2">
        <f t="shared" si="0"/>
        <v>7.4569931823541991E-2</v>
      </c>
      <c r="I20" s="2">
        <f>VLOOKUP(A20,[68]WRDS!$A$1:$O$100,10,FALSE)/100</f>
        <v>5.96E-2</v>
      </c>
      <c r="J20" s="2">
        <f>VLOOKUP(A20,[68]WRDS!$A$1:$O$100,9,FALSE)/100</f>
        <v>0.05</v>
      </c>
      <c r="K20" s="2">
        <f t="shared" si="1"/>
        <v>-0.20075024151780074</v>
      </c>
      <c r="L20" s="2">
        <f t="shared" si="2"/>
        <v>-0.32948845764916168</v>
      </c>
      <c r="M20">
        <f>VLOOKUP(A20,[68]WRDS!$A$1:$O$100,8,FALSE)</f>
        <v>13</v>
      </c>
      <c r="N20">
        <f>VLOOKUP(A20,[68]WRDS!$A$1:$O$100,11,FALSE)</f>
        <v>1.45</v>
      </c>
    </row>
    <row r="21" spans="1:14" x14ac:dyDescent="0.3">
      <c r="A21" t="s">
        <v>67</v>
      </c>
      <c r="B21" t="str">
        <f>VLOOKUP(A21,[67]WRDS!$A$1:$N$100,2,FALSE)</f>
        <v>OEC</v>
      </c>
      <c r="C21" t="str">
        <f>VLOOKUP(A21,[67]WRDS!$A$1:$N$100,3,FALSE)</f>
        <v>FIRSTENERGY CORP</v>
      </c>
      <c r="D21">
        <f>VLOOKUP(A21,[67]WRDS!$A$1:$N$100,13,FALSE)</f>
        <v>2.95</v>
      </c>
      <c r="E21">
        <f>VLOOKUP(A21,[51]WRDS!$A$1:$N$100,13,FALSE)</f>
        <v>3.88</v>
      </c>
      <c r="F21" s="1">
        <f t="shared" si="3"/>
        <v>3.8079204299083549</v>
      </c>
      <c r="G21" s="1">
        <f t="shared" si="4"/>
        <v>3.8668482295000004</v>
      </c>
      <c r="H21" s="2">
        <f t="shared" si="0"/>
        <v>7.0908652260312177E-2</v>
      </c>
      <c r="I21" s="2">
        <f>VLOOKUP(A21,[68]WRDS!$A$1:$O$100,10,FALSE)/100</f>
        <v>6.59E-2</v>
      </c>
      <c r="J21" s="2">
        <f>VLOOKUP(A21,[68]WRDS!$A$1:$O$100,9,FALSE)/100</f>
        <v>7.0000000000000007E-2</v>
      </c>
      <c r="K21" s="2">
        <f t="shared" si="1"/>
        <v>-7.0635276523448143E-2</v>
      </c>
      <c r="L21" s="2">
        <f t="shared" si="2"/>
        <v>-1.2814406018837089E-2</v>
      </c>
      <c r="M21">
        <f>VLOOKUP(A21,[68]WRDS!$A$1:$O$100,8,FALSE)</f>
        <v>10</v>
      </c>
      <c r="N21">
        <f>VLOOKUP(A21,[68]WRDS!$A$1:$O$100,11,FALSE)</f>
        <v>0.95</v>
      </c>
    </row>
    <row r="22" spans="1:14" x14ac:dyDescent="0.3">
      <c r="A22" t="s">
        <v>89</v>
      </c>
      <c r="B22" t="str">
        <f>VLOOKUP(A22,[67]WRDS!$A$1:$N$100,2,FALSE)</f>
        <v>FPL</v>
      </c>
      <c r="C22" t="str">
        <f>VLOOKUP(A22,[67]WRDS!$A$1:$N$100,3,FALSE)</f>
        <v>FPL GROUP</v>
      </c>
      <c r="D22">
        <f>VLOOKUP(A22,[67]WRDS!$A$1:$N$100,13,FALSE)</f>
        <v>0.6</v>
      </c>
      <c r="E22">
        <f>VLOOKUP(A22,[51]WRDS!$A$1:$N$100,13,FALSE)</f>
        <v>0.76</v>
      </c>
      <c r="F22" s="1">
        <f t="shared" si="3"/>
        <v>0.7560579677220377</v>
      </c>
      <c r="G22" s="1">
        <f t="shared" si="4"/>
        <v>0.75748617600000012</v>
      </c>
      <c r="H22" s="2">
        <f t="shared" si="0"/>
        <v>6.0878347286942969E-2</v>
      </c>
      <c r="I22" s="2">
        <f>VLOOKUP(A22,[68]WRDS!$A$1:$O$100,10,FALSE)/100</f>
        <v>5.9500000000000004E-2</v>
      </c>
      <c r="J22" s="2">
        <f>VLOOKUP(A22,[68]WRDS!$A$1:$O$100,9,FALSE)/100</f>
        <v>0.06</v>
      </c>
      <c r="K22" s="2">
        <f t="shared" si="1"/>
        <v>-2.2641010283118983E-2</v>
      </c>
      <c r="L22" s="2">
        <f t="shared" si="2"/>
        <v>-1.4427909529195721E-2</v>
      </c>
      <c r="M22">
        <f>VLOOKUP(A22,[68]WRDS!$A$1:$O$100,8,FALSE)</f>
        <v>17</v>
      </c>
      <c r="N22">
        <f>VLOOKUP(A22,[68]WRDS!$A$1:$O$100,11,FALSE)</f>
        <v>0.9</v>
      </c>
    </row>
    <row r="23" spans="1:14" x14ac:dyDescent="0.3">
      <c r="A23" t="s">
        <v>68</v>
      </c>
      <c r="B23" t="str">
        <f>VLOOKUP(A23,[67]WRDS!$A$1:$N$100,2,FALSE)</f>
        <v>KLT</v>
      </c>
      <c r="C23" t="str">
        <f>VLOOKUP(A23,[67]WRDS!$A$1:$N$100,3,FALSE)</f>
        <v>GREAT PLAINS</v>
      </c>
      <c r="D23">
        <f>VLOOKUP(A23,[67]WRDS!$A$1:$N$100,13,FALSE)</f>
        <v>1.99</v>
      </c>
      <c r="E23">
        <f>VLOOKUP(A23,[51]WRDS!$A$1:$N$100,13,FALSE)</f>
        <v>2</v>
      </c>
      <c r="F23" s="1">
        <f t="shared" si="3"/>
        <v>2.3885919982010519</v>
      </c>
      <c r="G23" s="1">
        <f t="shared" si="4"/>
        <v>2.4188574374999998</v>
      </c>
      <c r="H23" s="2">
        <f t="shared" si="0"/>
        <v>1.2539209582007604E-3</v>
      </c>
      <c r="I23" s="2">
        <f>VLOOKUP(A23,[68]WRDS!$A$1:$O$100,10,FALSE)/100</f>
        <v>4.6699999999999998E-2</v>
      </c>
      <c r="J23" s="2">
        <f>VLOOKUP(A23,[68]WRDS!$A$1:$O$100,9,FALSE)/100</f>
        <v>0.05</v>
      </c>
      <c r="K23" s="2">
        <f t="shared" si="1"/>
        <v>36.243176848251579</v>
      </c>
      <c r="L23" s="2">
        <f t="shared" si="2"/>
        <v>38.874921679070219</v>
      </c>
      <c r="M23">
        <f>VLOOKUP(A23,[68]WRDS!$A$1:$O$100,8,FALSE)</f>
        <v>3</v>
      </c>
      <c r="N23">
        <f>VLOOKUP(A23,[68]WRDS!$A$1:$O$100,11,FALSE)</f>
        <v>0.57999999999999996</v>
      </c>
    </row>
    <row r="24" spans="1:14" x14ac:dyDescent="0.3">
      <c r="A24" t="s">
        <v>36</v>
      </c>
      <c r="B24" t="str">
        <f>VLOOKUP(A24,[67]WRDS!$A$1:$N$100,2,FALSE)</f>
        <v>HE</v>
      </c>
      <c r="C24" t="str">
        <f>VLOOKUP(A24,[67]WRDS!$A$1:$N$100,3,FALSE)</f>
        <v>HAWAIIAN ELEC</v>
      </c>
      <c r="D24">
        <f>VLOOKUP(A24,[67]WRDS!$A$1:$N$100,13,FALSE)</f>
        <v>1.605</v>
      </c>
      <c r="E24">
        <f>VLOOKUP(A24,[51]WRDS!$A$1:$N$100,13,FALSE)</f>
        <v>1.33</v>
      </c>
      <c r="F24" s="1">
        <f t="shared" si="3"/>
        <v>1.8155788199536971</v>
      </c>
      <c r="G24" s="1">
        <f t="shared" si="4"/>
        <v>1.7543987266564449</v>
      </c>
      <c r="H24" s="2">
        <f t="shared" si="0"/>
        <v>-4.5899439335127745E-2</v>
      </c>
      <c r="I24" s="2">
        <f>VLOOKUP(A24,[68]WRDS!$A$1:$O$100,10,FALSE)/100</f>
        <v>3.1300000000000001E-2</v>
      </c>
      <c r="J24" s="2">
        <f>VLOOKUP(A24,[68]WRDS!$A$1:$O$100,9,FALSE)/100</f>
        <v>2.2499999999999999E-2</v>
      </c>
      <c r="K24" s="2">
        <f t="shared" si="1"/>
        <v>1.6819255409955627</v>
      </c>
      <c r="L24" s="2">
        <f t="shared" si="2"/>
        <v>1.4902020662108677</v>
      </c>
      <c r="M24">
        <f>VLOOKUP(A24,[68]WRDS!$A$1:$O$100,8,FALSE)</f>
        <v>4</v>
      </c>
      <c r="N24">
        <f>VLOOKUP(A24,[68]WRDS!$A$1:$O$100,11,FALSE)</f>
        <v>1.93</v>
      </c>
    </row>
    <row r="25" spans="1:14" x14ac:dyDescent="0.3">
      <c r="A25" t="s">
        <v>38</v>
      </c>
      <c r="B25" t="str">
        <f>VLOOKUP(A25,[67]WRDS!$A$1:$N$100,2,FALSE)</f>
        <v>IDA</v>
      </c>
      <c r="C25" t="str">
        <f>VLOOKUP(A25,[67]WRDS!$A$1:$N$100,3,FALSE)</f>
        <v>IDACORP INC.</v>
      </c>
      <c r="D25">
        <f>VLOOKUP(A25,[67]WRDS!$A$1:$N$100,13,FALSE)</f>
        <v>0.94</v>
      </c>
      <c r="E25">
        <f>VLOOKUP(A25,[51]WRDS!$A$1:$N$100,13,FALSE)</f>
        <v>2.15</v>
      </c>
      <c r="F25" s="1">
        <f t="shared" si="3"/>
        <v>1.2788596224000002</v>
      </c>
      <c r="G25" s="1">
        <f t="shared" si="4"/>
        <v>1.2788596224000002</v>
      </c>
      <c r="H25" s="2">
        <f t="shared" si="0"/>
        <v>0.22978063932144766</v>
      </c>
      <c r="I25" s="2">
        <f>VLOOKUP(A25,[68]WRDS!$A$1:$O$100,10,FALSE)/100</f>
        <v>0.08</v>
      </c>
      <c r="J25" s="2">
        <f>VLOOKUP(A25,[68]WRDS!$A$1:$O$100,9,FALSE)/100</f>
        <v>0.08</v>
      </c>
      <c r="K25" s="2">
        <f t="shared" si="1"/>
        <v>-0.65184185997461086</v>
      </c>
      <c r="L25" s="2">
        <f t="shared" si="2"/>
        <v>-0.65184185997461086</v>
      </c>
      <c r="M25">
        <f>VLOOKUP(A25,[68]WRDS!$A$1:$O$100,8,FALSE)</f>
        <v>3</v>
      </c>
      <c r="N25">
        <f>VLOOKUP(A25,[68]WRDS!$A$1:$O$100,11,FALSE)</f>
        <v>0</v>
      </c>
    </row>
    <row r="26" spans="1:14" x14ac:dyDescent="0.3">
      <c r="A26" t="s">
        <v>40</v>
      </c>
      <c r="B26" t="str">
        <f>VLOOKUP(A26,[67]WRDS!$A$1:$N$100,2,FALSE)</f>
        <v>WPL</v>
      </c>
      <c r="C26" t="str">
        <f>VLOOKUP(A26,[67]WRDS!$A$1:$N$100,3,FALSE)</f>
        <v>ALLIANT ENER</v>
      </c>
      <c r="D26">
        <f>VLOOKUP(A26,[67]WRDS!$A$1:$N$100,13,FALSE)</f>
        <v>0.71</v>
      </c>
      <c r="E26">
        <f>VLOOKUP(A26,[51]WRDS!$A$1:$N$100,13,FALSE)</f>
        <v>1.0900000000000001</v>
      </c>
      <c r="F26" s="1">
        <f t="shared" si="3"/>
        <v>0.84668820644374954</v>
      </c>
      <c r="G26" s="1">
        <f t="shared" si="4"/>
        <v>0.84668820644374954</v>
      </c>
      <c r="H26" s="2">
        <f t="shared" si="0"/>
        <v>0.11312013146366828</v>
      </c>
      <c r="I26" s="2">
        <f>VLOOKUP(A26,[68]WRDS!$A$1:$O$100,10,FALSE)/100</f>
        <v>4.4999999999999998E-2</v>
      </c>
      <c r="J26" s="2">
        <f>VLOOKUP(A26,[68]WRDS!$A$1:$O$100,9,FALSE)/100</f>
        <v>4.4999999999999998E-2</v>
      </c>
      <c r="K26" s="2">
        <f t="shared" si="1"/>
        <v>-0.60219282440939337</v>
      </c>
      <c r="L26" s="2">
        <f t="shared" si="2"/>
        <v>-0.60219282440939337</v>
      </c>
      <c r="M26">
        <f>VLOOKUP(A26,[68]WRDS!$A$1:$O$100,8,FALSE)</f>
        <v>5</v>
      </c>
      <c r="N26">
        <f>VLOOKUP(A26,[68]WRDS!$A$1:$O$100,11,FALSE)</f>
        <v>1.5</v>
      </c>
    </row>
    <row r="27" spans="1:14" x14ac:dyDescent="0.3">
      <c r="A27" t="s">
        <v>60</v>
      </c>
      <c r="B27" t="str">
        <f>VLOOKUP(A27,[67]WRDS!$A$1:$N$100,2,FALSE)</f>
        <v>BSE</v>
      </c>
      <c r="C27" t="str">
        <f>VLOOKUP(A27,[67]WRDS!$A$1:$N$100,3,FALSE)</f>
        <v>NSTAR</v>
      </c>
      <c r="D27">
        <f>VLOOKUP(A27,[67]WRDS!$A$1:$N$100,13,FALSE)</f>
        <v>1.6850000000000001</v>
      </c>
      <c r="E27">
        <f>VLOOKUP(A27,[51]WRDS!$A$1:$N$100,13,FALSE)</f>
        <v>1.93</v>
      </c>
      <c r="F27" s="1">
        <f t="shared" si="3"/>
        <v>2.1474134063720705</v>
      </c>
      <c r="G27" s="1">
        <f t="shared" si="4"/>
        <v>2.1676958008031244</v>
      </c>
      <c r="H27" s="2">
        <f t="shared" si="0"/>
        <v>3.4521095299064664E-2</v>
      </c>
      <c r="I27" s="2">
        <f>VLOOKUP(A27,[68]WRDS!$A$1:$O$100,10,FALSE)/100</f>
        <v>6.25E-2</v>
      </c>
      <c r="J27" s="2">
        <f>VLOOKUP(A27,[68]WRDS!$A$1:$O$100,9,FALSE)/100</f>
        <v>6.5000000000000002E-2</v>
      </c>
      <c r="K27" s="2">
        <f t="shared" si="1"/>
        <v>0.81048716613848037</v>
      </c>
      <c r="L27" s="2">
        <f t="shared" si="2"/>
        <v>0.8829066527840197</v>
      </c>
      <c r="M27">
        <f>VLOOKUP(A27,[68]WRDS!$A$1:$O$100,8,FALSE)</f>
        <v>4</v>
      </c>
      <c r="N27">
        <f>VLOOKUP(A27,[68]WRDS!$A$1:$O$100,11,FALSE)</f>
        <v>0.96</v>
      </c>
    </row>
    <row r="28" spans="1:14" x14ac:dyDescent="0.3">
      <c r="A28" t="s">
        <v>78</v>
      </c>
      <c r="B28" t="str">
        <f>VLOOKUP(A28,[67]WRDS!$A$1:$N$100,2,FALSE)</f>
        <v>NU</v>
      </c>
      <c r="C28" t="str">
        <f>VLOOKUP(A28,[67]WRDS!$A$1:$N$100,3,FALSE)</f>
        <v>NORTHEAST UTILS</v>
      </c>
      <c r="D28">
        <f>VLOOKUP(A28,[67]WRDS!$A$1:$N$100,13,FALSE)</f>
        <v>1.08</v>
      </c>
      <c r="E28">
        <f>VLOOKUP(A28,[51]WRDS!$A$1:$N$100,13,FALSE)</f>
        <v>1.1599999999999999</v>
      </c>
      <c r="F28" s="1">
        <f t="shared" si="3"/>
        <v>1.3465751175752891</v>
      </c>
      <c r="G28" s="1">
        <f t="shared" si="4"/>
        <v>1.2634472448000003</v>
      </c>
      <c r="H28" s="2">
        <f t="shared" si="0"/>
        <v>1.8025269992450355E-2</v>
      </c>
      <c r="I28" s="2">
        <f>VLOOKUP(A28,[68]WRDS!$A$1:$O$100,10,FALSE)/100</f>
        <v>5.67E-2</v>
      </c>
      <c r="J28" s="2">
        <f>VLOOKUP(A28,[68]WRDS!$A$1:$O$100,9,FALSE)/100</f>
        <v>0.04</v>
      </c>
      <c r="K28" s="2">
        <f t="shared" si="1"/>
        <v>2.1455839509615138</v>
      </c>
      <c r="L28" s="2">
        <f t="shared" si="2"/>
        <v>1.2191068437118262</v>
      </c>
      <c r="M28">
        <f>VLOOKUP(A28,[68]WRDS!$A$1:$O$100,8,FALSE)</f>
        <v>6</v>
      </c>
      <c r="N28">
        <f>VLOOKUP(A28,[68]WRDS!$A$1:$O$100,11,FALSE)</f>
        <v>4.8</v>
      </c>
    </row>
    <row r="29" spans="1:14" x14ac:dyDescent="0.3">
      <c r="A29" t="s">
        <v>44</v>
      </c>
      <c r="B29" t="str">
        <f>VLOOKUP(A29,[67]WRDS!$A$1:$N$100,2,FALSE)</f>
        <v>OGE</v>
      </c>
      <c r="C29" t="str">
        <f>VLOOKUP(A29,[67]WRDS!$A$1:$N$100,3,FALSE)</f>
        <v>OGE ENERGY CORP</v>
      </c>
      <c r="D29">
        <f>VLOOKUP(A29,[67]WRDS!$A$1:$N$100,13,FALSE)</f>
        <v>0.76</v>
      </c>
      <c r="E29">
        <f>VLOOKUP(A29,[51]WRDS!$A$1:$N$100,13,FALSE)</f>
        <v>1.2250000000000001</v>
      </c>
      <c r="F29" s="1">
        <f t="shared" si="3"/>
        <v>0.89767234702968735</v>
      </c>
      <c r="G29" s="1">
        <f t="shared" si="4"/>
        <v>0.90631413647499959</v>
      </c>
      <c r="H29" s="2">
        <f t="shared" si="0"/>
        <v>0.12675793216312448</v>
      </c>
      <c r="I29" s="2">
        <f>VLOOKUP(A29,[68]WRDS!$A$1:$O$100,10,FALSE)/100</f>
        <v>4.2500000000000003E-2</v>
      </c>
      <c r="J29" s="2">
        <f>VLOOKUP(A29,[68]WRDS!$A$1:$O$100,9,FALSE)/100</f>
        <v>4.4999999999999998E-2</v>
      </c>
      <c r="K29" s="2">
        <f t="shared" si="1"/>
        <v>-0.66471526258958802</v>
      </c>
      <c r="L29" s="2">
        <f t="shared" si="2"/>
        <v>-0.64499263097721093</v>
      </c>
      <c r="M29">
        <f>VLOOKUP(A29,[68]WRDS!$A$1:$O$100,8,FALSE)</f>
        <v>4</v>
      </c>
      <c r="N29">
        <f>VLOOKUP(A29,[68]WRDS!$A$1:$O$100,11,FALSE)</f>
        <v>0.96</v>
      </c>
    </row>
    <row r="30" spans="1:14" x14ac:dyDescent="0.3">
      <c r="A30" t="s">
        <v>69</v>
      </c>
      <c r="B30" t="str">
        <f>VLOOKUP(A30,[67]WRDS!$A$1:$N$100,2,FALSE)</f>
        <v>OTTR</v>
      </c>
      <c r="C30" t="str">
        <f>VLOOKUP(A30,[67]WRDS!$A$1:$N$100,3,FALSE)</f>
        <v>OTTER TAIL CORP.</v>
      </c>
      <c r="D30">
        <f>VLOOKUP(A30,[67]WRDS!$A$1:$N$100,13,FALSE)</f>
        <v>1.76</v>
      </c>
      <c r="E30">
        <f>VLOOKUP(A30,[51]WRDS!$A$1:$N$100,13,FALSE)</f>
        <v>1.69</v>
      </c>
      <c r="F30" s="1">
        <f t="shared" si="3"/>
        <v>2.2219594496000004</v>
      </c>
      <c r="G30" s="1">
        <f t="shared" si="4"/>
        <v>2.2219594496000004</v>
      </c>
      <c r="H30" s="2">
        <f t="shared" si="0"/>
        <v>-1.0095019773245228E-2</v>
      </c>
      <c r="I30" s="2">
        <f>VLOOKUP(A30,[68]WRDS!$A$1:$O$100,10,FALSE)/100</f>
        <v>0.06</v>
      </c>
      <c r="J30" s="2">
        <f>VLOOKUP(A30,[68]WRDS!$A$1:$O$100,9,FALSE)/100</f>
        <v>0.06</v>
      </c>
      <c r="K30" s="2">
        <f t="shared" si="1"/>
        <v>6.9435247624791829</v>
      </c>
      <c r="L30" s="2">
        <f t="shared" si="2"/>
        <v>6.9435247624791829</v>
      </c>
      <c r="M30">
        <f>VLOOKUP(A30,[68]WRDS!$A$1:$O$100,8,FALSE)</f>
        <v>1</v>
      </c>
      <c r="N30">
        <f>VLOOKUP(A30,[68]WRDS!$A$1:$O$100,11,FALSE)</f>
        <v>0</v>
      </c>
    </row>
    <row r="31" spans="1:14" x14ac:dyDescent="0.3">
      <c r="A31" t="s">
        <v>45</v>
      </c>
      <c r="B31" t="str">
        <f>VLOOKUP(A31,[67]WRDS!$A$1:$N$100,2,FALSE)</f>
        <v>PCG</v>
      </c>
      <c r="C31" t="str">
        <f>VLOOKUP(A31,[67]WRDS!$A$1:$N$100,3,FALSE)</f>
        <v>P G &amp; E CORP</v>
      </c>
      <c r="D31">
        <f>VLOOKUP(A31,[67]WRDS!$A$1:$N$100,13,FALSE)</f>
        <v>2.27</v>
      </c>
      <c r="E31">
        <f>VLOOKUP(A31,[51]WRDS!$A$1:$N$100,13,FALSE)</f>
        <v>2.57</v>
      </c>
      <c r="F31" s="1">
        <f t="shared" si="3"/>
        <v>2.9389692189965064</v>
      </c>
      <c r="G31" s="1">
        <f t="shared" si="4"/>
        <v>3.0883099392000006</v>
      </c>
      <c r="H31" s="2">
        <f t="shared" si="0"/>
        <v>3.1518013576287807E-2</v>
      </c>
      <c r="I31" s="2">
        <f>VLOOKUP(A31,[68]WRDS!$A$1:$O$100,10,FALSE)/100</f>
        <v>6.6699999999999995E-2</v>
      </c>
      <c r="J31" s="2">
        <f>VLOOKUP(A31,[68]WRDS!$A$1:$O$100,9,FALSE)/100</f>
        <v>0.08</v>
      </c>
      <c r="K31" s="2">
        <f t="shared" si="1"/>
        <v>1.1162501195881496</v>
      </c>
      <c r="L31" s="2">
        <f t="shared" si="2"/>
        <v>1.5382310279917839</v>
      </c>
      <c r="M31">
        <f>VLOOKUP(A31,[68]WRDS!$A$1:$O$100,8,FALSE)</f>
        <v>9</v>
      </c>
      <c r="N31">
        <f>VLOOKUP(A31,[68]WRDS!$A$1:$O$100,11,FALSE)</f>
        <v>2.4500000000000002</v>
      </c>
    </row>
    <row r="32" spans="1:14" x14ac:dyDescent="0.3">
      <c r="A32" t="s">
        <v>46</v>
      </c>
      <c r="B32" t="str">
        <f>VLOOKUP(A32,[67]WRDS!$A$1:$N$100,2,FALSE)</f>
        <v>PEG</v>
      </c>
      <c r="C32" t="str">
        <f>VLOOKUP(A32,[67]WRDS!$A$1:$N$100,3,FALSE)</f>
        <v>PUB SVC ENTERS</v>
      </c>
      <c r="D32">
        <f>VLOOKUP(A32,[67]WRDS!$A$1:$N$100,13,FALSE)</f>
        <v>1.88</v>
      </c>
      <c r="E32">
        <f>VLOOKUP(A32,[51]WRDS!$A$1:$N$100,13,FALSE)</f>
        <v>1.82</v>
      </c>
      <c r="F32" s="1">
        <f t="shared" si="3"/>
        <v>2.3458132816504822</v>
      </c>
      <c r="G32" s="1">
        <f t="shared" si="4"/>
        <v>2.3734566848000003</v>
      </c>
      <c r="H32" s="2">
        <f t="shared" si="0"/>
        <v>-8.0760311492698023E-3</v>
      </c>
      <c r="I32" s="2">
        <f>VLOOKUP(A32,[68]WRDS!$A$1:$O$100,10,FALSE)/100</f>
        <v>5.6900000000000006E-2</v>
      </c>
      <c r="J32" s="2">
        <f>VLOOKUP(A32,[68]WRDS!$A$1:$O$100,9,FALSE)/100</f>
        <v>0.06</v>
      </c>
      <c r="K32" s="2">
        <f t="shared" si="1"/>
        <v>8.0455399376641381</v>
      </c>
      <c r="L32" s="2">
        <f t="shared" si="2"/>
        <v>8.4293918499094591</v>
      </c>
      <c r="M32">
        <f>VLOOKUP(A32,[68]WRDS!$A$1:$O$100,8,FALSE)</f>
        <v>16</v>
      </c>
      <c r="N32">
        <f>VLOOKUP(A32,[68]WRDS!$A$1:$O$100,11,FALSE)</f>
        <v>1.44</v>
      </c>
    </row>
    <row r="33" spans="1:14" x14ac:dyDescent="0.3">
      <c r="A33" t="s">
        <v>74</v>
      </c>
      <c r="B33" t="str">
        <f>VLOOKUP(A33,[67]WRDS!$A$1:$N$100,2,FALSE)</f>
        <v>CPL</v>
      </c>
      <c r="C33" t="str">
        <f>VLOOKUP(A33,[67]WRDS!$A$1:$N$100,3,FALSE)</f>
        <v>PROGRESS ENERGY</v>
      </c>
      <c r="D33">
        <f>VLOOKUP(A33,[67]WRDS!$A$1:$N$100,13,FALSE)</f>
        <v>3.81</v>
      </c>
      <c r="E33">
        <f>VLOOKUP(A33,[51]WRDS!$A$1:$N$100,13,FALSE)</f>
        <v>2.3199999999999998</v>
      </c>
      <c r="F33" s="1">
        <f t="shared" si="3"/>
        <v>4.9088046063754645</v>
      </c>
      <c r="G33" s="1">
        <f t="shared" si="4"/>
        <v>4.9941327980999999</v>
      </c>
      <c r="H33" s="2">
        <f t="shared" si="0"/>
        <v>-0.11663385216286537</v>
      </c>
      <c r="I33" s="2">
        <f>VLOOKUP(A33,[68]WRDS!$A$1:$O$100,10,FALSE)/100</f>
        <v>6.54E-2</v>
      </c>
      <c r="J33" s="2">
        <f>VLOOKUP(A33,[68]WRDS!$A$1:$O$100,9,FALSE)/100</f>
        <v>7.0000000000000007E-2</v>
      </c>
      <c r="K33" s="2">
        <f t="shared" si="1"/>
        <v>1.560729143273744</v>
      </c>
      <c r="L33" s="2">
        <f t="shared" si="2"/>
        <v>1.6001688077853529</v>
      </c>
      <c r="M33">
        <f>VLOOKUP(A33,[68]WRDS!$A$1:$O$100,8,FALSE)</f>
        <v>13</v>
      </c>
      <c r="N33">
        <f>VLOOKUP(A33,[68]WRDS!$A$1:$O$100,11,FALSE)</f>
        <v>2.5</v>
      </c>
    </row>
    <row r="34" spans="1:14" x14ac:dyDescent="0.3">
      <c r="A34" t="s">
        <v>47</v>
      </c>
      <c r="B34" t="str">
        <f>VLOOKUP(A34,[67]WRDS!$A$1:$N$100,2,FALSE)</f>
        <v>PNM</v>
      </c>
      <c r="C34" t="str">
        <f>VLOOKUP(A34,[67]WRDS!$A$1:$N$100,3,FALSE)</f>
        <v>PNM RESOURCES</v>
      </c>
      <c r="D34">
        <f>VLOOKUP(A34,[67]WRDS!$A$1:$N$100,13,FALSE)</f>
        <v>1.2067000000000001</v>
      </c>
      <c r="E34">
        <f>VLOOKUP(A34,[51]WRDS!$A$1:$N$100,13,FALSE)</f>
        <v>1.8</v>
      </c>
      <c r="F34" s="1">
        <f t="shared" si="3"/>
        <v>1.5045483281278715</v>
      </c>
      <c r="G34" s="1">
        <f t="shared" si="4"/>
        <v>1.4667513918750001</v>
      </c>
      <c r="H34" s="2">
        <f t="shared" si="0"/>
        <v>0.10514254422777447</v>
      </c>
      <c r="I34" s="2">
        <f>VLOOKUP(A34,[68]WRDS!$A$1:$O$100,10,FALSE)/100</f>
        <v>5.67E-2</v>
      </c>
      <c r="J34" s="2">
        <f>VLOOKUP(A34,[68]WRDS!$A$1:$O$100,9,FALSE)/100</f>
        <v>0.05</v>
      </c>
      <c r="K34" s="2">
        <f t="shared" si="1"/>
        <v>-0.46073209073989557</v>
      </c>
      <c r="L34" s="2">
        <f t="shared" si="2"/>
        <v>-0.52445510647257099</v>
      </c>
      <c r="M34">
        <f>VLOOKUP(A34,[68]WRDS!$A$1:$O$100,8,FALSE)</f>
        <v>4</v>
      </c>
      <c r="N34">
        <f>VLOOKUP(A34,[68]WRDS!$A$1:$O$100,11,FALSE)</f>
        <v>3.08</v>
      </c>
    </row>
    <row r="35" spans="1:14" x14ac:dyDescent="0.3">
      <c r="A35" t="s">
        <v>48</v>
      </c>
      <c r="B35" t="str">
        <f>VLOOKUP(A35,[67]WRDS!$A$1:$N$100,2,FALSE)</f>
        <v>AZP</v>
      </c>
      <c r="C35" t="str">
        <f>VLOOKUP(A35,[67]WRDS!$A$1:$N$100,3,FALSE)</f>
        <v>PINNACLE WST CAP</v>
      </c>
      <c r="D35">
        <f>VLOOKUP(A35,[67]WRDS!$A$1:$N$100,13,FALSE)</f>
        <v>3.56</v>
      </c>
      <c r="E35">
        <f>VLOOKUP(A35,[51]WRDS!$A$1:$N$100,13,FALSE)</f>
        <v>3.13</v>
      </c>
      <c r="F35" s="1">
        <f t="shared" si="3"/>
        <v>4.4757909230067252</v>
      </c>
      <c r="G35" s="1">
        <f t="shared" si="4"/>
        <v>4.4944179776000013</v>
      </c>
      <c r="H35" s="2">
        <f t="shared" si="0"/>
        <v>-3.1669558796813657E-2</v>
      </c>
      <c r="I35" s="2">
        <f>VLOOKUP(A35,[68]WRDS!$A$1:$O$100,10,FALSE)/100</f>
        <v>5.8899999999999994E-2</v>
      </c>
      <c r="J35" s="2">
        <f>VLOOKUP(A35,[68]WRDS!$A$1:$O$100,9,FALSE)/100</f>
        <v>0.06</v>
      </c>
      <c r="K35" s="2">
        <f t="shared" si="1"/>
        <v>2.8598301409215101</v>
      </c>
      <c r="L35" s="2">
        <f t="shared" si="2"/>
        <v>2.8945638107859186</v>
      </c>
      <c r="M35">
        <f>VLOOKUP(A35,[68]WRDS!$A$1:$O$100,8,FALSE)</f>
        <v>9</v>
      </c>
      <c r="N35">
        <f>VLOOKUP(A35,[68]WRDS!$A$1:$O$100,11,FALSE)</f>
        <v>1.96</v>
      </c>
    </row>
    <row r="36" spans="1:14" x14ac:dyDescent="0.3">
      <c r="A36" t="s">
        <v>49</v>
      </c>
      <c r="B36" t="str">
        <f>VLOOKUP(A36,[67]WRDS!$A$1:$N$100,2,FALSE)</f>
        <v>POM</v>
      </c>
      <c r="C36" t="str">
        <f>VLOOKUP(A36,[67]WRDS!$A$1:$N$100,3,FALSE)</f>
        <v>PEPCO HOLDINGS</v>
      </c>
      <c r="D36">
        <f>VLOOKUP(A36,[67]WRDS!$A$1:$N$100,13,FALSE)</f>
        <v>1.69</v>
      </c>
      <c r="E36">
        <f>VLOOKUP(A36,[51]WRDS!$A$1:$N$100,13,FALSE)</f>
        <v>1.33</v>
      </c>
      <c r="F36" s="1">
        <f t="shared" si="3"/>
        <v>2.0300535952530563</v>
      </c>
      <c r="G36" s="1">
        <f t="shared" si="4"/>
        <v>2.0738394069097654</v>
      </c>
      <c r="H36" s="2">
        <f t="shared" si="0"/>
        <v>-5.8129414627433373E-2</v>
      </c>
      <c r="I36" s="2">
        <f>VLOOKUP(A36,[68]WRDS!$A$1:$O$100,10,FALSE)/100</f>
        <v>4.6900000000000004E-2</v>
      </c>
      <c r="J36" s="2">
        <f>VLOOKUP(A36,[68]WRDS!$A$1:$O$100,9,FALSE)/100</f>
        <v>5.2499999999999998E-2</v>
      </c>
      <c r="K36" s="2">
        <f t="shared" si="1"/>
        <v>1.8068204419499898</v>
      </c>
      <c r="L36" s="2">
        <f t="shared" si="2"/>
        <v>1.9031572111380481</v>
      </c>
      <c r="M36">
        <f>VLOOKUP(A36,[68]WRDS!$A$1:$O$100,8,FALSE)</f>
        <v>8</v>
      </c>
      <c r="N36">
        <f>VLOOKUP(A36,[68]WRDS!$A$1:$O$100,11,FALSE)</f>
        <v>2.33</v>
      </c>
    </row>
    <row r="37" spans="1:14" x14ac:dyDescent="0.3">
      <c r="A37" t="s">
        <v>51</v>
      </c>
      <c r="B37" t="str">
        <f>VLOOKUP(A37,[67]WRDS!$A$1:$N$100,2,FALSE)</f>
        <v>PPL</v>
      </c>
      <c r="C37" t="str">
        <f>VLOOKUP(A37,[67]WRDS!$A$1:$N$100,3,FALSE)</f>
        <v>PP&amp;L CORP</v>
      </c>
      <c r="D37">
        <f>VLOOKUP(A37,[67]WRDS!$A$1:$N$100,13,FALSE)</f>
        <v>1.77</v>
      </c>
      <c r="E37">
        <f>VLOOKUP(A37,[51]WRDS!$A$1:$N$100,13,FALSE)</f>
        <v>2.2200000000000002</v>
      </c>
      <c r="F37" s="1">
        <f t="shared" si="3"/>
        <v>2.2813245945887615</v>
      </c>
      <c r="G37" s="1">
        <f t="shared" si="4"/>
        <v>2.2345842192000007</v>
      </c>
      <c r="H37" s="2">
        <f t="shared" si="0"/>
        <v>5.8266203948280859E-2</v>
      </c>
      <c r="I37" s="2">
        <f>VLOOKUP(A37,[68]WRDS!$A$1:$O$100,10,FALSE)/100</f>
        <v>6.5500000000000003E-2</v>
      </c>
      <c r="J37" s="2">
        <f>VLOOKUP(A37,[68]WRDS!$A$1:$O$100,9,FALSE)/100</f>
        <v>0.06</v>
      </c>
      <c r="K37" s="2">
        <f t="shared" si="1"/>
        <v>0.12415080375134986</v>
      </c>
      <c r="L37" s="2">
        <f t="shared" si="2"/>
        <v>2.9756461451618116E-2</v>
      </c>
      <c r="M37">
        <f>VLOOKUP(A37,[68]WRDS!$A$1:$O$100,8,FALSE)</f>
        <v>10</v>
      </c>
      <c r="N37">
        <f>VLOOKUP(A37,[68]WRDS!$A$1:$O$100,11,FALSE)</f>
        <v>2.09</v>
      </c>
    </row>
    <row r="38" spans="1:14" x14ac:dyDescent="0.3">
      <c r="A38" t="s">
        <v>91</v>
      </c>
      <c r="B38" t="str">
        <f>VLOOKUP(A38,[67]WRDS!$A$1:$N$100,2,FALSE)</f>
        <v>PSD</v>
      </c>
      <c r="C38" t="str">
        <f>VLOOKUP(A38,[67]WRDS!$A$1:$N$100,3,FALSE)</f>
        <v>PUGET ENERGY INC</v>
      </c>
      <c r="D38">
        <f>VLOOKUP(A38,[67]WRDS!$A$1:$N$100,13,FALSE)</f>
        <v>1.24</v>
      </c>
      <c r="E38">
        <f>VLOOKUP(A38,[51]WRDS!$A$1:$N$100,13,FALSE)</f>
        <v>1.52</v>
      </c>
      <c r="F38" s="1">
        <f t="shared" si="3"/>
        <v>1.5536899479750399</v>
      </c>
      <c r="G38" s="1">
        <f t="shared" si="4"/>
        <v>1.5654714304000004</v>
      </c>
      <c r="H38" s="2">
        <f t="shared" si="0"/>
        <v>5.2217391426944371E-2</v>
      </c>
      <c r="I38" s="2">
        <f>VLOOKUP(A38,[68]WRDS!$A$1:$O$100,10,FALSE)/100</f>
        <v>5.7999999999999996E-2</v>
      </c>
      <c r="J38" s="2">
        <f>VLOOKUP(A38,[68]WRDS!$A$1:$O$100,9,FALSE)/100</f>
        <v>0.06</v>
      </c>
      <c r="K38" s="2">
        <f t="shared" si="1"/>
        <v>0.11074104651791888</v>
      </c>
      <c r="L38" s="2">
        <f t="shared" si="2"/>
        <v>0.14904246191508855</v>
      </c>
      <c r="M38">
        <f>VLOOKUP(A38,[68]WRDS!$A$1:$O$100,8,FALSE)</f>
        <v>5</v>
      </c>
      <c r="N38">
        <f>VLOOKUP(A38,[68]WRDS!$A$1:$O$100,11,FALSE)</f>
        <v>1.48</v>
      </c>
    </row>
    <row r="39" spans="1:14" x14ac:dyDescent="0.3">
      <c r="A39" t="s">
        <v>52</v>
      </c>
      <c r="B39" t="str">
        <f>VLOOKUP(A39,[67]WRDS!$A$1:$N$100,2,FALSE)</f>
        <v>SCG</v>
      </c>
      <c r="C39" t="str">
        <f>VLOOKUP(A39,[67]WRDS!$A$1:$N$100,3,FALSE)</f>
        <v>SCANA CP</v>
      </c>
      <c r="D39">
        <f>VLOOKUP(A39,[67]WRDS!$A$1:$N$100,13,FALSE)</f>
        <v>2.38</v>
      </c>
      <c r="E39">
        <f>VLOOKUP(A39,[51]WRDS!$A$1:$N$100,13,FALSE)</f>
        <v>2.59</v>
      </c>
      <c r="F39" s="1">
        <f t="shared" si="3"/>
        <v>2.8929048749999997</v>
      </c>
      <c r="G39" s="1">
        <f t="shared" si="4"/>
        <v>2.8929048749999997</v>
      </c>
      <c r="H39" s="2">
        <f t="shared" si="0"/>
        <v>2.1364365789218187E-2</v>
      </c>
      <c r="I39" s="2">
        <f>VLOOKUP(A39,[68]WRDS!$A$1:$O$100,10,FALSE)/100</f>
        <v>0.05</v>
      </c>
      <c r="J39" s="2">
        <f>VLOOKUP(A39,[68]WRDS!$A$1:$O$100,9,FALSE)/100</f>
        <v>0.05</v>
      </c>
      <c r="K39" s="2">
        <f t="shared" si="1"/>
        <v>1.3403456247333665</v>
      </c>
      <c r="L39" s="2">
        <f t="shared" si="2"/>
        <v>1.3403456247333665</v>
      </c>
      <c r="M39">
        <f>VLOOKUP(A39,[68]WRDS!$A$1:$O$100,8,FALSE)</f>
        <v>3</v>
      </c>
      <c r="N39">
        <f>VLOOKUP(A39,[68]WRDS!$A$1:$O$100,11,FALSE)</f>
        <v>1</v>
      </c>
    </row>
    <row r="40" spans="1:14" x14ac:dyDescent="0.3">
      <c r="A40" t="s">
        <v>53</v>
      </c>
      <c r="B40" t="str">
        <f>VLOOKUP(A40,[67]WRDS!$A$1:$N$100,2,FALSE)</f>
        <v>SO</v>
      </c>
      <c r="C40" t="str">
        <f>VLOOKUP(A40,[67]WRDS!$A$1:$N$100,3,FALSE)</f>
        <v>SOUTHN CO</v>
      </c>
      <c r="D40">
        <f>VLOOKUP(A40,[67]WRDS!$A$1:$N$100,13,FALSE)</f>
        <v>1.86</v>
      </c>
      <c r="E40">
        <f>VLOOKUP(A40,[51]WRDS!$A$1:$N$100,13,FALSE)</f>
        <v>2.1</v>
      </c>
      <c r="F40" s="1">
        <f t="shared" si="3"/>
        <v>2.2981044848555818</v>
      </c>
      <c r="G40" s="1">
        <f t="shared" si="4"/>
        <v>2.2608416250000003</v>
      </c>
      <c r="H40" s="2">
        <f t="shared" si="0"/>
        <v>3.0805168913167424E-2</v>
      </c>
      <c r="I40" s="2">
        <f>VLOOKUP(A40,[68]WRDS!$A$1:$O$100,10,FALSE)/100</f>
        <v>5.4299999999999994E-2</v>
      </c>
      <c r="J40" s="2">
        <f>VLOOKUP(A40,[68]WRDS!$A$1:$O$100,9,FALSE)/100</f>
        <v>0.05</v>
      </c>
      <c r="K40" s="2">
        <f t="shared" si="1"/>
        <v>0.76269119487898318</v>
      </c>
      <c r="L40" s="2">
        <f t="shared" si="2"/>
        <v>0.62310423101195533</v>
      </c>
      <c r="M40">
        <f>VLOOKUP(A40,[68]WRDS!$A$1:$O$100,8,FALSE)</f>
        <v>14</v>
      </c>
      <c r="N40">
        <f>VLOOKUP(A40,[68]WRDS!$A$1:$O$100,11,FALSE)</f>
        <v>1.27</v>
      </c>
    </row>
    <row r="41" spans="1:14" x14ac:dyDescent="0.3">
      <c r="A41" t="s">
        <v>54</v>
      </c>
      <c r="B41" t="str">
        <f>VLOOKUP(A41,[67]WRDS!$A$1:$N$100,2,FALSE)</f>
        <v>SDO</v>
      </c>
      <c r="C41" t="str">
        <f>VLOOKUP(A41,[67]WRDS!$A$1:$N$100,3,FALSE)</f>
        <v>SEMPRA ENERGY</v>
      </c>
      <c r="D41">
        <f>VLOOKUP(A41,[67]WRDS!$A$1:$N$100,13,FALSE)</f>
        <v>2.68</v>
      </c>
      <c r="E41">
        <f>VLOOKUP(A41,[51]WRDS!$A$1:$N$100,13,FALSE)</f>
        <v>4.24</v>
      </c>
      <c r="F41" s="1">
        <f t="shared" si="3"/>
        <v>3.5710735305681647</v>
      </c>
      <c r="G41" s="1">
        <f t="shared" si="4"/>
        <v>3.646110412800001</v>
      </c>
      <c r="H41" s="2">
        <f t="shared" si="0"/>
        <v>0.1215219184761438</v>
      </c>
      <c r="I41" s="2">
        <f>VLOOKUP(A41,[68]WRDS!$A$1:$O$100,10,FALSE)/100</f>
        <v>7.4400000000000008E-2</v>
      </c>
      <c r="J41" s="2">
        <f>VLOOKUP(A41,[68]WRDS!$A$1:$O$100,9,FALSE)/100</f>
        <v>0.08</v>
      </c>
      <c r="K41" s="2">
        <f t="shared" si="1"/>
        <v>-0.38776476759947126</v>
      </c>
      <c r="L41" s="2">
        <f t="shared" si="2"/>
        <v>-0.34168254580588309</v>
      </c>
      <c r="M41">
        <f>VLOOKUP(A41,[68]WRDS!$A$1:$O$100,8,FALSE)</f>
        <v>9</v>
      </c>
      <c r="N41">
        <f>VLOOKUP(A41,[68]WRDS!$A$1:$O$100,11,FALSE)</f>
        <v>2.19</v>
      </c>
    </row>
    <row r="42" spans="1:14" x14ac:dyDescent="0.3">
      <c r="A42" t="s">
        <v>75</v>
      </c>
      <c r="B42" t="str">
        <f>VLOOKUP(A42,[67]WRDS!$A$1:$N$100,2,FALSE)</f>
        <v>TE</v>
      </c>
      <c r="C42" t="str">
        <f>VLOOKUP(A42,[67]WRDS!$A$1:$N$100,3,FALSE)</f>
        <v>TECO ENERGY INC</v>
      </c>
      <c r="D42">
        <f>VLOOKUP(A42,[67]WRDS!$A$1:$N$100,13,FALSE)</f>
        <v>2.2799999999999998</v>
      </c>
      <c r="E42">
        <f>VLOOKUP(A42,[51]WRDS!$A$1:$N$100,13,FALSE)</f>
        <v>1</v>
      </c>
      <c r="F42" s="1">
        <f t="shared" si="3"/>
        <v>2.8654351070169257</v>
      </c>
      <c r="G42" s="1">
        <f t="shared" si="4"/>
        <v>2.7713542499999999</v>
      </c>
      <c r="H42" s="2">
        <f t="shared" si="0"/>
        <v>-0.18620261825653317</v>
      </c>
      <c r="I42" s="2">
        <f>VLOOKUP(A42,[68]WRDS!$A$1:$O$100,10,FALSE)/100</f>
        <v>5.8799999999999998E-2</v>
      </c>
      <c r="J42" s="2">
        <f>VLOOKUP(A42,[68]WRDS!$A$1:$O$100,9,FALSE)/100</f>
        <v>0.05</v>
      </c>
      <c r="K42" s="2">
        <f t="shared" si="1"/>
        <v>1.3157850332640901</v>
      </c>
      <c r="L42" s="2">
        <f t="shared" si="2"/>
        <v>1.2685246881497365</v>
      </c>
      <c r="M42">
        <f>VLOOKUP(A42,[68]WRDS!$A$1:$O$100,8,FALSE)</f>
        <v>13</v>
      </c>
      <c r="N42">
        <f>VLOOKUP(A42,[68]WRDS!$A$1:$O$100,11,FALSE)</f>
        <v>2.57</v>
      </c>
    </row>
    <row r="43" spans="1:14" x14ac:dyDescent="0.3">
      <c r="A43" t="s">
        <v>79</v>
      </c>
      <c r="B43" t="str">
        <f>VLOOKUP(A43,[67]WRDS!$A$1:$N$100,2,FALSE)</f>
        <v>UIL</v>
      </c>
      <c r="C43" t="str">
        <f>VLOOKUP(A43,[67]WRDS!$A$1:$N$100,3,FALSE)</f>
        <v>UIL HOLDING CORP</v>
      </c>
      <c r="D43">
        <f>VLOOKUP(A43,[67]WRDS!$A$1:$N$100,13,FALSE)</f>
        <v>1.8480000000000001</v>
      </c>
      <c r="E43">
        <f>VLOOKUP(A43,[51]WRDS!$A$1:$N$100,13,FALSE)</f>
        <v>1.57</v>
      </c>
      <c r="F43" s="1">
        <f t="shared" si="3"/>
        <v>2.0598200873971879</v>
      </c>
      <c r="G43" s="1">
        <f t="shared" si="4"/>
        <v>2.0598200873971879</v>
      </c>
      <c r="H43" s="2">
        <f t="shared" si="0"/>
        <v>-3.993768816459542E-2</v>
      </c>
      <c r="I43" s="2">
        <f>VLOOKUP(A43,[68]WRDS!$A$1:$O$100,10,FALSE)/100</f>
        <v>2.75E-2</v>
      </c>
      <c r="J43" s="2">
        <f>VLOOKUP(A43,[68]WRDS!$A$1:$O$100,9,FALSE)/100</f>
        <v>2.75E-2</v>
      </c>
      <c r="K43" s="2">
        <f t="shared" si="1"/>
        <v>1.6885726556495733</v>
      </c>
      <c r="L43" s="2">
        <f t="shared" si="2"/>
        <v>1.6885726556495733</v>
      </c>
      <c r="M43">
        <f>VLOOKUP(A43,[68]WRDS!$A$1:$O$100,8,FALSE)</f>
        <v>2</v>
      </c>
      <c r="N43">
        <f>VLOOKUP(A43,[68]WRDS!$A$1:$O$100,11,FALSE)</f>
        <v>0.35</v>
      </c>
    </row>
    <row r="44" spans="1:14" x14ac:dyDescent="0.3">
      <c r="A44" t="s">
        <v>76</v>
      </c>
      <c r="B44" t="str">
        <f>VLOOKUP(A44,[67]WRDS!$A$1:$N$100,2,FALSE)</f>
        <v>SIG</v>
      </c>
      <c r="C44" t="str">
        <f>VLOOKUP(A44,[67]WRDS!$A$1:$N$100,3,FALSE)</f>
        <v>VECTREN CORP</v>
      </c>
      <c r="D44">
        <f>VLOOKUP(A44,[67]WRDS!$A$1:$N$100,13,FALSE)</f>
        <v>1.69</v>
      </c>
      <c r="E44">
        <f>VLOOKUP(A44,[51]WRDS!$A$1:$N$100,13,FALSE)</f>
        <v>1.53</v>
      </c>
      <c r="F44" s="1">
        <f t="shared" si="3"/>
        <v>2.2569428476562496</v>
      </c>
      <c r="G44" s="1">
        <f t="shared" si="4"/>
        <v>2.2569428476562496</v>
      </c>
      <c r="H44" s="2">
        <f t="shared" si="0"/>
        <v>-2.4558605756309082E-2</v>
      </c>
      <c r="I44" s="2">
        <f>VLOOKUP(A44,[68]WRDS!$A$1:$O$100,10,FALSE)/100</f>
        <v>7.4999999999999997E-2</v>
      </c>
      <c r="J44" s="2">
        <f>VLOOKUP(A44,[68]WRDS!$A$1:$O$100,9,FALSE)/100</f>
        <v>7.4999999999999997E-2</v>
      </c>
      <c r="K44" s="2">
        <f t="shared" si="1"/>
        <v>4.0539192959165673</v>
      </c>
      <c r="L44" s="2">
        <f t="shared" si="2"/>
        <v>4.0539192959165673</v>
      </c>
      <c r="M44">
        <f>VLOOKUP(A44,[68]WRDS!$A$1:$O$100,8,FALSE)</f>
        <v>6</v>
      </c>
      <c r="N44">
        <f>VLOOKUP(A44,[68]WRDS!$A$1:$O$100,11,FALSE)</f>
        <v>2.2599999999999998</v>
      </c>
    </row>
    <row r="45" spans="1:14" x14ac:dyDescent="0.3">
      <c r="A45" t="s">
        <v>55</v>
      </c>
      <c r="B45" t="str">
        <f>VLOOKUP(A45,[67]WRDS!$A$1:$N$100,2,FALSE)</f>
        <v>WPC</v>
      </c>
      <c r="C45" t="str">
        <f>VLOOKUP(A45,[67]WRDS!$A$1:$N$100,3,FALSE)</f>
        <v>WISCONSIN ENERGY</v>
      </c>
      <c r="D45">
        <f>VLOOKUP(A45,[67]WRDS!$A$1:$N$100,13,FALSE)</f>
        <v>1.0900000000000001</v>
      </c>
      <c r="E45">
        <f>VLOOKUP(A45,[51]WRDS!$A$1:$N$100,13,FALSE)</f>
        <v>1.29</v>
      </c>
      <c r="F45" s="1">
        <f t="shared" si="3"/>
        <v>1.4287676509</v>
      </c>
      <c r="G45" s="1">
        <f t="shared" si="4"/>
        <v>1.3760998864000005</v>
      </c>
      <c r="H45" s="2">
        <f t="shared" si="0"/>
        <v>4.3015597675247541E-2</v>
      </c>
      <c r="I45" s="2">
        <f>VLOOKUP(A45,[68]WRDS!$A$1:$O$100,10,FALSE)/100</f>
        <v>7.0000000000000007E-2</v>
      </c>
      <c r="J45" s="2">
        <f>VLOOKUP(A45,[68]WRDS!$A$1:$O$100,9,FALSE)/100</f>
        <v>0.06</v>
      </c>
      <c r="K45" s="2">
        <f t="shared" si="1"/>
        <v>0.62731668936638063</v>
      </c>
      <c r="L45" s="2">
        <f t="shared" si="2"/>
        <v>0.39484287659975464</v>
      </c>
      <c r="M45">
        <f>VLOOKUP(A45,[68]WRDS!$A$1:$O$100,8,FALSE)</f>
        <v>7</v>
      </c>
      <c r="N45">
        <f>VLOOKUP(A45,[68]WRDS!$A$1:$O$100,11,FALSE)</f>
        <v>4.16</v>
      </c>
    </row>
    <row r="46" spans="1:14" x14ac:dyDescent="0.3">
      <c r="A46" t="s">
        <v>95</v>
      </c>
      <c r="B46" t="str">
        <f>VLOOKUP(A46,[67]WRDS!$A$1:$N$100,2,FALSE)</f>
        <v>WPS</v>
      </c>
      <c r="C46" t="str">
        <f>VLOOKUP(A46,[67]WRDS!$A$1:$N$100,3,FALSE)</f>
        <v>WPS RESOURCES CP</v>
      </c>
      <c r="D46">
        <f>VLOOKUP(A46,[67]WRDS!$A$1:$N$100,13,FALSE)</f>
        <v>2.73</v>
      </c>
      <c r="E46">
        <f>VLOOKUP(A46,[51]WRDS!$A$1:$N$100,13,FALSE)</f>
        <v>3.67</v>
      </c>
      <c r="F46" s="1">
        <f t="shared" si="3"/>
        <v>3.4465621008000009</v>
      </c>
      <c r="G46" s="1">
        <f t="shared" si="4"/>
        <v>3.4465621008000009</v>
      </c>
      <c r="H46" s="2">
        <f t="shared" si="0"/>
        <v>7.6777207948430348E-2</v>
      </c>
      <c r="I46" s="2">
        <f>VLOOKUP(A46,[68]WRDS!$A$1:$O$100,10,FALSE)/100</f>
        <v>0.06</v>
      </c>
      <c r="J46" s="2">
        <f>VLOOKUP(A46,[68]WRDS!$A$1:$O$100,9,FALSE)/100</f>
        <v>0.06</v>
      </c>
      <c r="K46" s="2">
        <f t="shared" si="1"/>
        <v>-0.21851807843415263</v>
      </c>
      <c r="L46" s="2">
        <f t="shared" si="2"/>
        <v>-0.21851807843415263</v>
      </c>
      <c r="M46">
        <f>VLOOKUP(A46,[68]WRDS!$A$1:$O$100,8,FALSE)</f>
        <v>3</v>
      </c>
      <c r="N46">
        <f>VLOOKUP(A46,[68]WRDS!$A$1:$O$100,11,FALSE)</f>
        <v>1</v>
      </c>
    </row>
    <row r="47" spans="1:14" x14ac:dyDescent="0.3">
      <c r="A47" t="s">
        <v>56</v>
      </c>
      <c r="B47" t="str">
        <f>VLOOKUP(A47,[67]WRDS!$A$1:$N$100,2,FALSE)</f>
        <v>NSP</v>
      </c>
      <c r="C47" t="str">
        <f>VLOOKUP(A47,[67]WRDS!$A$1:$N$100,3,FALSE)</f>
        <v>XCEL ENERGY INC</v>
      </c>
      <c r="D47">
        <f>VLOOKUP(A47,[67]WRDS!$A$1:$N$100,13,FALSE)</f>
        <v>1.43</v>
      </c>
      <c r="E47">
        <f>VLOOKUP(A47,[51]WRDS!$A$1:$N$100,13,FALSE)</f>
        <v>1.35</v>
      </c>
      <c r="F47" s="1">
        <f t="shared" si="3"/>
        <v>1.8155826816485399</v>
      </c>
      <c r="G47" s="1">
        <f t="shared" si="4"/>
        <v>1.8744382943</v>
      </c>
      <c r="H47" s="2">
        <f t="shared" si="0"/>
        <v>-1.4289386560668249E-2</v>
      </c>
      <c r="I47" s="2">
        <f>VLOOKUP(A47,[68]WRDS!$A$1:$O$100,10,FALSE)/100</f>
        <v>6.1500000000000006E-2</v>
      </c>
      <c r="J47" s="2">
        <f>VLOOKUP(A47,[68]WRDS!$A$1:$O$100,9,FALSE)/100</f>
        <v>7.0000000000000007E-2</v>
      </c>
      <c r="K47" s="2">
        <f t="shared" si="1"/>
        <v>5.3038936443415752</v>
      </c>
      <c r="L47" s="2">
        <f t="shared" si="2"/>
        <v>5.8987407333969157</v>
      </c>
      <c r="M47">
        <f>VLOOKUP(A47,[68]WRDS!$A$1:$O$100,8,FALSE)</f>
        <v>13</v>
      </c>
      <c r="N47">
        <f>VLOOKUP(A47,[68]WRDS!$A$1:$O$100,11,FALSE)</f>
        <v>2.91</v>
      </c>
    </row>
    <row r="48" spans="1:14" x14ac:dyDescent="0.3">
      <c r="A48" t="s">
        <v>132</v>
      </c>
      <c r="B48" t="str">
        <f>VLOOKUP(A48,'[5]Ticker List'!$H$4:$I$20,2,FALSE)</f>
        <v>EGAS</v>
      </c>
      <c r="C48" t="str">
        <f>VLOOKUP(A48,[69]difc7db5voetugfz!$B$1:$N$15,2,FALSE)</f>
        <v>ATMOS ENERGY CP</v>
      </c>
      <c r="D48">
        <f>VLOOKUP(A48,[69]difc7db5voetugfz!$B$1:$N$15,12,FALSE)</f>
        <v>1.54</v>
      </c>
      <c r="E48">
        <f>VLOOKUP(A48,[53]wixtw8wkz92sncvl!$B$1:$O$16,13,FALSE)</f>
        <v>1.92</v>
      </c>
      <c r="F48" s="1">
        <f t="shared" si="3"/>
        <v>1.996830494951304</v>
      </c>
      <c r="G48" s="1">
        <f t="shared" si="4"/>
        <v>1.9442145184000006</v>
      </c>
      <c r="H48" s="2">
        <f t="shared" si="0"/>
        <v>5.6683988938114327E-2</v>
      </c>
      <c r="I48" s="2">
        <f>VLOOKUP(A48,'[70]1otev1kft05ou0sd'!$B$1:$N$15,9,FALSE)/100</f>
        <v>6.7099999999999993E-2</v>
      </c>
      <c r="J48" s="2">
        <f>VLOOKUP(A48,'[70]1otev1kft05ou0sd'!$B$1:$N$15,8,FALSE)/100</f>
        <v>0.06</v>
      </c>
      <c r="K48" s="2">
        <f t="shared" si="1"/>
        <v>0.18375578813370944</v>
      </c>
      <c r="L48" s="2">
        <f t="shared" si="2"/>
        <v>5.8499959583048752E-2</v>
      </c>
      <c r="M48">
        <f>VLOOKUP(A48,'[70]1otev1kft05ou0sd'!$B$1:$N$15,7,FALSE)</f>
        <v>7</v>
      </c>
      <c r="N48">
        <f>VLOOKUP(A48,'[70]1otev1kft05ou0sd'!$B$1:$N$15,10,FALSE)</f>
        <v>1.7</v>
      </c>
    </row>
    <row r="49" spans="1:14" x14ac:dyDescent="0.3">
      <c r="A49" t="s">
        <v>133</v>
      </c>
      <c r="B49" t="str">
        <f>VLOOKUP(A49,'[5]Ticker List'!$H$4:$I$20,2,FALSE)</f>
        <v>CHPK</v>
      </c>
      <c r="C49" t="str">
        <f>VLOOKUP(A49,[69]difc7db5voetugfz!$B$1:$N$15,2,FALSE)</f>
        <v>CHESAPEAKE UTIL</v>
      </c>
      <c r="D49">
        <f>VLOOKUP(A49,[69]difc7db5voetugfz!$B$1:$N$15,12,FALSE)</f>
        <v>0.80669999999999997</v>
      </c>
      <c r="E49">
        <f>VLOOKUP(A49,[53]wixtw8wkz92sncvl!$B$1:$O$16,13,FALSE)</f>
        <v>1.1467000000000001</v>
      </c>
      <c r="F49" s="1">
        <f t="shared" si="3"/>
        <v>1.0184401636320002</v>
      </c>
      <c r="G49" s="1">
        <f t="shared" si="4"/>
        <v>1.0184401636320002</v>
      </c>
      <c r="H49" s="2">
        <f t="shared" si="0"/>
        <v>9.1903954582281733E-2</v>
      </c>
      <c r="I49" s="2">
        <f>VLOOKUP(A49,'[70]1otev1kft05ou0sd'!$B$1:$N$15,9,FALSE)/100</f>
        <v>0.06</v>
      </c>
      <c r="J49" s="2">
        <f>VLOOKUP(A49,'[70]1otev1kft05ou0sd'!$B$1:$N$15,8,FALSE)/100</f>
        <v>0.06</v>
      </c>
      <c r="K49" s="2">
        <f t="shared" si="1"/>
        <v>-0.34714452416427938</v>
      </c>
      <c r="L49" s="2">
        <f t="shared" si="2"/>
        <v>-0.34714452416427938</v>
      </c>
      <c r="M49">
        <f>VLOOKUP(A49,'[70]1otev1kft05ou0sd'!$B$1:$N$15,7,FALSE)</f>
        <v>1</v>
      </c>
      <c r="N49">
        <f>VLOOKUP(A49,'[70]1otev1kft05ou0sd'!$B$1:$N$15,10,FALSE)</f>
        <v>0</v>
      </c>
    </row>
    <row r="50" spans="1:14" x14ac:dyDescent="0.3">
      <c r="A50" t="s">
        <v>134</v>
      </c>
      <c r="B50" t="str">
        <f>VLOOKUP(A50,'[5]Ticker List'!$H$4:$I$20,2,FALSE)</f>
        <v>NJR</v>
      </c>
      <c r="C50" t="str">
        <f>VLOOKUP(A50,[69]difc7db5voetugfz!$B$1:$N$15,2,FALSE)</f>
        <v>NEW JERSEY RES</v>
      </c>
      <c r="D50">
        <f>VLOOKUP(A50,[69]difc7db5voetugfz!$B$1:$N$15,12,FALSE)</f>
        <v>0.79330000000000001</v>
      </c>
      <c r="E50">
        <f>VLOOKUP(A50,[53]wixtw8wkz92sncvl!$B$1:$O$16,13,FALSE)</f>
        <v>1.05</v>
      </c>
      <c r="F50" s="1">
        <f t="shared" si="3"/>
        <v>1.0270855865330082</v>
      </c>
      <c r="G50" s="1">
        <f t="shared" si="4"/>
        <v>1.0398544747330001</v>
      </c>
      <c r="H50" s="2">
        <f t="shared" si="0"/>
        <v>7.2600416323566064E-2</v>
      </c>
      <c r="I50" s="2">
        <f>VLOOKUP(A50,'[70]1otev1kft05ou0sd'!$B$1:$N$15,9,FALSE)/100</f>
        <v>6.6699999999999995E-2</v>
      </c>
      <c r="J50" s="2">
        <f>VLOOKUP(A50,'[70]1otev1kft05ou0sd'!$B$1:$N$15,8,FALSE)/100</f>
        <v>7.0000000000000007E-2</v>
      </c>
      <c r="K50" s="2">
        <f t="shared" si="1"/>
        <v>-8.1272486059433185E-2</v>
      </c>
      <c r="L50" s="2">
        <f t="shared" si="2"/>
        <v>-3.5818201261773798E-2</v>
      </c>
      <c r="M50">
        <f>VLOOKUP(A50,'[70]1otev1kft05ou0sd'!$B$1:$N$15,7,FALSE)</f>
        <v>3</v>
      </c>
      <c r="N50">
        <f>VLOOKUP(A50,'[70]1otev1kft05ou0sd'!$B$1:$N$15,10,FALSE)</f>
        <v>1.53</v>
      </c>
    </row>
    <row r="51" spans="1:14" x14ac:dyDescent="0.3">
      <c r="A51" t="s">
        <v>135</v>
      </c>
      <c r="B51" t="str">
        <f>VLOOKUP(A51,'[5]Ticker List'!$H$4:$I$20,2,FALSE)</f>
        <v>NI</v>
      </c>
      <c r="C51" t="str">
        <f>VLOOKUP(A51,[69]difc7db5voetugfz!$B$1:$N$15,2,FALSE)</f>
        <v>NISOURCE INC</v>
      </c>
      <c r="D51">
        <f>VLOOKUP(A51,[69]difc7db5voetugfz!$B$1:$N$15,12,FALSE)</f>
        <v>2</v>
      </c>
      <c r="E51">
        <f>VLOOKUP(A51,[53]wixtw8wkz92sncvl!$B$1:$O$16,13,FALSE)</f>
        <v>1.28</v>
      </c>
      <c r="F51" s="1">
        <f t="shared" si="3"/>
        <v>2.5249539200000006</v>
      </c>
      <c r="G51" s="1">
        <f t="shared" si="4"/>
        <v>2.4310125</v>
      </c>
      <c r="H51" s="2">
        <f t="shared" si="0"/>
        <v>-0.10557280900008414</v>
      </c>
      <c r="I51" s="2">
        <f>VLOOKUP(A51,'[70]1otev1kft05ou0sd'!$B$1:$N$15,9,FALSE)/100</f>
        <v>0.06</v>
      </c>
      <c r="J51" s="2">
        <f>VLOOKUP(A51,'[70]1otev1kft05ou0sd'!$B$1:$N$15,8,FALSE)/100</f>
        <v>0.05</v>
      </c>
      <c r="K51" s="2">
        <f t="shared" si="1"/>
        <v>1.5683281572999745</v>
      </c>
      <c r="L51" s="2">
        <f t="shared" si="2"/>
        <v>1.4736067977499787</v>
      </c>
      <c r="M51">
        <f>VLOOKUP(A51,'[70]1otev1kft05ou0sd'!$B$1:$N$15,7,FALSE)</f>
        <v>10</v>
      </c>
      <c r="N51">
        <f>VLOOKUP(A51,'[70]1otev1kft05ou0sd'!$B$1:$N$15,10,FALSE)</f>
        <v>2.21</v>
      </c>
    </row>
    <row r="52" spans="1:14" x14ac:dyDescent="0.3">
      <c r="A52" t="s">
        <v>136</v>
      </c>
      <c r="B52" t="str">
        <f>VLOOKUP(A52,'[5]Ticker List'!$H$4:$I$20,2,FALSE)</f>
        <v>NWNG</v>
      </c>
      <c r="C52" t="str">
        <f>VLOOKUP(A52,[69]difc7db5voetugfz!$B$1:$N$15,2,FALSE)</f>
        <v>NW NATURAL GAS</v>
      </c>
      <c r="D52">
        <f>VLOOKUP(A52,[69]difc7db5voetugfz!$B$1:$N$15,12,FALSE)</f>
        <v>1.95</v>
      </c>
      <c r="E52">
        <f>VLOOKUP(A52,[53]wixtw8wkz92sncvl!$B$1:$O$16,13,FALSE)</f>
        <v>2.29</v>
      </c>
      <c r="F52" s="1">
        <f t="shared" si="3"/>
        <v>2.4313161845109383</v>
      </c>
      <c r="G52" s="1">
        <f t="shared" si="4"/>
        <v>2.3702371874999999</v>
      </c>
      <c r="H52" s="2">
        <f t="shared" si="0"/>
        <v>4.0998773301720526E-2</v>
      </c>
      <c r="I52" s="2">
        <f>VLOOKUP(A52,'[70]1otev1kft05ou0sd'!$B$1:$N$15,9,FALSE)/100</f>
        <v>5.67E-2</v>
      </c>
      <c r="J52" s="2">
        <f>VLOOKUP(A52,'[70]1otev1kft05ou0sd'!$B$1:$N$15,8,FALSE)/100</f>
        <v>0.05</v>
      </c>
      <c r="K52" s="2">
        <f t="shared" si="1"/>
        <v>0.38296820694439088</v>
      </c>
      <c r="L52" s="2">
        <f t="shared" si="2"/>
        <v>0.21954868337247879</v>
      </c>
      <c r="M52">
        <f>VLOOKUP(A52,'[70]1otev1kft05ou0sd'!$B$1:$N$15,7,FALSE)</f>
        <v>3</v>
      </c>
      <c r="N52">
        <f>VLOOKUP(A52,'[70]1otev1kft05ou0sd'!$B$1:$N$15,10,FALSE)</f>
        <v>2.08</v>
      </c>
    </row>
    <row r="53" spans="1:14" x14ac:dyDescent="0.3">
      <c r="A53" t="s">
        <v>138</v>
      </c>
      <c r="B53" t="str">
        <f>VLOOKUP(A53,'[5]Ticker List'!$H$4:$I$20,2,FALSE)</f>
        <v>SJI</v>
      </c>
      <c r="C53" t="str">
        <f>VLOOKUP(A53,[69]difc7db5voetugfz!$B$1:$N$15,2,FALSE)</f>
        <v>SO JERSEY INDS</v>
      </c>
      <c r="D53">
        <f>VLOOKUP(A53,[69]difc7db5voetugfz!$B$1:$N$15,12,FALSE)</f>
        <v>0.60750000000000004</v>
      </c>
      <c r="E53">
        <f>VLOOKUP(A53,[53]wixtw8wkz92sncvl!$B$1:$O$16,13,FALSE)</f>
        <v>0.92500000000000004</v>
      </c>
      <c r="F53" s="1">
        <f t="shared" si="3"/>
        <v>0.73842004687500007</v>
      </c>
      <c r="G53" s="1">
        <f t="shared" si="4"/>
        <v>0.73842004687500007</v>
      </c>
      <c r="H53" s="2">
        <f t="shared" si="0"/>
        <v>0.11083322910586091</v>
      </c>
      <c r="I53" s="2">
        <f>VLOOKUP(A53,'[70]1otev1kft05ou0sd'!$B$1:$N$15,9,FALSE)/100</f>
        <v>0.05</v>
      </c>
      <c r="J53" s="2">
        <f>VLOOKUP(A53,'[70]1otev1kft05ou0sd'!$B$1:$N$15,8,FALSE)/100</f>
        <v>0.05</v>
      </c>
      <c r="K53" s="2">
        <f t="shared" si="1"/>
        <v>-0.54887175621091799</v>
      </c>
      <c r="L53" s="2">
        <f t="shared" si="2"/>
        <v>-0.54887175621091799</v>
      </c>
      <c r="M53">
        <f>VLOOKUP(A53,'[70]1otev1kft05ou0sd'!$B$1:$N$15,7,FALSE)</f>
        <v>1</v>
      </c>
      <c r="N53">
        <f>VLOOKUP(A53,'[70]1otev1kft05ou0sd'!$B$1:$N$15,10,FALSE)</f>
        <v>0</v>
      </c>
    </row>
    <row r="54" spans="1:14" x14ac:dyDescent="0.3">
      <c r="A54" t="s">
        <v>139</v>
      </c>
      <c r="B54" t="str">
        <f>VLOOKUP(A54,'[5]Ticker List'!$H$4:$I$20,2,FALSE)</f>
        <v>SWX</v>
      </c>
      <c r="C54" t="str">
        <f>VLOOKUP(A54,[69]difc7db5voetugfz!$B$1:$N$15,2,FALSE)</f>
        <v>SOUTHWEST GAS</v>
      </c>
      <c r="D54">
        <f>VLOOKUP(A54,[69]difc7db5voetugfz!$B$1:$N$15,12,FALSE)</f>
        <v>1.43</v>
      </c>
      <c r="E54">
        <f>VLOOKUP(A54,[53]wixtw8wkz92sncvl!$B$1:$O$16,13,FALSE)</f>
        <v>1.98</v>
      </c>
      <c r="F54" s="1">
        <f t="shared" si="3"/>
        <v>1.7381739375</v>
      </c>
      <c r="G54" s="1">
        <f t="shared" si="4"/>
        <v>1.7381739375</v>
      </c>
      <c r="H54" s="2">
        <f t="shared" si="0"/>
        <v>8.4756567543660566E-2</v>
      </c>
      <c r="I54" s="2">
        <f>VLOOKUP(A54,'[70]1otev1kft05ou0sd'!$B$1:$N$15,9,FALSE)/100</f>
        <v>0.05</v>
      </c>
      <c r="J54" s="2">
        <f>VLOOKUP(A54,'[70]1otev1kft05ou0sd'!$B$1:$N$15,8,FALSE)/100</f>
        <v>0.05</v>
      </c>
      <c r="K54" s="2">
        <f t="shared" si="1"/>
        <v>-0.41007521364944904</v>
      </c>
      <c r="L54" s="2">
        <f t="shared" si="2"/>
        <v>-0.41007521364944904</v>
      </c>
      <c r="M54">
        <f>VLOOKUP(A54,'[70]1otev1kft05ou0sd'!$B$1:$N$15,7,FALSE)</f>
        <v>4</v>
      </c>
      <c r="N54">
        <f>VLOOKUP(A54,'[70]1otev1kft05ou0sd'!$B$1:$N$15,10,FALSE)</f>
        <v>0.82</v>
      </c>
    </row>
    <row r="55" spans="1:14" x14ac:dyDescent="0.3">
      <c r="A55" t="s">
        <v>148</v>
      </c>
      <c r="B55" t="str">
        <f>VLOOKUP(A55,'[5]Ticker List'!$H$4:$I$20,2,FALSE)</f>
        <v>AGLT</v>
      </c>
      <c r="C55" t="str">
        <f>VLOOKUP(A55,[69]difc7db5voetugfz!$B$1:$N$15,2,FALSE)</f>
        <v>AGL RESOURCES</v>
      </c>
      <c r="D55">
        <f>VLOOKUP(A55,[69]difc7db5voetugfz!$B$1:$N$15,12,FALSE)</f>
        <v>1.82</v>
      </c>
      <c r="E55">
        <f>VLOOKUP(A55,[53]wixtw8wkz92sncvl!$B$1:$O$16,13,FALSE)</f>
        <v>2.72</v>
      </c>
      <c r="F55" s="1">
        <f t="shared" si="3"/>
        <v>2.3856487382</v>
      </c>
      <c r="G55" s="1">
        <f t="shared" si="4"/>
        <v>2.4305538359374999</v>
      </c>
      <c r="H55" s="2">
        <f t="shared" si="0"/>
        <v>0.10566707964208333</v>
      </c>
      <c r="I55" s="2">
        <f>VLOOKUP(A55,'[70]1otev1kft05ou0sd'!$B$1:$N$15,9,FALSE)/100</f>
        <v>7.0000000000000007E-2</v>
      </c>
      <c r="J55" s="2">
        <f>VLOOKUP(A55,'[70]1otev1kft05ou0sd'!$B$1:$N$15,8,FALSE)/100</f>
        <v>7.4999999999999997E-2</v>
      </c>
      <c r="K55" s="2">
        <f t="shared" si="1"/>
        <v>-0.33754202125103899</v>
      </c>
      <c r="L55" s="2">
        <f t="shared" si="2"/>
        <v>-0.2902235941975419</v>
      </c>
      <c r="M55">
        <f>VLOOKUP(A55,'[70]1otev1kft05ou0sd'!$B$1:$N$15,7,FALSE)</f>
        <v>8</v>
      </c>
      <c r="N55">
        <f>VLOOKUP(A55,'[70]1otev1kft05ou0sd'!$B$1:$N$15,10,FALSE)</f>
        <v>2.14</v>
      </c>
    </row>
    <row r="56" spans="1:14" x14ac:dyDescent="0.3">
      <c r="A56" t="s">
        <v>143</v>
      </c>
      <c r="B56" t="str">
        <f>VLOOKUP(A56,'[5]Ticker List'!$H$4:$I$20,2,FALSE)</f>
        <v>LG</v>
      </c>
      <c r="C56" t="str">
        <f>VLOOKUP(A56,[69]difc7db5voetugfz!$B$1:$N$15,2,FALSE)</f>
        <v>LACLEDE GROUP</v>
      </c>
      <c r="D56">
        <f>VLOOKUP(A56,[69]difc7db5voetugfz!$B$1:$N$15,12,FALSE)</f>
        <v>1.82</v>
      </c>
      <c r="E56">
        <f>VLOOKUP(A56,[53]wixtw8wkz92sncvl!$B$1:$O$16,13,FALSE)</f>
        <v>2.31</v>
      </c>
      <c r="F56" s="1">
        <f t="shared" si="3"/>
        <v>2.0484260341999998</v>
      </c>
      <c r="G56" s="1">
        <f t="shared" si="4"/>
        <v>2.0484260341999998</v>
      </c>
      <c r="H56" s="2">
        <f t="shared" si="0"/>
        <v>6.1414821970287026E-2</v>
      </c>
      <c r="I56" s="2">
        <f>VLOOKUP(A56,'[70]1otev1kft05ou0sd'!$B$1:$N$15,9,FALSE)/100</f>
        <v>0.03</v>
      </c>
      <c r="J56" s="2">
        <f>VLOOKUP(A56,'[70]1otev1kft05ou0sd'!$B$1:$N$15,8,FALSE)/100</f>
        <v>0.03</v>
      </c>
      <c r="K56" s="2">
        <f t="shared" si="1"/>
        <v>-0.51151857096460795</v>
      </c>
      <c r="L56" s="2">
        <f t="shared" si="2"/>
        <v>-0.51151857096460795</v>
      </c>
      <c r="M56">
        <f>VLOOKUP(A56,'[70]1otev1kft05ou0sd'!$B$1:$N$15,7,FALSE)</f>
        <v>1</v>
      </c>
      <c r="N56">
        <f>VLOOKUP(A56,'[70]1otev1kft05ou0sd'!$B$1:$N$15,10,FALSE)</f>
        <v>0</v>
      </c>
    </row>
    <row r="57" spans="1:14" x14ac:dyDescent="0.3">
      <c r="A57" t="s">
        <v>144</v>
      </c>
      <c r="B57" t="str">
        <f>VLOOKUP(A57,'[5]Ticker List'!$H$4:$I$20,2,FALSE)</f>
        <v>GAS</v>
      </c>
      <c r="C57" t="str">
        <f>VLOOKUP(A57,[69]difc7db5voetugfz!$B$1:$N$15,2,FALSE)</f>
        <v>NICOR INC</v>
      </c>
      <c r="D57">
        <f>VLOOKUP(A57,[69]difc7db5voetugfz!$B$1:$N$15,12,FALSE)</f>
        <v>2.88</v>
      </c>
      <c r="E57">
        <f>VLOOKUP(A57,[53]wixtw8wkz92sncvl!$B$1:$O$16,13,FALSE)</f>
        <v>3.03</v>
      </c>
      <c r="F57" s="1">
        <f t="shared" si="3"/>
        <v>3.5233840454197023</v>
      </c>
      <c r="G57" s="1">
        <f t="shared" si="4"/>
        <v>3.5678149937999994</v>
      </c>
      <c r="H57" s="2">
        <f t="shared" si="0"/>
        <v>1.277398042419331E-2</v>
      </c>
      <c r="I57" s="2">
        <f>VLOOKUP(A57,'[70]1otev1kft05ou0sd'!$B$1:$N$15,9,FALSE)/100</f>
        <v>5.1699999999999996E-2</v>
      </c>
      <c r="J57" s="2">
        <f>VLOOKUP(A57,'[70]1otev1kft05ou0sd'!$B$1:$N$15,8,FALSE)/100</f>
        <v>5.5E-2</v>
      </c>
      <c r="K57" s="2">
        <f t="shared" si="1"/>
        <v>3.0472897470613516</v>
      </c>
      <c r="L57" s="2">
        <f t="shared" si="2"/>
        <v>3.3056273904908</v>
      </c>
      <c r="M57">
        <f>VLOOKUP(A57,'[70]1otev1kft05ou0sd'!$B$1:$N$15,7,FALSE)</f>
        <v>6</v>
      </c>
      <c r="N57">
        <f>VLOOKUP(A57,'[70]1otev1kft05ou0sd'!$B$1:$N$15,10,FALSE)</f>
        <v>1.47</v>
      </c>
    </row>
    <row r="58" spans="1:14" x14ac:dyDescent="0.3">
      <c r="A58" t="s">
        <v>146</v>
      </c>
      <c r="B58" t="str">
        <f>VLOOKUP(A58,'[5]Ticker List'!$H$4:$I$20,2,FALSE)</f>
        <v>PNY</v>
      </c>
      <c r="C58" t="str">
        <f>VLOOKUP(A58,[69]difc7db5voetugfz!$B$1:$N$15,2,FALSE)</f>
        <v>PIEDMONT NAT GAS</v>
      </c>
      <c r="D58">
        <f>VLOOKUP(A58,[69]difc7db5voetugfz!$B$1:$N$15,12,FALSE)</f>
        <v>1.1100000000000001</v>
      </c>
      <c r="E58">
        <f>VLOOKUP(A58,[53]wixtw8wkz92sncvl!$B$1:$O$16,13,FALSE)</f>
        <v>1.28</v>
      </c>
      <c r="F58" s="1">
        <f t="shared" si="3"/>
        <v>1.3236956466937495</v>
      </c>
      <c r="G58" s="1">
        <f t="shared" si="4"/>
        <v>1.3236956466937495</v>
      </c>
      <c r="H58" s="2">
        <f t="shared" si="0"/>
        <v>3.6267189648711673E-2</v>
      </c>
      <c r="I58" s="2">
        <f>VLOOKUP(A58,'[70]1otev1kft05ou0sd'!$B$1:$N$15,9,FALSE)/100</f>
        <v>4.4999999999999998E-2</v>
      </c>
      <c r="J58" s="2">
        <f>VLOOKUP(A58,'[70]1otev1kft05ou0sd'!$B$1:$N$15,8,FALSE)/100</f>
        <v>4.4999999999999998E-2</v>
      </c>
      <c r="K58" s="2">
        <f t="shared" si="1"/>
        <v>0.24079093075243405</v>
      </c>
      <c r="L58" s="2">
        <f t="shared" si="2"/>
        <v>0.24079093075243405</v>
      </c>
      <c r="M58">
        <f>VLOOKUP(A58,'[70]1otev1kft05ou0sd'!$B$1:$N$15,7,FALSE)</f>
        <v>4</v>
      </c>
      <c r="N58">
        <f>VLOOKUP(A58,'[70]1otev1kft05ou0sd'!$B$1:$N$15,10,FALSE)</f>
        <v>0.57999999999999996</v>
      </c>
    </row>
    <row r="59" spans="1:14" x14ac:dyDescent="0.3">
      <c r="A59" t="s">
        <v>145</v>
      </c>
      <c r="B59" t="str">
        <f>VLOOKUP(A59,'[5]Ticker List'!$H$4:$I$20,2,FALSE)</f>
        <v>WGL</v>
      </c>
      <c r="C59" t="str">
        <f>VLOOKUP(A59,[69]difc7db5voetugfz!$B$1:$N$15,2,FALSE)</f>
        <v>WGL HOLDING INC</v>
      </c>
      <c r="D59">
        <f>VLOOKUP(A59,[69]difc7db5voetugfz!$B$1:$N$15,12,FALSE)</f>
        <v>2.2999999999999998</v>
      </c>
      <c r="E59">
        <f>VLOOKUP(A59,[53]wixtw8wkz92sncvl!$B$1:$O$16,13,FALSE)</f>
        <v>2.1</v>
      </c>
      <c r="F59" s="1">
        <f t="shared" si="3"/>
        <v>2.7323091134208002</v>
      </c>
      <c r="G59" s="1">
        <f t="shared" si="4"/>
        <v>2.6906746880000001</v>
      </c>
      <c r="H59" s="2">
        <f t="shared" si="0"/>
        <v>-2.2486273290288183E-2</v>
      </c>
      <c r="I59" s="2">
        <f>VLOOKUP(A59,'[70]1otev1kft05ou0sd'!$B$1:$N$15,9,FALSE)/100</f>
        <v>4.4000000000000004E-2</v>
      </c>
      <c r="J59" s="2">
        <f>VLOOKUP(A59,'[70]1otev1kft05ou0sd'!$B$1:$N$15,8,FALSE)/100</f>
        <v>0.04</v>
      </c>
      <c r="K59" s="2">
        <f t="shared" si="1"/>
        <v>2.9567493213294531</v>
      </c>
      <c r="L59" s="2">
        <f t="shared" si="2"/>
        <v>2.7788630193904114</v>
      </c>
      <c r="M59">
        <f>VLOOKUP(A59,'[70]1otev1kft05ou0sd'!$B$1:$N$15,7,FALSE)</f>
        <v>5</v>
      </c>
      <c r="N59">
        <f>VLOOKUP(A59,'[70]1otev1kft05ou0sd'!$B$1:$N$15,10,FALSE)</f>
        <v>0.55000000000000004</v>
      </c>
    </row>
    <row r="60" spans="1:14" x14ac:dyDescent="0.3">
      <c r="A60" t="s">
        <v>149</v>
      </c>
      <c r="B60" t="str">
        <f>VLOOKUP(A60,'[5]Ticker List'!$H$4:$I$20,2,FALSE)</f>
        <v>CGC</v>
      </c>
      <c r="C60" t="str">
        <f>VLOOKUP(A60,[69]difc7db5voetugfz!$B$1:$N$15,2,FALSE)</f>
        <v>CASCADE NAT GAS</v>
      </c>
      <c r="D60">
        <f>VLOOKUP(A60,[69]difc7db5voetugfz!$B$1:$N$15,12,FALSE)</f>
        <v>0.82</v>
      </c>
      <c r="E60">
        <f>VLOOKUP(A60,[53]wixtw8wkz92sncvl!$B$1:$O$16,13,FALSE)</f>
        <v>1.0900000000000001</v>
      </c>
      <c r="F60" s="1">
        <f t="shared" si="3"/>
        <v>0.95928401920000017</v>
      </c>
      <c r="G60" s="1">
        <f t="shared" si="4"/>
        <v>0.95928401920000017</v>
      </c>
      <c r="H60" s="2">
        <f t="shared" si="0"/>
        <v>7.3749961801231168E-2</v>
      </c>
      <c r="I60" s="2">
        <f>VLOOKUP(A60,'[70]1otev1kft05ou0sd'!$B$1:$N$15,9,FALSE)/100</f>
        <v>0.04</v>
      </c>
      <c r="J60" s="2">
        <f>VLOOKUP(A60,'[70]1otev1kft05ou0sd'!$B$1:$N$15,8,FALSE)/100</f>
        <v>0.04</v>
      </c>
      <c r="K60" s="2">
        <f t="shared" si="1"/>
        <v>-0.45762683772220952</v>
      </c>
      <c r="L60" s="2">
        <f t="shared" si="2"/>
        <v>-0.45762683772220952</v>
      </c>
      <c r="M60">
        <f>VLOOKUP(A60,'[70]1otev1kft05ou0sd'!$B$1:$N$15,7,FALSE)</f>
        <v>1</v>
      </c>
      <c r="N60">
        <f>VLOOKUP(A60,'[70]1otev1kft05ou0sd'!$B$1:$N$15,10,FALSE)</f>
        <v>0</v>
      </c>
    </row>
    <row r="61" spans="1:14" x14ac:dyDescent="0.3">
      <c r="A61" t="s">
        <v>150</v>
      </c>
      <c r="B61" t="str">
        <f>VLOOKUP(A61,'[5]Ticker List'!$H$4:$I$20,2,FALSE)</f>
        <v>MN</v>
      </c>
      <c r="C61" t="str">
        <f>VLOOKUP(A61,[69]difc7db5voetugfz!$B$1:$N$15,2,FALSE)</f>
        <v>KEYSPAN CP</v>
      </c>
      <c r="D61">
        <f>VLOOKUP(A61,[69]difc7db5voetugfz!$B$1:$N$15,12,FALSE)</f>
        <v>2.75</v>
      </c>
      <c r="E61">
        <f>VLOOKUP(A61,[53]wixtw8wkz92sncvl!$B$1:$O$16,13,FALSE)</f>
        <v>2.46</v>
      </c>
      <c r="F61" s="1">
        <f t="shared" si="3"/>
        <v>3.7247441347410613</v>
      </c>
      <c r="G61" s="1">
        <f t="shared" si="4"/>
        <v>3.6725401367187498</v>
      </c>
      <c r="H61" s="2">
        <f t="shared" si="0"/>
        <v>-2.7475382741488308E-2</v>
      </c>
      <c r="I61" s="2">
        <f>VLOOKUP(A61,'[70]1otev1kft05ou0sd'!$B$1:$N$15,9,FALSE)/100</f>
        <v>7.8799999999999995E-2</v>
      </c>
      <c r="J61" s="2">
        <f>VLOOKUP(A61,'[70]1otev1kft05ou0sd'!$B$1:$N$15,8,FALSE)/100</f>
        <v>7.4999999999999997E-2</v>
      </c>
      <c r="K61" s="2">
        <f t="shared" si="1"/>
        <v>3.8680219213474549</v>
      </c>
      <c r="L61" s="2">
        <f t="shared" si="2"/>
        <v>3.7297162956987195</v>
      </c>
      <c r="M61">
        <f>VLOOKUP(A61,'[70]1otev1kft05ou0sd'!$B$1:$N$15,7,FALSE)</f>
        <v>8</v>
      </c>
      <c r="N61">
        <f>VLOOKUP(A61,'[70]1otev1kft05ou0sd'!$B$1:$N$15,10,FALSE)</f>
        <v>1.46</v>
      </c>
    </row>
  </sheetData>
  <mergeCells count="3">
    <mergeCell ref="P1:Q1"/>
    <mergeCell ref="P7:Q7"/>
    <mergeCell ref="P13:Q1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2A20E-2619-49AD-AB08-6E800113A7CE}">
  <dimension ref="A1:Q60"/>
  <sheetViews>
    <sheetView topLeftCell="A23" workbookViewId="0">
      <selection activeCell="A60" sqref="A60"/>
    </sheetView>
  </sheetViews>
  <sheetFormatPr defaultRowHeight="14.4" x14ac:dyDescent="0.3"/>
  <cols>
    <col min="1" max="1" width="13.33203125" bestFit="1" customWidth="1"/>
    <col min="2" max="2" width="10.44140625" bestFit="1" customWidth="1"/>
    <col min="3" max="3" width="15.109375" bestFit="1" customWidth="1"/>
    <col min="4" max="5" width="15.44140625" bestFit="1" customWidth="1"/>
    <col min="6" max="6" width="14.33203125" bestFit="1" customWidth="1"/>
    <col min="7" max="7" width="16" bestFit="1" customWidth="1"/>
    <col min="8" max="8" width="18.33203125" bestFit="1" customWidth="1"/>
    <col min="9" max="9" width="21.44140625" bestFit="1" customWidth="1"/>
    <col min="10" max="10" width="23.109375" bestFit="1" customWidth="1"/>
    <col min="11" max="11" width="22" bestFit="1" customWidth="1"/>
    <col min="12" max="12" width="24.109375" bestFit="1" customWidth="1"/>
    <col min="13" max="13" width="19.88671875" bestFit="1" customWidth="1"/>
    <col min="14" max="14" width="8.33203125" bestFit="1" customWidth="1"/>
    <col min="16" max="16" width="51.88671875" bestFit="1" customWidth="1"/>
    <col min="17" max="17" width="12" bestFit="1" customWidth="1"/>
  </cols>
  <sheetData>
    <row r="1" spans="1:17" x14ac:dyDescent="0.3">
      <c r="A1" s="4" t="s">
        <v>0</v>
      </c>
      <c r="B1" s="4" t="s">
        <v>1</v>
      </c>
      <c r="C1" s="4" t="s">
        <v>2</v>
      </c>
      <c r="D1" s="4" t="s">
        <v>96</v>
      </c>
      <c r="E1" s="4" t="s">
        <v>87</v>
      </c>
      <c r="F1" s="4" t="s">
        <v>5</v>
      </c>
      <c r="G1" s="4" t="s">
        <v>6</v>
      </c>
      <c r="H1" s="4" t="s">
        <v>7</v>
      </c>
      <c r="I1" s="4" t="s">
        <v>8</v>
      </c>
      <c r="J1" s="4" t="s">
        <v>9</v>
      </c>
      <c r="K1" s="4" t="s">
        <v>10</v>
      </c>
      <c r="L1" s="4" t="s">
        <v>11</v>
      </c>
      <c r="M1" s="4" t="s">
        <v>12</v>
      </c>
      <c r="N1" s="4" t="s">
        <v>13</v>
      </c>
      <c r="P1" s="111" t="s">
        <v>14</v>
      </c>
      <c r="Q1" s="111"/>
    </row>
    <row r="2" spans="1:17" x14ac:dyDescent="0.3">
      <c r="A2" t="s">
        <v>15</v>
      </c>
      <c r="B2" t="str">
        <f>VLOOKUP(A2,[71]WRDS!$A$1:$N$100,2,FALSE)</f>
        <v>UEP</v>
      </c>
      <c r="C2" t="str">
        <f>VLOOKUP(A2,[71]WRDS!$A$1:$N$100,3,FALSE)</f>
        <v>AMEREN CP</v>
      </c>
      <c r="D2">
        <f>VLOOKUP(A2,[71]WRDS!$A$1:$N$100,13,FALSE)</f>
        <v>3.45</v>
      </c>
      <c r="E2">
        <f>VLOOKUP(A2,[55]WRDS!$A$1:$N$100,13,FALSE)</f>
        <v>3.13</v>
      </c>
      <c r="F2" s="1">
        <f>D2*(1+I2)^4</f>
        <v>4.1664045636969442</v>
      </c>
      <c r="G2" s="1">
        <f>D2*(1+J2)^4</f>
        <v>4.1934965625</v>
      </c>
      <c r="H2" s="2">
        <f t="shared" ref="H2:H60" si="0">((E2/D2)^(1/4)-1)</f>
        <v>-2.4041590430292192E-2</v>
      </c>
      <c r="I2" s="2">
        <f>VLOOKUP(A2,[72]WRDS!$A$1:$O$100,10,FALSE)/100</f>
        <v>4.8300000000000003E-2</v>
      </c>
      <c r="J2" s="2">
        <f>VLOOKUP(A2,[72]WRDS!$A$1:$O$100,9,FALSE)/100</f>
        <v>0.05</v>
      </c>
      <c r="K2" s="2">
        <f t="shared" ref="K2:K60" si="1">(I2-H2)/(ABS(H2))</f>
        <v>3.0090185023342895</v>
      </c>
      <c r="L2" s="2">
        <f t="shared" ref="L2:L60" si="2">(J2-H2)/(ABS(H2))</f>
        <v>3.0797292984827012</v>
      </c>
      <c r="M2">
        <f>VLOOKUP(A2,[72]WRDS!$A$1:$O$100,8,FALSE)</f>
        <v>6</v>
      </c>
      <c r="N2">
        <f>VLOOKUP(A2,[72]WRDS!$A$1:$O$100,11,FALSE)</f>
        <v>1.72</v>
      </c>
      <c r="P2" t="s">
        <v>16</v>
      </c>
      <c r="Q2" s="3">
        <f>AVERAGE(H2:H999)</f>
        <v>7.3771733928725278E-3</v>
      </c>
    </row>
    <row r="3" spans="1:17" x14ac:dyDescent="0.3">
      <c r="A3" t="s">
        <v>17</v>
      </c>
      <c r="B3" t="str">
        <f>VLOOKUP(A3,[71]WRDS!$A$1:$N$100,2,FALSE)</f>
        <v>MPL</v>
      </c>
      <c r="C3" t="str">
        <f>VLOOKUP(A3,[71]WRDS!$A$1:$N$100,3,FALSE)</f>
        <v>ALLETE INC</v>
      </c>
      <c r="D3">
        <f>VLOOKUP(A3,[71]WRDS!$A$1:$N$100,13,FALSE)</f>
        <v>5.61</v>
      </c>
      <c r="E3">
        <f>VLOOKUP(A3,[55]WRDS!$A$1:$N$100,13,FALSE)</f>
        <v>2.63</v>
      </c>
      <c r="F3" s="1">
        <f t="shared" ref="F3:F60" si="3">D3*(1+I3)^4</f>
        <v>7.7517627639225211</v>
      </c>
      <c r="G3" s="1">
        <f t="shared" ref="G3:G60" si="4">D3*(1+J3)^4</f>
        <v>7.7746673105062492</v>
      </c>
      <c r="H3" s="2">
        <f t="shared" si="0"/>
        <v>-0.1725376889575887</v>
      </c>
      <c r="I3" s="2">
        <f>VLOOKUP(A3,[72]WRDS!$A$1:$O$100,10,FALSE)/100</f>
        <v>8.4199999999999997E-2</v>
      </c>
      <c r="J3" s="2">
        <f>VLOOKUP(A3,[72]WRDS!$A$1:$O$100,9,FALSE)/100</f>
        <v>8.5000000000000006E-2</v>
      </c>
      <c r="K3" s="2">
        <f t="shared" si="1"/>
        <v>1.4880093184782202</v>
      </c>
      <c r="L3" s="2">
        <f t="shared" si="2"/>
        <v>1.492645986587277</v>
      </c>
      <c r="M3">
        <f>VLOOKUP(A3,[72]WRDS!$A$1:$O$100,8,FALSE)</f>
        <v>6</v>
      </c>
      <c r="N3">
        <f>VLOOKUP(A3,[72]WRDS!$A$1:$O$100,11,FALSE)</f>
        <v>3.23</v>
      </c>
      <c r="P3" t="s">
        <v>18</v>
      </c>
      <c r="Q3" s="3">
        <f>AVERAGE(I2:I999)</f>
        <v>6.6889830508474565E-2</v>
      </c>
    </row>
    <row r="4" spans="1:17" x14ac:dyDescent="0.3">
      <c r="A4" t="s">
        <v>63</v>
      </c>
      <c r="B4" t="str">
        <f>VLOOKUP(A4,[71]WRDS!$A$1:$N$100,2,FALSE)</f>
        <v>WWP</v>
      </c>
      <c r="C4" t="str">
        <f>VLOOKUP(A4,[71]WRDS!$A$1:$N$100,3,FALSE)</f>
        <v>AVISTA CORP</v>
      </c>
      <c r="D4">
        <f>VLOOKUP(A4,[71]WRDS!$A$1:$N$100,13,FALSE)</f>
        <v>1.39</v>
      </c>
      <c r="E4">
        <f>VLOOKUP(A4,[55]WRDS!$A$1:$N$100,13,FALSE)</f>
        <v>0.92</v>
      </c>
      <c r="F4" s="1">
        <f t="shared" si="3"/>
        <v>1.9620984379000002</v>
      </c>
      <c r="G4" s="1">
        <f t="shared" si="4"/>
        <v>1.6261033984000002</v>
      </c>
      <c r="H4" s="2">
        <f t="shared" si="0"/>
        <v>-9.8027582829266269E-2</v>
      </c>
      <c r="I4" s="2">
        <f>VLOOKUP(A4,[72]WRDS!$A$1:$O$100,10,FALSE)/100</f>
        <v>0.09</v>
      </c>
      <c r="J4" s="2">
        <f>VLOOKUP(A4,[72]WRDS!$A$1:$O$100,9,FALSE)/100</f>
        <v>0.04</v>
      </c>
      <c r="K4" s="2">
        <f t="shared" si="1"/>
        <v>1.9181089383459773</v>
      </c>
      <c r="L4" s="2">
        <f t="shared" si="2"/>
        <v>1.4080484170426566</v>
      </c>
      <c r="M4">
        <f>VLOOKUP(A4,[72]WRDS!$A$1:$O$100,8,FALSE)</f>
        <v>3</v>
      </c>
      <c r="N4">
        <f>VLOOKUP(A4,[72]WRDS!$A$1:$O$100,11,FALSE)</f>
        <v>9.5399999999999991</v>
      </c>
      <c r="P4" t="s">
        <v>20</v>
      </c>
      <c r="Q4" s="3">
        <f>(Q3-Q2)/ABS(Q2)</f>
        <v>8.0671354658818686</v>
      </c>
    </row>
    <row r="5" spans="1:17" x14ac:dyDescent="0.3">
      <c r="A5" t="s">
        <v>19</v>
      </c>
      <c r="B5" t="str">
        <f>VLOOKUP(A5,[71]WRDS!$A$1:$N$100,2,FALSE)</f>
        <v>BHP</v>
      </c>
      <c r="C5" t="str">
        <f>VLOOKUP(A5,[71]WRDS!$A$1:$N$100,3,FALSE)</f>
        <v>BLACK HILLS CP</v>
      </c>
      <c r="D5">
        <f>VLOOKUP(A5,[71]WRDS!$A$1:$N$100,13,FALSE)</f>
        <v>3.78</v>
      </c>
      <c r="E5">
        <f>VLOOKUP(A5,[55]WRDS!$A$1:$N$100,13,FALSE)</f>
        <v>2.27</v>
      </c>
      <c r="F5" s="1">
        <f t="shared" si="3"/>
        <v>6.6112436249999975</v>
      </c>
      <c r="G5" s="1">
        <f t="shared" si="4"/>
        <v>6.6112436249999975</v>
      </c>
      <c r="H5" s="2">
        <f t="shared" si="0"/>
        <v>-0.11969429917570384</v>
      </c>
      <c r="I5" s="2">
        <f>VLOOKUP(A5,[72]WRDS!$A$1:$O$100,10,FALSE)/100</f>
        <v>0.15</v>
      </c>
      <c r="J5" s="2">
        <f>VLOOKUP(A5,[72]WRDS!$A$1:$O$100,9,FALSE)/100</f>
        <v>0.15</v>
      </c>
      <c r="K5" s="2">
        <f t="shared" si="1"/>
        <v>2.2531925165442446</v>
      </c>
      <c r="L5" s="2">
        <f t="shared" si="2"/>
        <v>2.2531925165442446</v>
      </c>
      <c r="M5">
        <f>VLOOKUP(A5,[72]WRDS!$A$1:$O$100,8,FALSE)</f>
        <v>2</v>
      </c>
      <c r="N5">
        <f>VLOOKUP(A5,[72]WRDS!$A$1:$O$100,11,FALSE)</f>
        <v>0</v>
      </c>
      <c r="P5" t="s">
        <v>22</v>
      </c>
      <c r="Q5" s="3">
        <f>AVERAGE(J2:J999)</f>
        <v>6.6355932203389825E-2</v>
      </c>
    </row>
    <row r="6" spans="1:17" x14ac:dyDescent="0.3">
      <c r="A6" t="s">
        <v>83</v>
      </c>
      <c r="B6" t="str">
        <f>VLOOKUP(A6,[71]WRDS!$A$1:$N$100,2,FALSE)</f>
        <v>BGE</v>
      </c>
      <c r="C6" t="str">
        <f>VLOOKUP(A6,[71]WRDS!$A$1:$N$100,3,FALSE)</f>
        <v>CONSTELLATION EN</v>
      </c>
      <c r="D6">
        <f>VLOOKUP(A6,[71]WRDS!$A$1:$N$100,13,FALSE)</f>
        <v>2.6</v>
      </c>
      <c r="E6">
        <f>VLOOKUP(A6,[55]WRDS!$A$1:$N$100,13,FALSE)</f>
        <v>3.62</v>
      </c>
      <c r="F6" s="1">
        <f t="shared" si="3"/>
        <v>3.3978886932251275</v>
      </c>
      <c r="G6" s="1">
        <f t="shared" si="4"/>
        <v>3.2824400960000011</v>
      </c>
      <c r="H6" s="2">
        <f t="shared" si="0"/>
        <v>8.6260045257482876E-2</v>
      </c>
      <c r="I6" s="2">
        <f>VLOOKUP(A6,[72]WRDS!$A$1:$O$100,10,FALSE)/100</f>
        <v>6.9199999999999998E-2</v>
      </c>
      <c r="J6" s="2">
        <f>VLOOKUP(A6,[72]WRDS!$A$1:$O$100,9,FALSE)/100</f>
        <v>0.06</v>
      </c>
      <c r="K6" s="2">
        <f t="shared" si="1"/>
        <v>-0.19777459200907335</v>
      </c>
      <c r="L6" s="2">
        <f t="shared" si="2"/>
        <v>-0.30442883700208673</v>
      </c>
      <c r="M6">
        <f>VLOOKUP(A6,[72]WRDS!$A$1:$O$100,8,FALSE)</f>
        <v>13</v>
      </c>
      <c r="N6">
        <f>VLOOKUP(A6,[72]WRDS!$A$1:$O$100,11,FALSE)</f>
        <v>4.09</v>
      </c>
      <c r="P6" t="s">
        <v>24</v>
      </c>
      <c r="Q6" s="3">
        <f>(Q5-Q2)/ABS(Q2)</f>
        <v>7.9947638030983184</v>
      </c>
    </row>
    <row r="7" spans="1:17" x14ac:dyDescent="0.3">
      <c r="A7" t="s">
        <v>88</v>
      </c>
      <c r="B7" t="str">
        <f>VLOOKUP(A7,[71]WRDS!$A$1:$N$100,2,FALSE)</f>
        <v>CIN</v>
      </c>
      <c r="C7" t="str">
        <f>VLOOKUP(A7,[71]WRDS!$A$1:$N$100,3,FALSE)</f>
        <v>CINERGY CORP</v>
      </c>
      <c r="D7">
        <f>VLOOKUP(A7,[71]WRDS!$A$1:$N$100,13,FALSE)</f>
        <v>2.75</v>
      </c>
      <c r="E7">
        <f>VLOOKUP(A7,[55]WRDS!$A$1:$N$100,13,FALSE)</f>
        <v>2.81</v>
      </c>
      <c r="F7" s="1">
        <f t="shared" si="3"/>
        <v>3.5046806335449219</v>
      </c>
      <c r="G7" s="1">
        <f t="shared" si="4"/>
        <v>3.5377824642187488</v>
      </c>
      <c r="H7" s="2">
        <f t="shared" si="0"/>
        <v>5.410476966502431E-3</v>
      </c>
      <c r="I7" s="2">
        <f>VLOOKUP(A7,[72]WRDS!$A$1:$O$100,10,FALSE)/100</f>
        <v>6.25E-2</v>
      </c>
      <c r="J7" s="2">
        <f>VLOOKUP(A7,[72]WRDS!$A$1:$O$100,9,FALSE)/100</f>
        <v>6.5000000000000002E-2</v>
      </c>
      <c r="K7" s="2">
        <f t="shared" si="1"/>
        <v>10.551661782676941</v>
      </c>
      <c r="L7" s="2">
        <f t="shared" si="2"/>
        <v>11.013728253984018</v>
      </c>
      <c r="M7">
        <f>VLOOKUP(A7,[72]WRDS!$A$1:$O$100,8,FALSE)</f>
        <v>12</v>
      </c>
      <c r="N7">
        <f>VLOOKUP(A7,[72]WRDS!$A$1:$O$100,11,FALSE)</f>
        <v>1.34</v>
      </c>
      <c r="P7" s="111" t="s">
        <v>26</v>
      </c>
      <c r="Q7" s="111"/>
    </row>
    <row r="8" spans="1:17" x14ac:dyDescent="0.3">
      <c r="A8" t="s">
        <v>21</v>
      </c>
      <c r="B8" t="str">
        <f>VLOOKUP(A8,[71]WRDS!$A$1:$N$100,2,FALSE)</f>
        <v>CMS</v>
      </c>
      <c r="C8" t="str">
        <f>VLOOKUP(A8,[71]WRDS!$A$1:$N$100,3,FALSE)</f>
        <v>CMS ENERGY CORP</v>
      </c>
      <c r="D8">
        <f>VLOOKUP(A8,[71]WRDS!$A$1:$N$100,13,FALSE)</f>
        <v>1.47</v>
      </c>
      <c r="E8">
        <f>VLOOKUP(A8,[55]WRDS!$A$1:$N$100,13,FALSE)</f>
        <v>0.96</v>
      </c>
      <c r="F8" s="1">
        <f t="shared" si="3"/>
        <v>2.0088221242616591</v>
      </c>
      <c r="G8" s="1">
        <f t="shared" si="4"/>
        <v>1.9999187712000004</v>
      </c>
      <c r="H8" s="2">
        <f t="shared" si="0"/>
        <v>-0.10104391895834608</v>
      </c>
      <c r="I8" s="2">
        <f>VLOOKUP(A8,[72]WRDS!$A$1:$O$100,10,FALSE)/100</f>
        <v>8.1199999999999994E-2</v>
      </c>
      <c r="J8" s="2">
        <f>VLOOKUP(A8,[72]WRDS!$A$1:$O$100,9,FALSE)/100</f>
        <v>0.08</v>
      </c>
      <c r="K8" s="2">
        <f t="shared" si="1"/>
        <v>1.8036109529112141</v>
      </c>
      <c r="L8" s="2">
        <f t="shared" si="2"/>
        <v>1.7917349289765658</v>
      </c>
      <c r="M8">
        <f>VLOOKUP(A8,[72]WRDS!$A$1:$O$100,8,FALSE)</f>
        <v>11</v>
      </c>
      <c r="N8">
        <f>VLOOKUP(A8,[72]WRDS!$A$1:$O$100,11,FALSE)</f>
        <v>1.55</v>
      </c>
      <c r="P8" t="s">
        <v>28</v>
      </c>
      <c r="Q8" s="2">
        <f>MEDIAN(H2:H99)</f>
        <v>5.410476966502431E-3</v>
      </c>
    </row>
    <row r="9" spans="1:17" x14ac:dyDescent="0.3">
      <c r="A9" t="s">
        <v>71</v>
      </c>
      <c r="B9" t="str">
        <f>VLOOKUP(A9,[71]WRDS!$A$1:$N$100,2,FALSE)</f>
        <v>CNL</v>
      </c>
      <c r="C9" t="str">
        <f>VLOOKUP(A9,[71]WRDS!$A$1:$N$100,3,FALSE)</f>
        <v>CLECO CORP</v>
      </c>
      <c r="D9">
        <f>VLOOKUP(A9,[71]WRDS!$A$1:$N$100,13,FALSE)</f>
        <v>1.51</v>
      </c>
      <c r="E9">
        <f>VLOOKUP(A9,[55]WRDS!$A$1:$N$100,13,FALSE)</f>
        <v>1.43</v>
      </c>
      <c r="F9" s="1">
        <f t="shared" si="3"/>
        <v>2.1843806521276465</v>
      </c>
      <c r="G9" s="1">
        <f t="shared" si="4"/>
        <v>2.2107910000000008</v>
      </c>
      <c r="H9" s="2">
        <f t="shared" si="0"/>
        <v>-1.3516620529664181E-2</v>
      </c>
      <c r="I9" s="2">
        <f>VLOOKUP(A9,[72]WRDS!$A$1:$O$100,10,FALSE)/100</f>
        <v>9.6699999999999994E-2</v>
      </c>
      <c r="J9" s="2">
        <f>VLOOKUP(A9,[72]WRDS!$A$1:$O$100,9,FALSE)/100</f>
        <v>0.1</v>
      </c>
      <c r="K9" s="2">
        <f t="shared" si="1"/>
        <v>8.1541551224122806</v>
      </c>
      <c r="L9" s="2">
        <f t="shared" si="2"/>
        <v>8.3982989890509643</v>
      </c>
      <c r="M9">
        <f>VLOOKUP(A9,[72]WRDS!$A$1:$O$100,8,FALSE)</f>
        <v>3</v>
      </c>
      <c r="N9">
        <f>VLOOKUP(A9,[72]WRDS!$A$1:$O$100,11,FALSE)</f>
        <v>0.57999999999999996</v>
      </c>
      <c r="P9" t="s">
        <v>30</v>
      </c>
      <c r="Q9" s="2">
        <f>MEDIAN(I2:I100)</f>
        <v>6.3799999999999996E-2</v>
      </c>
    </row>
    <row r="10" spans="1:17" x14ac:dyDescent="0.3">
      <c r="A10" t="s">
        <v>25</v>
      </c>
      <c r="B10" t="str">
        <f>VLOOKUP(A10,[71]WRDS!$A$1:$N$100,2,FALSE)</f>
        <v>D</v>
      </c>
      <c r="C10" t="str">
        <f>VLOOKUP(A10,[71]WRDS!$A$1:$N$100,3,FALSE)</f>
        <v>DOMINION RES INC</v>
      </c>
      <c r="D10">
        <f>VLOOKUP(A10,[71]WRDS!$A$1:$N$100,13,FALSE)</f>
        <v>2.085</v>
      </c>
      <c r="E10">
        <f>VLOOKUP(A10,[55]WRDS!$A$1:$N$100,13,FALSE)</f>
        <v>2.2650000000000001</v>
      </c>
      <c r="F10" s="1">
        <f t="shared" si="3"/>
        <v>3.0827304881416482</v>
      </c>
      <c r="G10" s="1">
        <f t="shared" si="4"/>
        <v>3.052648500000001</v>
      </c>
      <c r="H10" s="2">
        <f t="shared" si="0"/>
        <v>2.0917237764572549E-2</v>
      </c>
      <c r="I10" s="2">
        <f>VLOOKUP(A10,[72]WRDS!$A$1:$O$100,10,FALSE)/100</f>
        <v>0.1027</v>
      </c>
      <c r="J10" s="2">
        <f>VLOOKUP(A10,[72]WRDS!$A$1:$O$100,9,FALSE)/100</f>
        <v>0.1</v>
      </c>
      <c r="K10" s="2">
        <f t="shared" si="1"/>
        <v>3.9098261039965143</v>
      </c>
      <c r="L10" s="2">
        <f t="shared" si="2"/>
        <v>3.7807459629956326</v>
      </c>
      <c r="M10">
        <f>VLOOKUP(A10,[72]WRDS!$A$1:$O$100,8,FALSE)</f>
        <v>15</v>
      </c>
      <c r="N10">
        <f>VLOOKUP(A10,[72]WRDS!$A$1:$O$100,11,FALSE)</f>
        <v>1.68</v>
      </c>
      <c r="P10" t="s">
        <v>32</v>
      </c>
      <c r="Q10" s="2">
        <f>(Q9-Q8)/ABS(Q8)</f>
        <v>10.79193634775662</v>
      </c>
    </row>
    <row r="11" spans="1:17" x14ac:dyDescent="0.3">
      <c r="A11" t="s">
        <v>86</v>
      </c>
      <c r="B11" t="str">
        <f>VLOOKUP(A11,[71]WRDS!$A$1:$N$100,2,FALSE)</f>
        <v>DPL</v>
      </c>
      <c r="C11" t="str">
        <f>VLOOKUP(A11,[71]WRDS!$A$1:$N$100,3,FALSE)</f>
        <v>DPL INC</v>
      </c>
      <c r="D11">
        <f>VLOOKUP(A11,[71]WRDS!$A$1:$N$100,13,FALSE)</f>
        <v>1.37</v>
      </c>
      <c r="E11">
        <f>VLOOKUP(A11,[55]WRDS!$A$1:$N$100,13,FALSE)</f>
        <v>1.1499999999999999</v>
      </c>
      <c r="F11" s="1">
        <f t="shared" si="3"/>
        <v>1.8979265621776995</v>
      </c>
      <c r="G11" s="1">
        <f t="shared" si="4"/>
        <v>2.0058170000000008</v>
      </c>
      <c r="H11" s="2">
        <f t="shared" si="0"/>
        <v>-4.2818451209759578E-2</v>
      </c>
      <c r="I11" s="2">
        <f>VLOOKUP(A11,[72]WRDS!$A$1:$O$100,10,FALSE)/100</f>
        <v>8.4900000000000003E-2</v>
      </c>
      <c r="J11" s="2">
        <f>VLOOKUP(A11,[72]WRDS!$A$1:$O$100,9,FALSE)/100</f>
        <v>0.1</v>
      </c>
      <c r="K11" s="2">
        <f t="shared" si="1"/>
        <v>2.982790073001258</v>
      </c>
      <c r="L11" s="2">
        <f t="shared" si="2"/>
        <v>3.3354417820980662</v>
      </c>
      <c r="M11">
        <f>VLOOKUP(A11,[72]WRDS!$A$1:$O$100,8,FALSE)</f>
        <v>12</v>
      </c>
      <c r="N11">
        <f>VLOOKUP(A11,[72]WRDS!$A$1:$O$100,11,FALSE)</f>
        <v>3.43</v>
      </c>
      <c r="P11" t="s">
        <v>34</v>
      </c>
      <c r="Q11" s="2">
        <f>MEDIAN(J2:J99)</f>
        <v>0.06</v>
      </c>
    </row>
    <row r="12" spans="1:17" x14ac:dyDescent="0.3">
      <c r="A12" t="s">
        <v>27</v>
      </c>
      <c r="B12" t="str">
        <f>VLOOKUP(A12,[71]WRDS!$A$1:$N$100,2,FALSE)</f>
        <v>DTE</v>
      </c>
      <c r="C12" t="str">
        <f>VLOOKUP(A12,[71]WRDS!$A$1:$N$100,3,FALSE)</f>
        <v>DTE ENERGY</v>
      </c>
      <c r="D12">
        <f>VLOOKUP(A12,[71]WRDS!$A$1:$N$100,13,FALSE)</f>
        <v>3.39</v>
      </c>
      <c r="E12">
        <f>VLOOKUP(A12,[55]WRDS!$A$1:$N$100,13,FALSE)</f>
        <v>3.27</v>
      </c>
      <c r="F12" s="1">
        <f t="shared" si="3"/>
        <v>4.4435984738999998</v>
      </c>
      <c r="G12" s="1">
        <f t="shared" si="4"/>
        <v>4.4435984738999998</v>
      </c>
      <c r="H12" s="2">
        <f t="shared" si="0"/>
        <v>-8.9695158445802781E-3</v>
      </c>
      <c r="I12" s="2">
        <f>VLOOKUP(A12,[72]WRDS!$A$1:$O$100,10,FALSE)/100</f>
        <v>7.0000000000000007E-2</v>
      </c>
      <c r="J12" s="2">
        <f>VLOOKUP(A12,[72]WRDS!$A$1:$O$100,9,FALSE)/100</f>
        <v>7.0000000000000007E-2</v>
      </c>
      <c r="K12" s="2">
        <f t="shared" si="1"/>
        <v>8.8042116445222245</v>
      </c>
      <c r="L12" s="2">
        <f t="shared" si="2"/>
        <v>8.8042116445222245</v>
      </c>
      <c r="M12">
        <f>VLOOKUP(A12,[72]WRDS!$A$1:$O$100,8,FALSE)</f>
        <v>9</v>
      </c>
      <c r="N12">
        <f>VLOOKUP(A12,[72]WRDS!$A$1:$O$100,11,FALSE)</f>
        <v>0.87</v>
      </c>
      <c r="P12" t="s">
        <v>32</v>
      </c>
      <c r="Q12" s="2">
        <f>(Q11-Q8)/ABS(Q8)</f>
        <v>10.089595311369862</v>
      </c>
    </row>
    <row r="13" spans="1:17" x14ac:dyDescent="0.3">
      <c r="A13" t="s">
        <v>29</v>
      </c>
      <c r="B13" t="str">
        <f>VLOOKUP(A13,[71]WRDS!$A$1:$N$100,2,FALSE)</f>
        <v>DUK</v>
      </c>
      <c r="C13" t="str">
        <f>VLOOKUP(A13,[71]WRDS!$A$1:$N$100,3,FALSE)</f>
        <v>DUKE ENERGY CORP</v>
      </c>
      <c r="D13">
        <f>VLOOKUP(A13,[71]WRDS!$A$1:$N$100,13,FALSE)</f>
        <v>7.92</v>
      </c>
      <c r="E13">
        <f>VLOOKUP(A13,[55]WRDS!$A$1:$N$100,13,FALSE)</f>
        <v>5.19</v>
      </c>
      <c r="F13" s="1">
        <f t="shared" si="3"/>
        <v>12.740523510552334</v>
      </c>
      <c r="G13" s="1">
        <f t="shared" si="4"/>
        <v>12.913350991199994</v>
      </c>
      <c r="H13" s="2">
        <f t="shared" si="0"/>
        <v>-0.10027343380876907</v>
      </c>
      <c r="I13" s="2">
        <f>VLOOKUP(A13,[72]WRDS!$A$1:$O$100,10,FALSE)/100</f>
        <v>0.12619999999999998</v>
      </c>
      <c r="J13" s="2">
        <f>VLOOKUP(A13,[72]WRDS!$A$1:$O$100,9,FALSE)/100</f>
        <v>0.13</v>
      </c>
      <c r="K13" s="2">
        <f t="shared" si="1"/>
        <v>2.2585586750791373</v>
      </c>
      <c r="L13" s="2">
        <f t="shared" si="2"/>
        <v>2.2964550535680499</v>
      </c>
      <c r="M13">
        <f>VLOOKUP(A13,[72]WRDS!$A$1:$O$100,8,FALSE)</f>
        <v>17</v>
      </c>
      <c r="N13">
        <f>VLOOKUP(A13,[72]WRDS!$A$1:$O$100,11,FALSE)</f>
        <v>2.16</v>
      </c>
      <c r="P13" s="111" t="s">
        <v>37</v>
      </c>
      <c r="Q13" s="111"/>
    </row>
    <row r="14" spans="1:17" x14ac:dyDescent="0.3">
      <c r="A14" t="s">
        <v>93</v>
      </c>
      <c r="B14" t="str">
        <f>VLOOKUP(A14,[71]WRDS!$A$1:$N$100,2,FALSE)</f>
        <v>NGE</v>
      </c>
      <c r="C14" t="str">
        <f>VLOOKUP(A14,[71]WRDS!$A$1:$N$100,3,FALSE)</f>
        <v>ENERGY EAST CORP</v>
      </c>
      <c r="D14">
        <f>VLOOKUP(A14,[71]WRDS!$A$1:$N$100,13,FALSE)</f>
        <v>2</v>
      </c>
      <c r="E14">
        <f>VLOOKUP(A14,[55]WRDS!$A$1:$N$100,13,FALSE)</f>
        <v>1.78</v>
      </c>
      <c r="F14" s="1">
        <f t="shared" si="3"/>
        <v>2.640262329407105</v>
      </c>
      <c r="G14" s="1">
        <f t="shared" si="4"/>
        <v>2.7209779200000006</v>
      </c>
      <c r="H14" s="2">
        <f t="shared" si="0"/>
        <v>-2.8713166358330433E-2</v>
      </c>
      <c r="I14" s="2">
        <f>VLOOKUP(A14,[72]WRDS!$A$1:$O$100,10,FALSE)/100</f>
        <v>7.1900000000000006E-2</v>
      </c>
      <c r="J14" s="2">
        <f>VLOOKUP(A14,[72]WRDS!$A$1:$O$100,9,FALSE)/100</f>
        <v>0.08</v>
      </c>
      <c r="K14" s="2">
        <f t="shared" si="1"/>
        <v>3.5040777148264581</v>
      </c>
      <c r="L14" s="2">
        <f t="shared" si="2"/>
        <v>3.7861782640628183</v>
      </c>
      <c r="M14">
        <f>VLOOKUP(A14,[72]WRDS!$A$1:$O$100,8,FALSE)</f>
        <v>7</v>
      </c>
      <c r="N14">
        <f>VLOOKUP(A14,[72]WRDS!$A$1:$O$100,11,FALSE)</f>
        <v>2.75</v>
      </c>
      <c r="P14" t="s">
        <v>39</v>
      </c>
      <c r="Q14" s="1">
        <f>AVERAGE(M2:M1002)</f>
        <v>7.1694915254237293</v>
      </c>
    </row>
    <row r="15" spans="1:17" x14ac:dyDescent="0.3">
      <c r="A15" t="s">
        <v>31</v>
      </c>
      <c r="B15" t="str">
        <f>VLOOKUP(A15,[71]WRDS!$A$1:$N$100,2,FALSE)</f>
        <v>ED</v>
      </c>
      <c r="C15" t="str">
        <f>VLOOKUP(A15,[71]WRDS!$A$1:$N$100,3,FALSE)</f>
        <v>CONS EDISON INC</v>
      </c>
      <c r="D15">
        <f>VLOOKUP(A15,[71]WRDS!$A$1:$N$100,13,FALSE)</f>
        <v>3.21</v>
      </c>
      <c r="E15">
        <f>VLOOKUP(A15,[55]WRDS!$A$1:$N$100,13,FALSE)</f>
        <v>3</v>
      </c>
      <c r="F15" s="1">
        <f t="shared" si="3"/>
        <v>3.792939493949723</v>
      </c>
      <c r="G15" s="1">
        <f t="shared" si="4"/>
        <v>3.7987635842312089</v>
      </c>
      <c r="H15" s="2">
        <f t="shared" si="0"/>
        <v>-1.6772412385787638E-2</v>
      </c>
      <c r="I15" s="2">
        <f>VLOOKUP(A15,[72]WRDS!$A$1:$O$100,10,FALSE)/100</f>
        <v>4.2599999999999999E-2</v>
      </c>
      <c r="J15" s="2">
        <f>VLOOKUP(A15,[72]WRDS!$A$1:$O$100,9,FALSE)/100</f>
        <v>4.2999999999999997E-2</v>
      </c>
      <c r="K15" s="2">
        <f t="shared" si="1"/>
        <v>3.5398850815341127</v>
      </c>
      <c r="L15" s="2">
        <f t="shared" si="2"/>
        <v>3.5637337677457004</v>
      </c>
      <c r="M15">
        <f>VLOOKUP(A15,[72]WRDS!$A$1:$O$100,8,FALSE)</f>
        <v>8</v>
      </c>
      <c r="N15">
        <f>VLOOKUP(A15,[72]WRDS!$A$1:$O$100,11,FALSE)</f>
        <v>1.2</v>
      </c>
      <c r="P15" t="s">
        <v>41</v>
      </c>
      <c r="Q15" s="1">
        <f>COUNT(N2:N1002)</f>
        <v>59</v>
      </c>
    </row>
    <row r="16" spans="1:17" x14ac:dyDescent="0.3">
      <c r="A16" t="s">
        <v>72</v>
      </c>
      <c r="B16" t="str">
        <f>VLOOKUP(A16,[71]WRDS!$A$1:$N$100,2,FALSE)</f>
        <v>EDE</v>
      </c>
      <c r="C16" t="str">
        <f>VLOOKUP(A16,[71]WRDS!$A$1:$N$100,3,FALSE)</f>
        <v>EMPIRE DIST ELEC</v>
      </c>
      <c r="D16">
        <f>VLOOKUP(A16,[71]WRDS!$A$1:$N$100,13,FALSE)</f>
        <v>0.68</v>
      </c>
      <c r="E16">
        <f>VLOOKUP(A16,[55]WRDS!$A$1:$N$100,13,FALSE)</f>
        <v>0.92</v>
      </c>
      <c r="F16" s="1">
        <f t="shared" si="3"/>
        <v>0.85848433280000025</v>
      </c>
      <c r="G16" s="1">
        <f t="shared" si="4"/>
        <v>0.85848433280000025</v>
      </c>
      <c r="H16" s="2">
        <f t="shared" si="0"/>
        <v>7.8498955064676634E-2</v>
      </c>
      <c r="I16" s="2">
        <f>VLOOKUP(A16,[72]WRDS!$A$1:$O$100,10,FALSE)/100</f>
        <v>0.06</v>
      </c>
      <c r="J16" s="2">
        <f>VLOOKUP(A16,[72]WRDS!$A$1:$O$100,9,FALSE)/100</f>
        <v>0.06</v>
      </c>
      <c r="K16" s="2">
        <f t="shared" si="1"/>
        <v>-0.235658615448257</v>
      </c>
      <c r="L16" s="2">
        <f t="shared" si="2"/>
        <v>-0.235658615448257</v>
      </c>
      <c r="M16">
        <f>VLOOKUP(A16,[72]WRDS!$A$1:$O$100,8,FALSE)</f>
        <v>1</v>
      </c>
      <c r="N16">
        <f>VLOOKUP(A16,[72]WRDS!$A$1:$O$100,11,FALSE)</f>
        <v>0</v>
      </c>
    </row>
    <row r="17" spans="1:14" x14ac:dyDescent="0.3">
      <c r="A17" t="s">
        <v>33</v>
      </c>
      <c r="B17" t="str">
        <f>VLOOKUP(A17,[71]WRDS!$A$1:$N$100,2,FALSE)</f>
        <v>SCE</v>
      </c>
      <c r="C17" t="str">
        <f>VLOOKUP(A17,[71]WRDS!$A$1:$N$100,3,FALSE)</f>
        <v>EDISON INTL</v>
      </c>
      <c r="D17">
        <f>VLOOKUP(A17,[71]WRDS!$A$1:$N$100,13,FALSE)</f>
        <v>1.3</v>
      </c>
      <c r="E17">
        <f>VLOOKUP(A17,[55]WRDS!$A$1:$N$100,13,FALSE)</f>
        <v>3.13</v>
      </c>
      <c r="F17" s="1">
        <f t="shared" si="3"/>
        <v>1.7903515842451614</v>
      </c>
      <c r="G17" s="1">
        <f t="shared" si="4"/>
        <v>1.8350560930000004</v>
      </c>
      <c r="H17" s="2">
        <f t="shared" si="0"/>
        <v>0.24566208659032962</v>
      </c>
      <c r="I17" s="2">
        <f>VLOOKUP(A17,[72]WRDS!$A$1:$O$100,10,FALSE)/100</f>
        <v>8.3299999999999999E-2</v>
      </c>
      <c r="J17" s="2">
        <f>VLOOKUP(A17,[72]WRDS!$A$1:$O$100,9,FALSE)/100</f>
        <v>0.09</v>
      </c>
      <c r="K17" s="2">
        <f t="shared" si="1"/>
        <v>-0.66091633773789227</v>
      </c>
      <c r="L17" s="2">
        <f t="shared" si="2"/>
        <v>-0.63364310199772278</v>
      </c>
      <c r="M17">
        <f>VLOOKUP(A17,[72]WRDS!$A$1:$O$100,8,FALSE)</f>
        <v>9</v>
      </c>
      <c r="N17">
        <f>VLOOKUP(A17,[72]WRDS!$A$1:$O$100,11,FALSE)</f>
        <v>2.2400000000000002</v>
      </c>
    </row>
    <row r="18" spans="1:14" x14ac:dyDescent="0.3">
      <c r="A18" t="s">
        <v>59</v>
      </c>
      <c r="B18" t="str">
        <f>VLOOKUP(A18,[71]WRDS!$A$1:$N$100,2,FALSE)</f>
        <v>MSU</v>
      </c>
      <c r="C18" t="str">
        <f>VLOOKUP(A18,[71]WRDS!$A$1:$N$100,3,FALSE)</f>
        <v>ENTERGY CP</v>
      </c>
      <c r="D18">
        <f>VLOOKUP(A18,[71]WRDS!$A$1:$N$100,13,FALSE)</f>
        <v>3.23</v>
      </c>
      <c r="E18">
        <f>VLOOKUP(A18,[55]WRDS!$A$1:$N$100,13,FALSE)</f>
        <v>4.3600000000000003</v>
      </c>
      <c r="F18" s="1">
        <f t="shared" si="3"/>
        <v>4.6148747095870553</v>
      </c>
      <c r="G18" s="1">
        <f t="shared" si="4"/>
        <v>4.7290430000000017</v>
      </c>
      <c r="H18" s="2">
        <f t="shared" si="0"/>
        <v>7.7881434654048842E-2</v>
      </c>
      <c r="I18" s="2">
        <f>VLOOKUP(A18,[72]WRDS!$A$1:$O$100,10,FALSE)/100</f>
        <v>9.3299999999999994E-2</v>
      </c>
      <c r="J18" s="2">
        <f>VLOOKUP(A18,[72]WRDS!$A$1:$O$100,9,FALSE)/100</f>
        <v>0.1</v>
      </c>
      <c r="K18" s="2">
        <f t="shared" si="1"/>
        <v>0.19797485003249851</v>
      </c>
      <c r="L18" s="2">
        <f t="shared" si="2"/>
        <v>0.28400305469721182</v>
      </c>
      <c r="M18">
        <f>VLOOKUP(A18,[72]WRDS!$A$1:$O$100,8,FALSE)</f>
        <v>12</v>
      </c>
      <c r="N18">
        <f>VLOOKUP(A18,[72]WRDS!$A$1:$O$100,11,FALSE)</f>
        <v>3.06</v>
      </c>
    </row>
    <row r="19" spans="1:14" x14ac:dyDescent="0.3">
      <c r="A19" t="s">
        <v>35</v>
      </c>
      <c r="B19" t="str">
        <f>VLOOKUP(A19,[71]WRDS!$A$1:$N$100,2,FALSE)</f>
        <v>PE</v>
      </c>
      <c r="C19" t="str">
        <f>VLOOKUP(A19,[71]WRDS!$A$1:$N$100,3,FALSE)</f>
        <v>EXELON CORP</v>
      </c>
      <c r="D19">
        <f>VLOOKUP(A19,[71]WRDS!$A$1:$N$100,13,FALSE)</f>
        <v>2.2450000000000001</v>
      </c>
      <c r="E19">
        <f>VLOOKUP(A19,[55]WRDS!$A$1:$N$100,13,FALSE)</f>
        <v>3.09</v>
      </c>
      <c r="F19" s="1">
        <f t="shared" si="3"/>
        <v>2.9427370424500001</v>
      </c>
      <c r="G19" s="1">
        <f t="shared" si="4"/>
        <v>2.8342607752000006</v>
      </c>
      <c r="H19" s="2">
        <f t="shared" si="0"/>
        <v>8.3142341989437041E-2</v>
      </c>
      <c r="I19" s="2">
        <f>VLOOKUP(A19,[72]WRDS!$A$1:$O$100,10,FALSE)/100</f>
        <v>7.0000000000000007E-2</v>
      </c>
      <c r="J19" s="2">
        <f>VLOOKUP(A19,[72]WRDS!$A$1:$O$100,9,FALSE)/100</f>
        <v>0.06</v>
      </c>
      <c r="K19" s="2">
        <f t="shared" si="1"/>
        <v>-0.15807038477586696</v>
      </c>
      <c r="L19" s="2">
        <f t="shared" si="2"/>
        <v>-0.27834604409360036</v>
      </c>
      <c r="M19">
        <f>VLOOKUP(A19,[72]WRDS!$A$1:$O$100,8,FALSE)</f>
        <v>15</v>
      </c>
      <c r="N19">
        <f>VLOOKUP(A19,[72]WRDS!$A$1:$O$100,11,FALSE)</f>
        <v>1.81</v>
      </c>
    </row>
    <row r="20" spans="1:14" x14ac:dyDescent="0.3">
      <c r="A20" t="s">
        <v>67</v>
      </c>
      <c r="B20" t="str">
        <f>VLOOKUP(A20,[71]WRDS!$A$1:$N$100,2,FALSE)</f>
        <v>OEC</v>
      </c>
      <c r="C20" t="str">
        <f>VLOOKUP(A20,[71]WRDS!$A$1:$N$100,3,FALSE)</f>
        <v>FIRSTENERGY CORP</v>
      </c>
      <c r="D20">
        <f>VLOOKUP(A20,[71]WRDS!$A$1:$N$100,13,FALSE)</f>
        <v>2.85</v>
      </c>
      <c r="E20">
        <f>VLOOKUP(A20,[55]WRDS!$A$1:$N$100,13,FALSE)</f>
        <v>3</v>
      </c>
      <c r="F20" s="1">
        <f t="shared" si="3"/>
        <v>3.6774580190370099</v>
      </c>
      <c r="G20" s="1">
        <f t="shared" si="4"/>
        <v>3.7357686285000002</v>
      </c>
      <c r="H20" s="2">
        <f t="shared" si="0"/>
        <v>1.2905894979960086E-2</v>
      </c>
      <c r="I20" s="2">
        <f>VLOOKUP(A20,[72]WRDS!$A$1:$O$100,10,FALSE)/100</f>
        <v>6.5799999999999997E-2</v>
      </c>
      <c r="J20" s="2">
        <f>VLOOKUP(A20,[72]WRDS!$A$1:$O$100,9,FALSE)/100</f>
        <v>7.0000000000000007E-2</v>
      </c>
      <c r="K20" s="2">
        <f t="shared" si="1"/>
        <v>4.0984453307711242</v>
      </c>
      <c r="L20" s="2">
        <f t="shared" si="2"/>
        <v>4.423878011458644</v>
      </c>
      <c r="M20">
        <f>VLOOKUP(A20,[72]WRDS!$A$1:$O$100,8,FALSE)</f>
        <v>12</v>
      </c>
      <c r="N20">
        <f>VLOOKUP(A20,[72]WRDS!$A$1:$O$100,11,FALSE)</f>
        <v>1.1499999999999999</v>
      </c>
    </row>
    <row r="21" spans="1:14" x14ac:dyDescent="0.3">
      <c r="A21" t="s">
        <v>89</v>
      </c>
      <c r="B21" t="str">
        <f>VLOOKUP(A21,[71]WRDS!$A$1:$N$100,2,FALSE)</f>
        <v>FPL</v>
      </c>
      <c r="C21" t="str">
        <f>VLOOKUP(A21,[71]WRDS!$A$1:$N$100,3,FALSE)</f>
        <v>FPL GROUP</v>
      </c>
      <c r="D21">
        <f>VLOOKUP(A21,[71]WRDS!$A$1:$N$100,13,FALSE)</f>
        <v>0.58630000000000004</v>
      </c>
      <c r="E21">
        <f>VLOOKUP(A21,[55]WRDS!$A$1:$N$100,13,FALSE)</f>
        <v>0.64500000000000002</v>
      </c>
      <c r="F21" s="1">
        <f t="shared" si="3"/>
        <v>0.76250420006748287</v>
      </c>
      <c r="G21" s="1">
        <f t="shared" si="4"/>
        <v>0.76851970066300002</v>
      </c>
      <c r="H21" s="2">
        <f t="shared" si="0"/>
        <v>2.4141476999633982E-2</v>
      </c>
      <c r="I21" s="2">
        <f>VLOOKUP(A21,[72]WRDS!$A$1:$O$100,10,FALSE)/100</f>
        <v>6.7900000000000002E-2</v>
      </c>
      <c r="J21" s="2">
        <f>VLOOKUP(A21,[72]WRDS!$A$1:$O$100,9,FALSE)/100</f>
        <v>7.0000000000000007E-2</v>
      </c>
      <c r="K21" s="2">
        <f t="shared" si="1"/>
        <v>1.8125868189849967</v>
      </c>
      <c r="L21" s="2">
        <f t="shared" si="2"/>
        <v>1.8995740401907184</v>
      </c>
      <c r="M21">
        <f>VLOOKUP(A21,[72]WRDS!$A$1:$O$100,8,FALSE)</f>
        <v>19</v>
      </c>
      <c r="N21">
        <f>VLOOKUP(A21,[72]WRDS!$A$1:$O$100,11,FALSE)</f>
        <v>1.32</v>
      </c>
    </row>
    <row r="22" spans="1:14" x14ac:dyDescent="0.3">
      <c r="A22" t="s">
        <v>68</v>
      </c>
      <c r="B22" t="str">
        <f>VLOOKUP(A22,[71]WRDS!$A$1:$N$100,2,FALSE)</f>
        <v>KLT</v>
      </c>
      <c r="C22" t="str">
        <f>VLOOKUP(A22,[71]WRDS!$A$1:$N$100,3,FALSE)</f>
        <v>GREAT PLAINS</v>
      </c>
      <c r="D22">
        <f>VLOOKUP(A22,[71]WRDS!$A$1:$N$100,13,FALSE)</f>
        <v>1.59</v>
      </c>
      <c r="E22">
        <f>VLOOKUP(A22,[55]WRDS!$A$1:$N$100,13,FALSE)</f>
        <v>2.23</v>
      </c>
      <c r="F22" s="1">
        <f t="shared" si="3"/>
        <v>1.9084730035877753</v>
      </c>
      <c r="G22" s="1">
        <f t="shared" si="4"/>
        <v>1.9326549375000002</v>
      </c>
      <c r="H22" s="2">
        <f t="shared" si="0"/>
        <v>8.824563706181654E-2</v>
      </c>
      <c r="I22" s="2">
        <f>VLOOKUP(A22,[72]WRDS!$A$1:$O$100,10,FALSE)/100</f>
        <v>4.6699999999999998E-2</v>
      </c>
      <c r="J22" s="2">
        <f>VLOOKUP(A22,[72]WRDS!$A$1:$O$100,9,FALSE)/100</f>
        <v>0.05</v>
      </c>
      <c r="K22" s="2">
        <f t="shared" si="1"/>
        <v>-0.47079536671839767</v>
      </c>
      <c r="L22" s="2">
        <f t="shared" si="2"/>
        <v>-0.43339975023383043</v>
      </c>
      <c r="M22">
        <f>VLOOKUP(A22,[72]WRDS!$A$1:$O$100,8,FALSE)</f>
        <v>3</v>
      </c>
      <c r="N22">
        <f>VLOOKUP(A22,[72]WRDS!$A$1:$O$100,11,FALSE)</f>
        <v>0.57999999999999996</v>
      </c>
    </row>
    <row r="23" spans="1:14" x14ac:dyDescent="0.3">
      <c r="A23" t="s">
        <v>36</v>
      </c>
      <c r="B23" t="str">
        <f>VLOOKUP(A23,[71]WRDS!$A$1:$N$100,2,FALSE)</f>
        <v>HE</v>
      </c>
      <c r="C23" t="str">
        <f>VLOOKUP(A23,[71]WRDS!$A$1:$N$100,3,FALSE)</f>
        <v>HAWAIIAN ELEC</v>
      </c>
      <c r="D23">
        <f>VLOOKUP(A23,[71]WRDS!$A$1:$N$100,13,FALSE)</f>
        <v>1.595</v>
      </c>
      <c r="E23">
        <f>VLOOKUP(A23,[55]WRDS!$A$1:$N$100,13,FALSE)</f>
        <v>1.57</v>
      </c>
      <c r="F23" s="1">
        <f t="shared" si="3"/>
        <v>1.8659244032000004</v>
      </c>
      <c r="G23" s="1">
        <f t="shared" si="4"/>
        <v>1.8839307809373045</v>
      </c>
      <c r="H23" s="2">
        <f t="shared" si="0"/>
        <v>-3.9417400864645291E-3</v>
      </c>
      <c r="I23" s="2">
        <f>VLOOKUP(A23,[72]WRDS!$A$1:$O$100,10,FALSE)/100</f>
        <v>0.04</v>
      </c>
      <c r="J23" s="2">
        <f>VLOOKUP(A23,[72]WRDS!$A$1:$O$100,9,FALSE)/100</f>
        <v>4.2500000000000003E-2</v>
      </c>
      <c r="K23" s="2">
        <f t="shared" si="1"/>
        <v>11.147802524411816</v>
      </c>
      <c r="L23" s="2">
        <f t="shared" si="2"/>
        <v>11.782040182187556</v>
      </c>
      <c r="M23">
        <f>VLOOKUP(A23,[72]WRDS!$A$1:$O$100,8,FALSE)</f>
        <v>4</v>
      </c>
      <c r="N23">
        <f>VLOOKUP(A23,[72]WRDS!$A$1:$O$100,11,FALSE)</f>
        <v>1.58</v>
      </c>
    </row>
    <row r="24" spans="1:14" x14ac:dyDescent="0.3">
      <c r="A24" t="s">
        <v>38</v>
      </c>
      <c r="B24" t="str">
        <f>VLOOKUP(A24,[71]WRDS!$A$1:$N$100,2,FALSE)</f>
        <v>IDA</v>
      </c>
      <c r="C24" t="str">
        <f>VLOOKUP(A24,[71]WRDS!$A$1:$N$100,3,FALSE)</f>
        <v>IDACORP INC.</v>
      </c>
      <c r="D24">
        <f>VLOOKUP(A24,[71]WRDS!$A$1:$N$100,13,FALSE)</f>
        <v>3.35</v>
      </c>
      <c r="E24">
        <f>VLOOKUP(A24,[55]WRDS!$A$1:$N$100,13,FALSE)</f>
        <v>1.62</v>
      </c>
      <c r="F24" s="1">
        <f t="shared" si="3"/>
        <v>4.4738216210937498</v>
      </c>
      <c r="G24" s="1">
        <f t="shared" si="4"/>
        <v>4.5576380160000012</v>
      </c>
      <c r="H24" s="2">
        <f t="shared" si="0"/>
        <v>-0.16609312968555645</v>
      </c>
      <c r="I24" s="2">
        <f>VLOOKUP(A24,[72]WRDS!$A$1:$O$100,10,FALSE)/100</f>
        <v>7.4999999999999997E-2</v>
      </c>
      <c r="J24" s="2">
        <f>VLOOKUP(A24,[72]WRDS!$A$1:$O$100,9,FALSE)/100</f>
        <v>0.08</v>
      </c>
      <c r="K24" s="2">
        <f t="shared" si="1"/>
        <v>1.4515538971538933</v>
      </c>
      <c r="L24" s="2">
        <f t="shared" si="2"/>
        <v>1.4816574902974862</v>
      </c>
      <c r="M24">
        <f>VLOOKUP(A24,[72]WRDS!$A$1:$O$100,8,FALSE)</f>
        <v>4</v>
      </c>
      <c r="N24">
        <f>VLOOKUP(A24,[72]WRDS!$A$1:$O$100,11,FALSE)</f>
        <v>4.12</v>
      </c>
    </row>
    <row r="25" spans="1:14" x14ac:dyDescent="0.3">
      <c r="A25" t="s">
        <v>40</v>
      </c>
      <c r="B25" t="str">
        <f>VLOOKUP(A25,[71]WRDS!$A$1:$N$100,2,FALSE)</f>
        <v>WPL</v>
      </c>
      <c r="C25" t="str">
        <f>VLOOKUP(A25,[71]WRDS!$A$1:$N$100,3,FALSE)</f>
        <v>ALLIANT ENER</v>
      </c>
      <c r="D25">
        <f>VLOOKUP(A25,[71]WRDS!$A$1:$N$100,13,FALSE)</f>
        <v>1.21</v>
      </c>
      <c r="E25">
        <f>VLOOKUP(A25,[55]WRDS!$A$1:$N$100,13,FALSE)</f>
        <v>1.1599999999999999</v>
      </c>
      <c r="F25" s="1">
        <f t="shared" si="3"/>
        <v>1.4155288576000002</v>
      </c>
      <c r="G25" s="1">
        <f t="shared" si="4"/>
        <v>1.4155288576000002</v>
      </c>
      <c r="H25" s="2">
        <f t="shared" si="0"/>
        <v>-1.049463163434261E-2</v>
      </c>
      <c r="I25" s="2">
        <f>VLOOKUP(A25,[72]WRDS!$A$1:$O$100,10,FALSE)/100</f>
        <v>0.04</v>
      </c>
      <c r="J25" s="2">
        <f>VLOOKUP(A25,[72]WRDS!$A$1:$O$100,9,FALSE)/100</f>
        <v>0.04</v>
      </c>
      <c r="K25" s="2">
        <f t="shared" si="1"/>
        <v>4.8114725122036761</v>
      </c>
      <c r="L25" s="2">
        <f t="shared" si="2"/>
        <v>4.8114725122036761</v>
      </c>
      <c r="M25">
        <f>VLOOKUP(A25,[72]WRDS!$A$1:$O$100,8,FALSE)</f>
        <v>2</v>
      </c>
      <c r="N25">
        <f>VLOOKUP(A25,[72]WRDS!$A$1:$O$100,11,FALSE)</f>
        <v>2.83</v>
      </c>
    </row>
    <row r="26" spans="1:14" x14ac:dyDescent="0.3">
      <c r="A26" t="s">
        <v>60</v>
      </c>
      <c r="B26" t="str">
        <f>VLOOKUP(A26,[71]WRDS!$A$1:$N$100,2,FALSE)</f>
        <v>BSE</v>
      </c>
      <c r="C26" t="str">
        <f>VLOOKUP(A26,[71]WRDS!$A$1:$N$100,3,FALSE)</f>
        <v>NSTAR</v>
      </c>
      <c r="D26">
        <f>VLOOKUP(A26,[71]WRDS!$A$1:$N$100,13,FALSE)</f>
        <v>1.615</v>
      </c>
      <c r="E26">
        <f>VLOOKUP(A26,[55]WRDS!$A$1:$N$100,13,FALSE)</f>
        <v>1.83</v>
      </c>
      <c r="F26" s="1">
        <f t="shared" si="3"/>
        <v>2.0909406558058845</v>
      </c>
      <c r="G26" s="1">
        <f t="shared" si="4"/>
        <v>2.1169355561500001</v>
      </c>
      <c r="H26" s="2">
        <f t="shared" si="0"/>
        <v>3.1738509354998001E-2</v>
      </c>
      <c r="I26" s="2">
        <f>VLOOKUP(A26,[72]WRDS!$A$1:$O$100,10,FALSE)/100</f>
        <v>6.6699999999999995E-2</v>
      </c>
      <c r="J26" s="2">
        <f>VLOOKUP(A26,[72]WRDS!$A$1:$O$100,9,FALSE)/100</f>
        <v>7.0000000000000007E-2</v>
      </c>
      <c r="K26" s="2">
        <f t="shared" si="1"/>
        <v>1.1015479729673081</v>
      </c>
      <c r="L26" s="2">
        <f t="shared" si="2"/>
        <v>1.2055226103105185</v>
      </c>
      <c r="M26">
        <f>VLOOKUP(A26,[72]WRDS!$A$1:$O$100,8,FALSE)</f>
        <v>6</v>
      </c>
      <c r="N26">
        <f>VLOOKUP(A26,[72]WRDS!$A$1:$O$100,11,FALSE)</f>
        <v>2.0699999999999998</v>
      </c>
    </row>
    <row r="27" spans="1:14" x14ac:dyDescent="0.3">
      <c r="A27" t="s">
        <v>78</v>
      </c>
      <c r="B27" t="str">
        <f>VLOOKUP(A27,[71]WRDS!$A$1:$N$100,2,FALSE)</f>
        <v>NU</v>
      </c>
      <c r="C27" t="str">
        <f>VLOOKUP(A27,[71]WRDS!$A$1:$N$100,3,FALSE)</f>
        <v>NORTHEAST UTILS</v>
      </c>
      <c r="D27">
        <f>VLOOKUP(A27,[71]WRDS!$A$1:$N$100,13,FALSE)</f>
        <v>1.29</v>
      </c>
      <c r="E27">
        <f>VLOOKUP(A27,[55]WRDS!$A$1:$N$100,13,FALSE)</f>
        <v>0.83</v>
      </c>
      <c r="F27" s="1">
        <f t="shared" si="3"/>
        <v>1.6285952784000004</v>
      </c>
      <c r="G27" s="1">
        <f t="shared" si="4"/>
        <v>1.5680030625000001</v>
      </c>
      <c r="H27" s="2">
        <f t="shared" si="0"/>
        <v>-0.10438348040151724</v>
      </c>
      <c r="I27" s="2">
        <f>VLOOKUP(A27,[72]WRDS!$A$1:$O$100,10,FALSE)/100</f>
        <v>0.06</v>
      </c>
      <c r="J27" s="2">
        <f>VLOOKUP(A27,[72]WRDS!$A$1:$O$100,9,FALSE)/100</f>
        <v>0.05</v>
      </c>
      <c r="K27" s="2">
        <f t="shared" si="1"/>
        <v>1.5748035969792007</v>
      </c>
      <c r="L27" s="2">
        <f t="shared" si="2"/>
        <v>1.4790029974826671</v>
      </c>
      <c r="M27">
        <f>VLOOKUP(A27,[72]WRDS!$A$1:$O$100,8,FALSE)</f>
        <v>5</v>
      </c>
      <c r="N27">
        <f>VLOOKUP(A27,[72]WRDS!$A$1:$O$100,11,FALSE)</f>
        <v>5.39</v>
      </c>
    </row>
    <row r="28" spans="1:14" x14ac:dyDescent="0.3">
      <c r="A28" t="s">
        <v>44</v>
      </c>
      <c r="B28" t="str">
        <f>VLOOKUP(A28,[71]WRDS!$A$1:$N$100,2,FALSE)</f>
        <v>OGE</v>
      </c>
      <c r="C28" t="str">
        <f>VLOOKUP(A28,[71]WRDS!$A$1:$N$100,3,FALSE)</f>
        <v>OGE ENERGY CORP</v>
      </c>
      <c r="D28">
        <f>VLOOKUP(A28,[71]WRDS!$A$1:$N$100,13,FALSE)</f>
        <v>0.67500000000000004</v>
      </c>
      <c r="E28">
        <f>VLOOKUP(A28,[55]WRDS!$A$1:$N$100,13,FALSE)</f>
        <v>0.91500000000000004</v>
      </c>
      <c r="F28" s="1">
        <f t="shared" si="3"/>
        <v>0.78965452800000024</v>
      </c>
      <c r="G28" s="1">
        <f t="shared" si="4"/>
        <v>0.78965452800000024</v>
      </c>
      <c r="H28" s="2">
        <f t="shared" si="0"/>
        <v>7.9019591931273503E-2</v>
      </c>
      <c r="I28" s="2">
        <f>VLOOKUP(A28,[72]WRDS!$A$1:$O$100,10,FALSE)/100</f>
        <v>0.04</v>
      </c>
      <c r="J28" s="2">
        <f>VLOOKUP(A28,[72]WRDS!$A$1:$O$100,9,FALSE)/100</f>
        <v>0.04</v>
      </c>
      <c r="K28" s="2">
        <f t="shared" si="1"/>
        <v>-0.49379642412239233</v>
      </c>
      <c r="L28" s="2">
        <f t="shared" si="2"/>
        <v>-0.49379642412239233</v>
      </c>
      <c r="M28">
        <f>VLOOKUP(A28,[72]WRDS!$A$1:$O$100,8,FALSE)</f>
        <v>3</v>
      </c>
      <c r="N28">
        <f>VLOOKUP(A28,[72]WRDS!$A$1:$O$100,11,FALSE)</f>
        <v>1</v>
      </c>
    </row>
    <row r="29" spans="1:14" x14ac:dyDescent="0.3">
      <c r="A29" t="s">
        <v>69</v>
      </c>
      <c r="B29" t="str">
        <f>VLOOKUP(A29,[71]WRDS!$A$1:$N$100,2,FALSE)</f>
        <v>OTTR</v>
      </c>
      <c r="C29" t="str">
        <f>VLOOKUP(A29,[71]WRDS!$A$1:$N$100,3,FALSE)</f>
        <v>OTTER TAIL CORP.</v>
      </c>
      <c r="D29">
        <f>VLOOKUP(A29,[71]WRDS!$A$1:$N$100,13,FALSE)</f>
        <v>1.68</v>
      </c>
      <c r="E29">
        <f>VLOOKUP(A29,[55]WRDS!$A$1:$N$100,13,FALSE)</f>
        <v>1.78</v>
      </c>
      <c r="F29" s="1">
        <f t="shared" si="3"/>
        <v>2.1209612928000006</v>
      </c>
      <c r="G29" s="1">
        <f t="shared" si="4"/>
        <v>2.1209612928000006</v>
      </c>
      <c r="H29" s="2">
        <f t="shared" si="0"/>
        <v>1.4559869885348631E-2</v>
      </c>
      <c r="I29" s="2">
        <f>VLOOKUP(A29,[72]WRDS!$A$1:$O$100,10,FALSE)/100</f>
        <v>0.06</v>
      </c>
      <c r="J29" s="2">
        <f>VLOOKUP(A29,[72]WRDS!$A$1:$O$100,9,FALSE)/100</f>
        <v>0.06</v>
      </c>
      <c r="K29" s="2">
        <f t="shared" si="1"/>
        <v>3.1209159472212771</v>
      </c>
      <c r="L29" s="2">
        <f t="shared" si="2"/>
        <v>3.1209159472212771</v>
      </c>
      <c r="M29">
        <f>VLOOKUP(A29,[72]WRDS!$A$1:$O$100,8,FALSE)</f>
        <v>2</v>
      </c>
      <c r="N29">
        <f>VLOOKUP(A29,[72]WRDS!$A$1:$O$100,11,FALSE)</f>
        <v>1.41</v>
      </c>
    </row>
    <row r="30" spans="1:14" x14ac:dyDescent="0.3">
      <c r="A30" t="s">
        <v>45</v>
      </c>
      <c r="B30" t="str">
        <f>VLOOKUP(A30,[71]WRDS!$A$1:$N$100,2,FALSE)</f>
        <v>PCG</v>
      </c>
      <c r="C30" t="str">
        <f>VLOOKUP(A30,[71]WRDS!$A$1:$N$100,3,FALSE)</f>
        <v>P G &amp; E CORP</v>
      </c>
      <c r="D30">
        <f>VLOOKUP(A30,[71]WRDS!$A$1:$N$100,13,FALSE)</f>
        <v>3.02</v>
      </c>
      <c r="E30">
        <f>VLOOKUP(A30,[55]WRDS!$A$1:$N$100,13,FALSE)</f>
        <v>2.34</v>
      </c>
      <c r="F30" s="1">
        <f t="shared" si="3"/>
        <v>4.1086766592000012</v>
      </c>
      <c r="G30" s="1">
        <f t="shared" si="4"/>
        <v>4.1086766592000012</v>
      </c>
      <c r="H30" s="2">
        <f t="shared" si="0"/>
        <v>-6.1785309940167066E-2</v>
      </c>
      <c r="I30" s="2">
        <f>VLOOKUP(A30,[72]WRDS!$A$1:$O$100,10,FALSE)/100</f>
        <v>0.08</v>
      </c>
      <c r="J30" s="2">
        <f>VLOOKUP(A30,[72]WRDS!$A$1:$O$100,9,FALSE)/100</f>
        <v>0.08</v>
      </c>
      <c r="K30" s="2">
        <f t="shared" si="1"/>
        <v>2.2948061614884194</v>
      </c>
      <c r="L30" s="2">
        <f t="shared" si="2"/>
        <v>2.2948061614884194</v>
      </c>
      <c r="M30">
        <f>VLOOKUP(A30,[72]WRDS!$A$1:$O$100,8,FALSE)</f>
        <v>9</v>
      </c>
      <c r="N30">
        <f>VLOOKUP(A30,[72]WRDS!$A$1:$O$100,11,FALSE)</f>
        <v>0.5</v>
      </c>
    </row>
    <row r="31" spans="1:14" x14ac:dyDescent="0.3">
      <c r="A31" t="s">
        <v>46</v>
      </c>
      <c r="B31" t="str">
        <f>VLOOKUP(A31,[71]WRDS!$A$1:$N$100,2,FALSE)</f>
        <v>PEG</v>
      </c>
      <c r="C31" t="str">
        <f>VLOOKUP(A31,[71]WRDS!$A$1:$N$100,3,FALSE)</f>
        <v>PUB SVC ENTERS</v>
      </c>
      <c r="D31">
        <f>VLOOKUP(A31,[71]WRDS!$A$1:$N$100,13,FALSE)</f>
        <v>1.83</v>
      </c>
      <c r="E31">
        <f>VLOOKUP(A31,[55]WRDS!$A$1:$N$100,13,FALSE)</f>
        <v>1.825</v>
      </c>
      <c r="F31" s="1">
        <f t="shared" si="3"/>
        <v>2.3225625708371544</v>
      </c>
      <c r="G31" s="1">
        <f t="shared" si="4"/>
        <v>2.3987566983000002</v>
      </c>
      <c r="H31" s="2">
        <f t="shared" si="0"/>
        <v>-6.8376108349499365E-4</v>
      </c>
      <c r="I31" s="2">
        <f>VLOOKUP(A31,[72]WRDS!$A$1:$O$100,10,FALSE)/100</f>
        <v>6.1399999999999996E-2</v>
      </c>
      <c r="J31" s="2">
        <f>VLOOKUP(A31,[72]WRDS!$A$1:$O$100,9,FALSE)/100</f>
        <v>7.0000000000000007E-2</v>
      </c>
      <c r="K31" s="2">
        <f t="shared" si="1"/>
        <v>90.797447503385953</v>
      </c>
      <c r="L31" s="2">
        <f t="shared" si="2"/>
        <v>103.37494015044004</v>
      </c>
      <c r="M31">
        <f>VLOOKUP(A31,[72]WRDS!$A$1:$O$100,8,FALSE)</f>
        <v>15</v>
      </c>
      <c r="N31">
        <f>VLOOKUP(A31,[72]WRDS!$A$1:$O$100,11,FALSE)</f>
        <v>1.58</v>
      </c>
    </row>
    <row r="32" spans="1:14" x14ac:dyDescent="0.3">
      <c r="A32" t="s">
        <v>74</v>
      </c>
      <c r="B32" t="str">
        <f>VLOOKUP(A32,[71]WRDS!$A$1:$N$100,2,FALSE)</f>
        <v>CPL</v>
      </c>
      <c r="C32" t="str">
        <f>VLOOKUP(A32,[71]WRDS!$A$1:$N$100,3,FALSE)</f>
        <v>PROGRESS ENERGY</v>
      </c>
      <c r="D32">
        <f>VLOOKUP(A32,[71]WRDS!$A$1:$N$100,13,FALSE)</f>
        <v>3.45</v>
      </c>
      <c r="E32">
        <f>VLOOKUP(A32,[55]WRDS!$A$1:$N$100,13,FALSE)</f>
        <v>3.33</v>
      </c>
      <c r="F32" s="1">
        <f t="shared" si="3"/>
        <v>4.5307049579034659</v>
      </c>
      <c r="G32" s="1">
        <f t="shared" si="4"/>
        <v>4.5222462344999999</v>
      </c>
      <c r="H32" s="2">
        <f t="shared" si="0"/>
        <v>-8.8114315383633901E-3</v>
      </c>
      <c r="I32" s="2">
        <f>VLOOKUP(A32,[72]WRDS!$A$1:$O$100,10,FALSE)/100</f>
        <v>7.0499999999999993E-2</v>
      </c>
      <c r="J32" s="2">
        <f>VLOOKUP(A32,[72]WRDS!$A$1:$O$100,9,FALSE)/100</f>
        <v>7.0000000000000007E-2</v>
      </c>
      <c r="K32" s="2">
        <f t="shared" si="1"/>
        <v>9.0009700686041381</v>
      </c>
      <c r="L32" s="2">
        <f t="shared" si="2"/>
        <v>8.9442256000324782</v>
      </c>
      <c r="M32">
        <f>VLOOKUP(A32,[72]WRDS!$A$1:$O$100,8,FALSE)</f>
        <v>10</v>
      </c>
      <c r="N32">
        <f>VLOOKUP(A32,[72]WRDS!$A$1:$O$100,11,FALSE)</f>
        <v>0.83</v>
      </c>
    </row>
    <row r="33" spans="1:14" x14ac:dyDescent="0.3">
      <c r="A33" t="s">
        <v>47</v>
      </c>
      <c r="B33" t="str">
        <f>VLOOKUP(A33,[71]WRDS!$A$1:$N$100,2,FALSE)</f>
        <v>PNM</v>
      </c>
      <c r="C33" t="str">
        <f>VLOOKUP(A33,[71]WRDS!$A$1:$N$100,3,FALSE)</f>
        <v>PUB SVC N MEX</v>
      </c>
      <c r="D33">
        <f>VLOOKUP(A33,[71]WRDS!$A$1:$N$100,13,FALSE)</f>
        <v>3.0133000000000001</v>
      </c>
      <c r="E33">
        <f>VLOOKUP(A33,[55]WRDS!$A$1:$N$100,13,FALSE)</f>
        <v>1.57</v>
      </c>
      <c r="F33" s="1">
        <f t="shared" si="3"/>
        <v>3.7258786658857588</v>
      </c>
      <c r="G33" s="1">
        <f t="shared" si="4"/>
        <v>3.804221823568001</v>
      </c>
      <c r="H33" s="2">
        <f t="shared" si="0"/>
        <v>-0.15040035903872229</v>
      </c>
      <c r="I33" s="2">
        <f>VLOOKUP(A33,[72]WRDS!$A$1:$O$100,10,FALSE)/100</f>
        <v>5.45E-2</v>
      </c>
      <c r="J33" s="2">
        <f>VLOOKUP(A33,[72]WRDS!$A$1:$O$100,9,FALSE)/100</f>
        <v>0.06</v>
      </c>
      <c r="K33" s="2">
        <f t="shared" si="1"/>
        <v>1.3623661562268501</v>
      </c>
      <c r="L33" s="2">
        <f t="shared" si="2"/>
        <v>1.3989352178644223</v>
      </c>
      <c r="M33">
        <f>VLOOKUP(A33,[72]WRDS!$A$1:$O$100,8,FALSE)</f>
        <v>6</v>
      </c>
      <c r="N33">
        <f>VLOOKUP(A33,[72]WRDS!$A$1:$O$100,11,FALSE)</f>
        <v>3.26</v>
      </c>
    </row>
    <row r="34" spans="1:14" x14ac:dyDescent="0.3">
      <c r="A34" t="s">
        <v>48</v>
      </c>
      <c r="B34" t="str">
        <f>VLOOKUP(A34,[71]WRDS!$A$1:$N$100,2,FALSE)</f>
        <v>AZP</v>
      </c>
      <c r="C34" t="str">
        <f>VLOOKUP(A34,[71]WRDS!$A$1:$N$100,3,FALSE)</f>
        <v>PINNACLE WST CAP</v>
      </c>
      <c r="D34">
        <f>VLOOKUP(A34,[71]WRDS!$A$1:$N$100,13,FALSE)</f>
        <v>4</v>
      </c>
      <c r="E34">
        <f>VLOOKUP(A34,[55]WRDS!$A$1:$N$100,13,FALSE)</f>
        <v>3.29</v>
      </c>
      <c r="F34" s="1">
        <f t="shared" si="3"/>
        <v>5.4419558400000012</v>
      </c>
      <c r="G34" s="1">
        <f t="shared" si="4"/>
        <v>5.4419558400000012</v>
      </c>
      <c r="H34" s="2">
        <f t="shared" si="0"/>
        <v>-4.7677650498082258E-2</v>
      </c>
      <c r="I34" s="2">
        <f>VLOOKUP(A34,[72]WRDS!$A$1:$O$100,10,FALSE)/100</f>
        <v>0.08</v>
      </c>
      <c r="J34" s="2">
        <f>VLOOKUP(A34,[72]WRDS!$A$1:$O$100,9,FALSE)/100</f>
        <v>0.08</v>
      </c>
      <c r="K34" s="2">
        <f t="shared" si="1"/>
        <v>2.6779350317024928</v>
      </c>
      <c r="L34" s="2">
        <f t="shared" si="2"/>
        <v>2.6779350317024928</v>
      </c>
      <c r="M34">
        <f>VLOOKUP(A34,[72]WRDS!$A$1:$O$100,8,FALSE)</f>
        <v>9</v>
      </c>
      <c r="N34">
        <f>VLOOKUP(A34,[72]WRDS!$A$1:$O$100,11,FALSE)</f>
        <v>2</v>
      </c>
    </row>
    <row r="35" spans="1:14" x14ac:dyDescent="0.3">
      <c r="A35" t="s">
        <v>49</v>
      </c>
      <c r="B35" t="str">
        <f>VLOOKUP(A35,[71]WRDS!$A$1:$N$100,2,FALSE)</f>
        <v>POM</v>
      </c>
      <c r="C35" t="str">
        <f>VLOOKUP(A35,[71]WRDS!$A$1:$N$100,3,FALSE)</f>
        <v>POTOMAC ELEC</v>
      </c>
      <c r="D35">
        <f>VLOOKUP(A35,[71]WRDS!$A$1:$N$100,13,FALSE)</f>
        <v>1.83</v>
      </c>
      <c r="E35">
        <f>VLOOKUP(A35,[55]WRDS!$A$1:$N$100,13,FALSE)</f>
        <v>1.52</v>
      </c>
      <c r="F35" s="1">
        <f t="shared" si="3"/>
        <v>2.1982237155698776</v>
      </c>
      <c r="G35" s="1">
        <f t="shared" si="4"/>
        <v>2.2670491106437498</v>
      </c>
      <c r="H35" s="2">
        <f t="shared" si="0"/>
        <v>-4.534132236019639E-2</v>
      </c>
      <c r="I35" s="2">
        <f>VLOOKUP(A35,[72]WRDS!$A$1:$O$100,10,FALSE)/100</f>
        <v>4.6900000000000004E-2</v>
      </c>
      <c r="J35" s="2">
        <f>VLOOKUP(A35,[72]WRDS!$A$1:$O$100,9,FALSE)/100</f>
        <v>5.5E-2</v>
      </c>
      <c r="K35" s="2">
        <f t="shared" si="1"/>
        <v>2.0343765368689803</v>
      </c>
      <c r="L35" s="2">
        <f t="shared" si="2"/>
        <v>2.2130215251128766</v>
      </c>
      <c r="M35">
        <f>VLOOKUP(A35,[72]WRDS!$A$1:$O$100,8,FALSE)</f>
        <v>8</v>
      </c>
      <c r="N35">
        <f>VLOOKUP(A35,[72]WRDS!$A$1:$O$100,11,FALSE)</f>
        <v>2.5499999999999998</v>
      </c>
    </row>
    <row r="36" spans="1:14" x14ac:dyDescent="0.3">
      <c r="A36" t="s">
        <v>51</v>
      </c>
      <c r="B36" t="str">
        <f>VLOOKUP(A36,[71]WRDS!$A$1:$N$100,2,FALSE)</f>
        <v>PPL</v>
      </c>
      <c r="C36" t="str">
        <f>VLOOKUP(A36,[71]WRDS!$A$1:$N$100,3,FALSE)</f>
        <v>PP&amp;L CORP</v>
      </c>
      <c r="D36">
        <f>VLOOKUP(A36,[71]WRDS!$A$1:$N$100,13,FALSE)</f>
        <v>2.12</v>
      </c>
      <c r="E36">
        <f>VLOOKUP(A36,[55]WRDS!$A$1:$N$100,13,FALSE)</f>
        <v>2.08</v>
      </c>
      <c r="F36" s="1">
        <f t="shared" si="3"/>
        <v>3.0411665039708651</v>
      </c>
      <c r="G36" s="1">
        <f t="shared" si="4"/>
        <v>2.8842365952000009</v>
      </c>
      <c r="H36" s="2">
        <f t="shared" si="0"/>
        <v>-4.7507281654022293E-3</v>
      </c>
      <c r="I36" s="2">
        <f>VLOOKUP(A36,[72]WRDS!$A$1:$O$100,10,FALSE)/100</f>
        <v>9.4399999999999998E-2</v>
      </c>
      <c r="J36" s="2">
        <f>VLOOKUP(A36,[72]WRDS!$A$1:$O$100,9,FALSE)/100</f>
        <v>0.08</v>
      </c>
      <c r="K36" s="2">
        <f t="shared" si="1"/>
        <v>20.870638081858647</v>
      </c>
      <c r="L36" s="2">
        <f t="shared" si="2"/>
        <v>17.839523798185294</v>
      </c>
      <c r="M36">
        <f>VLOOKUP(A36,[72]WRDS!$A$1:$O$100,8,FALSE)</f>
        <v>9</v>
      </c>
      <c r="N36">
        <f>VLOOKUP(A36,[72]WRDS!$A$1:$O$100,11,FALSE)</f>
        <v>3.47</v>
      </c>
    </row>
    <row r="37" spans="1:14" x14ac:dyDescent="0.3">
      <c r="A37" t="s">
        <v>91</v>
      </c>
      <c r="B37" t="str">
        <f>VLOOKUP(A37,[71]WRDS!$A$1:$N$100,2,FALSE)</f>
        <v>PSD</v>
      </c>
      <c r="C37" t="str">
        <f>VLOOKUP(A37,[71]WRDS!$A$1:$N$100,3,FALSE)</f>
        <v>PUGET ENERGY INC</v>
      </c>
      <c r="D37">
        <f>VLOOKUP(A37,[71]WRDS!$A$1:$N$100,13,FALSE)</f>
        <v>1.35</v>
      </c>
      <c r="E37">
        <f>VLOOKUP(A37,[55]WRDS!$A$1:$N$100,13,FALSE)</f>
        <v>1.42</v>
      </c>
      <c r="F37" s="1">
        <f t="shared" si="3"/>
        <v>1.6724132783437498</v>
      </c>
      <c r="G37" s="1">
        <f t="shared" si="4"/>
        <v>1.6724132783437498</v>
      </c>
      <c r="H37" s="2">
        <f t="shared" si="0"/>
        <v>1.2718267687484852E-2</v>
      </c>
      <c r="I37" s="2">
        <f>VLOOKUP(A37,[72]WRDS!$A$1:$O$100,10,FALSE)/100</f>
        <v>5.5E-2</v>
      </c>
      <c r="J37" s="2">
        <f>VLOOKUP(A37,[72]WRDS!$A$1:$O$100,9,FALSE)/100</f>
        <v>5.5E-2</v>
      </c>
      <c r="K37" s="2">
        <f t="shared" si="1"/>
        <v>3.3244883148765307</v>
      </c>
      <c r="L37" s="2">
        <f t="shared" si="2"/>
        <v>3.3244883148765307</v>
      </c>
      <c r="M37">
        <f>VLOOKUP(A37,[72]WRDS!$A$1:$O$100,8,FALSE)</f>
        <v>2</v>
      </c>
      <c r="N37">
        <f>VLOOKUP(A37,[72]WRDS!$A$1:$O$100,11,FALSE)</f>
        <v>0.71</v>
      </c>
    </row>
    <row r="38" spans="1:14" x14ac:dyDescent="0.3">
      <c r="A38" t="s">
        <v>52</v>
      </c>
      <c r="B38" t="str">
        <f>VLOOKUP(A38,[71]WRDS!$A$1:$N$100,2,FALSE)</f>
        <v>SCG</v>
      </c>
      <c r="C38" t="str">
        <f>VLOOKUP(A38,[71]WRDS!$A$1:$N$100,3,FALSE)</f>
        <v>SCANA CP</v>
      </c>
      <c r="D38">
        <f>VLOOKUP(A38,[71]WRDS!$A$1:$N$100,13,FALSE)</f>
        <v>2.15</v>
      </c>
      <c r="E38">
        <f>VLOOKUP(A38,[55]WRDS!$A$1:$N$100,13,FALSE)</f>
        <v>2.78</v>
      </c>
      <c r="F38" s="1">
        <f t="shared" si="3"/>
        <v>2.6263047404475501</v>
      </c>
      <c r="G38" s="1">
        <f t="shared" si="4"/>
        <v>2.6133384374999999</v>
      </c>
      <c r="H38" s="2">
        <f t="shared" si="0"/>
        <v>6.6354445973544784E-2</v>
      </c>
      <c r="I38" s="2">
        <f>VLOOKUP(A38,[72]WRDS!$A$1:$O$100,10,FALSE)/100</f>
        <v>5.1299999999999998E-2</v>
      </c>
      <c r="J38" s="2">
        <f>VLOOKUP(A38,[72]WRDS!$A$1:$O$100,9,FALSE)/100</f>
        <v>0.05</v>
      </c>
      <c r="K38" s="2">
        <f t="shared" si="1"/>
        <v>-0.2268792354855457</v>
      </c>
      <c r="L38" s="2">
        <f t="shared" si="2"/>
        <v>-0.24647098975199377</v>
      </c>
      <c r="M38">
        <f>VLOOKUP(A38,[72]WRDS!$A$1:$O$100,8,FALSE)</f>
        <v>4</v>
      </c>
      <c r="N38">
        <f>VLOOKUP(A38,[72]WRDS!$A$1:$O$100,11,FALSE)</f>
        <v>1.65</v>
      </c>
    </row>
    <row r="39" spans="1:14" x14ac:dyDescent="0.3">
      <c r="A39" t="s">
        <v>53</v>
      </c>
      <c r="B39" t="str">
        <f>VLOOKUP(A39,[71]WRDS!$A$1:$N$100,2,FALSE)</f>
        <v>SO</v>
      </c>
      <c r="C39" t="str">
        <f>VLOOKUP(A39,[71]WRDS!$A$1:$N$100,3,FALSE)</f>
        <v>SOUTHN CO</v>
      </c>
      <c r="D39">
        <f>VLOOKUP(A39,[71]WRDS!$A$1:$N$100,13,FALSE)</f>
        <v>1.62</v>
      </c>
      <c r="E39">
        <f>VLOOKUP(A39,[55]WRDS!$A$1:$N$100,13,FALSE)</f>
        <v>2.14</v>
      </c>
      <c r="F39" s="1">
        <f t="shared" si="3"/>
        <v>2.0700216432767871</v>
      </c>
      <c r="G39" s="1">
        <f t="shared" si="4"/>
        <v>1.9691201250000001</v>
      </c>
      <c r="H39" s="2">
        <f t="shared" si="0"/>
        <v>7.207381756567699E-2</v>
      </c>
      <c r="I39" s="2">
        <f>VLOOKUP(A39,[72]WRDS!$A$1:$O$100,10,FALSE)/100</f>
        <v>6.3200000000000006E-2</v>
      </c>
      <c r="J39" s="2">
        <f>VLOOKUP(A39,[72]WRDS!$A$1:$O$100,9,FALSE)/100</f>
        <v>0.05</v>
      </c>
      <c r="K39" s="2">
        <f t="shared" si="1"/>
        <v>-0.12312123688454203</v>
      </c>
      <c r="L39" s="2">
        <f t="shared" si="2"/>
        <v>-0.30626680133270734</v>
      </c>
      <c r="M39">
        <f>VLOOKUP(A39,[72]WRDS!$A$1:$O$100,8,FALSE)</f>
        <v>17</v>
      </c>
      <c r="N39">
        <f>VLOOKUP(A39,[72]WRDS!$A$1:$O$100,11,FALSE)</f>
        <v>4.8600000000000003</v>
      </c>
    </row>
    <row r="40" spans="1:14" x14ac:dyDescent="0.3">
      <c r="A40" t="s">
        <v>54</v>
      </c>
      <c r="B40" t="str">
        <f>VLOOKUP(A40,[71]WRDS!$A$1:$N$100,2,FALSE)</f>
        <v>SDO</v>
      </c>
      <c r="C40" t="str">
        <f>VLOOKUP(A40,[71]WRDS!$A$1:$N$100,3,FALSE)</f>
        <v>SEMPRA ENERGY</v>
      </c>
      <c r="D40">
        <f>VLOOKUP(A40,[71]WRDS!$A$1:$N$100,13,FALSE)</f>
        <v>2.52</v>
      </c>
      <c r="E40">
        <f>VLOOKUP(A40,[55]WRDS!$A$1:$N$100,13,FALSE)</f>
        <v>4.17</v>
      </c>
      <c r="F40" s="1">
        <f t="shared" si="3"/>
        <v>3.5143030467399257</v>
      </c>
      <c r="G40" s="1">
        <f t="shared" si="4"/>
        <v>3.5571856572000007</v>
      </c>
      <c r="H40" s="2">
        <f t="shared" si="0"/>
        <v>0.1341849458338793</v>
      </c>
      <c r="I40" s="2">
        <f>VLOOKUP(A40,[72]WRDS!$A$1:$O$100,10,FALSE)/100</f>
        <v>8.6699999999999999E-2</v>
      </c>
      <c r="J40" s="2">
        <f>VLOOKUP(A40,[72]WRDS!$A$1:$O$100,9,FALSE)/100</f>
        <v>0.09</v>
      </c>
      <c r="K40" s="2">
        <f t="shared" si="1"/>
        <v>-0.35387684914122608</v>
      </c>
      <c r="L40" s="2">
        <f t="shared" si="2"/>
        <v>-0.32928392644417936</v>
      </c>
      <c r="M40">
        <f>VLOOKUP(A40,[72]WRDS!$A$1:$O$100,8,FALSE)</f>
        <v>9</v>
      </c>
      <c r="N40">
        <f>VLOOKUP(A40,[72]WRDS!$A$1:$O$100,11,FALSE)</f>
        <v>2.2400000000000002</v>
      </c>
    </row>
    <row r="41" spans="1:14" x14ac:dyDescent="0.3">
      <c r="A41" t="s">
        <v>75</v>
      </c>
      <c r="B41" t="str">
        <f>VLOOKUP(A41,[71]WRDS!$A$1:$N$100,2,FALSE)</f>
        <v>TE</v>
      </c>
      <c r="C41" t="str">
        <f>VLOOKUP(A41,[71]WRDS!$A$1:$N$100,3,FALSE)</f>
        <v>TECO ENERGY INC</v>
      </c>
      <c r="D41">
        <f>VLOOKUP(A41,[71]WRDS!$A$1:$N$100,13,FALSE)</f>
        <v>2.2400000000000002</v>
      </c>
      <c r="E41">
        <f>VLOOKUP(A41,[55]WRDS!$A$1:$N$100,13,FALSE)</f>
        <v>1.22</v>
      </c>
      <c r="F41" s="1">
        <f t="shared" si="3"/>
        <v>3.1043234894</v>
      </c>
      <c r="G41" s="1">
        <f t="shared" si="4"/>
        <v>3.1043234894</v>
      </c>
      <c r="H41" s="2">
        <f t="shared" si="0"/>
        <v>-0.1409311868621137</v>
      </c>
      <c r="I41" s="2">
        <f>VLOOKUP(A41,[72]WRDS!$A$1:$O$100,10,FALSE)/100</f>
        <v>8.5000000000000006E-2</v>
      </c>
      <c r="J41" s="2">
        <f>VLOOKUP(A41,[72]WRDS!$A$1:$O$100,9,FALSE)/100</f>
        <v>8.5000000000000006E-2</v>
      </c>
      <c r="K41" s="2">
        <f t="shared" si="1"/>
        <v>1.6031312294500404</v>
      </c>
      <c r="L41" s="2">
        <f t="shared" si="2"/>
        <v>1.6031312294500404</v>
      </c>
      <c r="M41">
        <f>VLOOKUP(A41,[72]WRDS!$A$1:$O$100,8,FALSE)</f>
        <v>16</v>
      </c>
      <c r="N41">
        <f>VLOOKUP(A41,[72]WRDS!$A$1:$O$100,11,FALSE)</f>
        <v>2.16</v>
      </c>
    </row>
    <row r="42" spans="1:14" x14ac:dyDescent="0.3">
      <c r="A42" t="s">
        <v>79</v>
      </c>
      <c r="B42" t="str">
        <f>VLOOKUP(A42,[71]WRDS!$A$1:$N$100,2,FALSE)</f>
        <v>UIL</v>
      </c>
      <c r="C42" t="str">
        <f>VLOOKUP(A42,[71]WRDS!$A$1:$N$100,3,FALSE)</f>
        <v>UIL HOLDING CORP</v>
      </c>
      <c r="D42">
        <f>VLOOKUP(A42,[71]WRDS!$A$1:$N$100,13,FALSE)</f>
        <v>2.5139999999999998</v>
      </c>
      <c r="E42">
        <f>VLOOKUP(A42,[55]WRDS!$A$1:$N$100,13,FALSE)</f>
        <v>1.284</v>
      </c>
      <c r="F42" s="1">
        <f t="shared" si="3"/>
        <v>2.7749856070312493</v>
      </c>
      <c r="G42" s="1">
        <f t="shared" si="4"/>
        <v>2.7749856070312493</v>
      </c>
      <c r="H42" s="2">
        <f t="shared" si="0"/>
        <v>-0.15462395438717269</v>
      </c>
      <c r="I42" s="2">
        <f>VLOOKUP(A42,[72]WRDS!$A$1:$O$100,10,FALSE)/100</f>
        <v>2.5000000000000001E-2</v>
      </c>
      <c r="J42" s="2">
        <f>VLOOKUP(A42,[72]WRDS!$A$1:$O$100,9,FALSE)/100</f>
        <v>2.5000000000000001E-2</v>
      </c>
      <c r="K42" s="2">
        <f t="shared" si="1"/>
        <v>1.1616825808076343</v>
      </c>
      <c r="L42" s="2">
        <f t="shared" si="2"/>
        <v>1.1616825808076343</v>
      </c>
      <c r="M42">
        <f>VLOOKUP(A42,[72]WRDS!$A$1:$O$100,8,FALSE)</f>
        <v>2</v>
      </c>
      <c r="N42">
        <f>VLOOKUP(A42,[72]WRDS!$A$1:$O$100,11,FALSE)</f>
        <v>0.71</v>
      </c>
    </row>
    <row r="43" spans="1:14" x14ac:dyDescent="0.3">
      <c r="A43" t="s">
        <v>76</v>
      </c>
      <c r="B43" t="str">
        <f>VLOOKUP(A43,[71]WRDS!$A$1:$N$100,2,FALSE)</f>
        <v>SIG</v>
      </c>
      <c r="C43" t="str">
        <f>VLOOKUP(A43,[71]WRDS!$A$1:$N$100,3,FALSE)</f>
        <v>VECTREN CORP</v>
      </c>
      <c r="D43">
        <f>VLOOKUP(A43,[71]WRDS!$A$1:$N$100,13,FALSE)</f>
        <v>1.34</v>
      </c>
      <c r="E43">
        <f>VLOOKUP(A43,[55]WRDS!$A$1:$N$100,13,FALSE)</f>
        <v>1.8</v>
      </c>
      <c r="F43" s="1">
        <f t="shared" si="3"/>
        <v>1.8230552064000005</v>
      </c>
      <c r="G43" s="1">
        <f t="shared" si="4"/>
        <v>1.7895286484374999</v>
      </c>
      <c r="H43" s="2">
        <f t="shared" si="0"/>
        <v>7.6569140338595965E-2</v>
      </c>
      <c r="I43" s="2">
        <f>VLOOKUP(A43,[72]WRDS!$A$1:$O$100,10,FALSE)/100</f>
        <v>0.08</v>
      </c>
      <c r="J43" s="2">
        <f>VLOOKUP(A43,[72]WRDS!$A$1:$O$100,9,FALSE)/100</f>
        <v>7.4999999999999997E-2</v>
      </c>
      <c r="K43" s="2">
        <f t="shared" si="1"/>
        <v>4.4807342047102162E-2</v>
      </c>
      <c r="L43" s="2">
        <f t="shared" si="2"/>
        <v>-2.0493116830841783E-2</v>
      </c>
      <c r="M43">
        <f>VLOOKUP(A43,[72]WRDS!$A$1:$O$100,8,FALSE)</f>
        <v>6</v>
      </c>
      <c r="N43">
        <f>VLOOKUP(A43,[72]WRDS!$A$1:$O$100,11,FALSE)</f>
        <v>1.67</v>
      </c>
    </row>
    <row r="44" spans="1:14" x14ac:dyDescent="0.3">
      <c r="A44" t="s">
        <v>55</v>
      </c>
      <c r="B44" t="str">
        <f>VLOOKUP(A44,[71]WRDS!$A$1:$N$100,2,FALSE)</f>
        <v>WPC</v>
      </c>
      <c r="C44" t="str">
        <f>VLOOKUP(A44,[71]WRDS!$A$1:$N$100,3,FALSE)</f>
        <v>WISCONSIN ENERGY</v>
      </c>
      <c r="D44">
        <f>VLOOKUP(A44,[71]WRDS!$A$1:$N$100,13,FALSE)</f>
        <v>0.92</v>
      </c>
      <c r="E44">
        <f>VLOOKUP(A44,[55]WRDS!$A$1:$N$100,13,FALSE)</f>
        <v>1.21</v>
      </c>
      <c r="F44" s="1">
        <f t="shared" si="3"/>
        <v>1.1392866191840976</v>
      </c>
      <c r="G44" s="1">
        <f t="shared" si="4"/>
        <v>1.1182657499999999</v>
      </c>
      <c r="H44" s="2">
        <f t="shared" si="0"/>
        <v>7.0901151980849786E-2</v>
      </c>
      <c r="I44" s="2">
        <f>VLOOKUP(A44,[72]WRDS!$A$1:$O$100,10,FALSE)/100</f>
        <v>5.4900000000000004E-2</v>
      </c>
      <c r="J44" s="2">
        <f>VLOOKUP(A44,[72]WRDS!$A$1:$O$100,9,FALSE)/100</f>
        <v>0.05</v>
      </c>
      <c r="K44" s="2">
        <f t="shared" si="1"/>
        <v>-0.2256825387713256</v>
      </c>
      <c r="L44" s="2">
        <f t="shared" si="2"/>
        <v>-0.29479284041104337</v>
      </c>
      <c r="M44">
        <f>VLOOKUP(A44,[72]WRDS!$A$1:$O$100,8,FALSE)</f>
        <v>9</v>
      </c>
      <c r="N44">
        <f>VLOOKUP(A44,[72]WRDS!$A$1:$O$100,11,FALSE)</f>
        <v>2.13</v>
      </c>
    </row>
    <row r="45" spans="1:14" x14ac:dyDescent="0.3">
      <c r="A45" t="s">
        <v>95</v>
      </c>
      <c r="B45" t="str">
        <f>VLOOKUP(A45,[71]WRDS!$A$1:$N$100,2,FALSE)</f>
        <v>WPS</v>
      </c>
      <c r="C45" t="str">
        <f>VLOOKUP(A45,[71]WRDS!$A$1:$N$100,3,FALSE)</f>
        <v>WPS RESOURCES CP</v>
      </c>
      <c r="D45">
        <f>VLOOKUP(A45,[71]WRDS!$A$1:$N$100,13,FALSE)</f>
        <v>2.74</v>
      </c>
      <c r="E45">
        <f>VLOOKUP(A45,[55]WRDS!$A$1:$N$100,13,FALSE)</f>
        <v>4.1100000000000003</v>
      </c>
      <c r="F45" s="1">
        <f t="shared" si="3"/>
        <v>3.2054124544000007</v>
      </c>
      <c r="G45" s="1">
        <f t="shared" si="4"/>
        <v>3.2054124544000007</v>
      </c>
      <c r="H45" s="2">
        <f t="shared" si="0"/>
        <v>0.1066819197003217</v>
      </c>
      <c r="I45" s="2">
        <f>VLOOKUP(A45,[72]WRDS!$A$1:$O$100,10,FALSE)/100</f>
        <v>0.04</v>
      </c>
      <c r="J45" s="2">
        <f>VLOOKUP(A45,[72]WRDS!$A$1:$O$100,9,FALSE)/100</f>
        <v>0.04</v>
      </c>
      <c r="K45" s="2">
        <f t="shared" si="1"/>
        <v>-0.6250536162794661</v>
      </c>
      <c r="L45" s="2">
        <f t="shared" si="2"/>
        <v>-0.6250536162794661</v>
      </c>
      <c r="M45">
        <f>VLOOKUP(A45,[72]WRDS!$A$1:$O$100,8,FALSE)</f>
        <v>2</v>
      </c>
      <c r="N45">
        <f>VLOOKUP(A45,[72]WRDS!$A$1:$O$100,11,FALSE)</f>
        <v>2.83</v>
      </c>
    </row>
    <row r="46" spans="1:14" x14ac:dyDescent="0.3">
      <c r="A46" t="s">
        <v>56</v>
      </c>
      <c r="B46" t="str">
        <f>VLOOKUP(A46,[71]WRDS!$A$1:$N$100,2,FALSE)</f>
        <v>NSP</v>
      </c>
      <c r="C46" t="str">
        <f>VLOOKUP(A46,[71]WRDS!$A$1:$N$100,3,FALSE)</f>
        <v>XCEL ENERGY INC</v>
      </c>
      <c r="D46">
        <f>VLOOKUP(A46,[71]WRDS!$A$1:$N$100,13,FALSE)</f>
        <v>2.31</v>
      </c>
      <c r="E46">
        <f>VLOOKUP(A46,[55]WRDS!$A$1:$N$100,13,FALSE)</f>
        <v>1.2</v>
      </c>
      <c r="F46" s="1">
        <f t="shared" si="3"/>
        <v>3.148553409863545</v>
      </c>
      <c r="G46" s="1">
        <f t="shared" si="4"/>
        <v>3.1427294976000009</v>
      </c>
      <c r="H46" s="2">
        <f t="shared" si="0"/>
        <v>-0.15103005344332288</v>
      </c>
      <c r="I46" s="2">
        <f>VLOOKUP(A46,[72]WRDS!$A$1:$O$100,10,FALSE)/100</f>
        <v>8.0500000000000002E-2</v>
      </c>
      <c r="J46" s="2">
        <f>VLOOKUP(A46,[72]WRDS!$A$1:$O$100,9,FALSE)/100</f>
        <v>0.08</v>
      </c>
      <c r="K46" s="2">
        <f t="shared" si="1"/>
        <v>1.5330064988039569</v>
      </c>
      <c r="L46" s="2">
        <f t="shared" si="2"/>
        <v>1.5296958994325036</v>
      </c>
      <c r="M46">
        <f>VLOOKUP(A46,[72]WRDS!$A$1:$O$100,8,FALSE)</f>
        <v>11</v>
      </c>
      <c r="N46">
        <f>VLOOKUP(A46,[72]WRDS!$A$1:$O$100,11,FALSE)</f>
        <v>1.27</v>
      </c>
    </row>
    <row r="47" spans="1:14" x14ac:dyDescent="0.3">
      <c r="A47" t="s">
        <v>132</v>
      </c>
      <c r="B47" t="str">
        <f>VLOOKUP(A47,'[5]Ticker List'!$H$4:$I$20,2,FALSE)</f>
        <v>EGAS</v>
      </c>
      <c r="C47" t="str">
        <f>VLOOKUP(A47,[73]rcpduh2lqkohgbf3!$B$1:$N$15,2,FALSE)</f>
        <v>ATMOS ENERGY CP</v>
      </c>
      <c r="D47">
        <f>VLOOKUP(A47,[73]rcpduh2lqkohgbf3!$B$1:$N$15,12,FALSE)</f>
        <v>1.45</v>
      </c>
      <c r="E47">
        <f>VLOOKUP(A47,[57]jwcrwh6htxikq0li!$B$1:$N$17,12,FALSE)</f>
        <v>1.82</v>
      </c>
      <c r="F47" s="1">
        <f t="shared" si="3"/>
        <v>1.8305915920000004</v>
      </c>
      <c r="G47" s="1">
        <f t="shared" si="4"/>
        <v>1.8305915920000004</v>
      </c>
      <c r="H47" s="2">
        <f t="shared" si="0"/>
        <v>5.8463402541381937E-2</v>
      </c>
      <c r="I47" s="2">
        <f>VLOOKUP(A47,[74]fk6ajjdvrntlmq7b!$B$1:$N$15,9,FALSE)/100</f>
        <v>0.06</v>
      </c>
      <c r="J47" s="2">
        <f>VLOOKUP(A47,[74]fk6ajjdvrntlmq7b!$B$1:$N$15,8,FALSE)/100</f>
        <v>0.06</v>
      </c>
      <c r="K47" s="2">
        <f t="shared" si="1"/>
        <v>2.6283065846713534E-2</v>
      </c>
      <c r="L47" s="2">
        <f t="shared" si="2"/>
        <v>2.6283065846713534E-2</v>
      </c>
      <c r="M47">
        <f>VLOOKUP(A47,[74]fk6ajjdvrntlmq7b!$B$1:$N$15,7,FALSE)</f>
        <v>5</v>
      </c>
      <c r="N47">
        <f>VLOOKUP(A47,[74]fk6ajjdvrntlmq7b!$B$1:$N$15,10,FALSE)</f>
        <v>1.22</v>
      </c>
    </row>
    <row r="48" spans="1:14" x14ac:dyDescent="0.3">
      <c r="A48" t="s">
        <v>133</v>
      </c>
      <c r="B48" t="str">
        <f>VLOOKUP(A48,'[5]Ticker List'!$H$4:$I$20,2,FALSE)</f>
        <v>CHPK</v>
      </c>
      <c r="C48" t="str">
        <f>VLOOKUP(A48,[73]rcpduh2lqkohgbf3!$B$1:$N$15,2,FALSE)</f>
        <v>CHESAPEAKE UTIL</v>
      </c>
      <c r="D48">
        <f>VLOOKUP(A48,[73]rcpduh2lqkohgbf3!$B$1:$N$15,12,FALSE)</f>
        <v>0.82669999999999999</v>
      </c>
      <c r="E48">
        <f>VLOOKUP(A48,[57]jwcrwh6htxikq0li!$B$1:$N$17,12,FALSE)</f>
        <v>1.18</v>
      </c>
      <c r="F48" s="1">
        <f t="shared" si="3"/>
        <v>1.0436897028320002</v>
      </c>
      <c r="G48" s="1">
        <f t="shared" si="4"/>
        <v>1.0436897028320002</v>
      </c>
      <c r="H48" s="2">
        <f t="shared" si="0"/>
        <v>9.303361256854048E-2</v>
      </c>
      <c r="I48" s="2">
        <f>VLOOKUP(A48,[74]fk6ajjdvrntlmq7b!$B$1:$N$15,9,FALSE)/100</f>
        <v>0.06</v>
      </c>
      <c r="J48" s="2">
        <f>VLOOKUP(A48,[74]fk6ajjdvrntlmq7b!$B$1:$N$15,8,FALSE)/100</f>
        <v>0.06</v>
      </c>
      <c r="K48" s="2">
        <f t="shared" si="1"/>
        <v>-0.35507180315290554</v>
      </c>
      <c r="L48" s="2">
        <f t="shared" si="2"/>
        <v>-0.35507180315290554</v>
      </c>
      <c r="M48">
        <f>VLOOKUP(A48,[74]fk6ajjdvrntlmq7b!$B$1:$N$15,7,FALSE)</f>
        <v>1</v>
      </c>
      <c r="N48">
        <f>VLOOKUP(A48,[74]fk6ajjdvrntlmq7b!$B$1:$N$15,10,FALSE)</f>
        <v>0</v>
      </c>
    </row>
    <row r="49" spans="1:14" x14ac:dyDescent="0.3">
      <c r="A49" t="s">
        <v>134</v>
      </c>
      <c r="B49" t="str">
        <f>VLOOKUP(A49,'[5]Ticker List'!$H$4:$I$20,2,FALSE)</f>
        <v>NJR</v>
      </c>
      <c r="C49" t="str">
        <f>VLOOKUP(A49,[73]rcpduh2lqkohgbf3!$B$1:$N$15,2,FALSE)</f>
        <v>NEW JERSEY RES</v>
      </c>
      <c r="D49">
        <f>VLOOKUP(A49,[73]rcpduh2lqkohgbf3!$B$1:$N$15,12,FALSE)</f>
        <v>0.69669999999999999</v>
      </c>
      <c r="E49">
        <f>VLOOKUP(A49,[57]jwcrwh6htxikq0li!$B$1:$N$17,12,FALSE)</f>
        <v>0.93330000000000002</v>
      </c>
      <c r="F49" s="1">
        <f t="shared" si="3"/>
        <v>0.89224835198911545</v>
      </c>
      <c r="G49" s="1">
        <f t="shared" si="4"/>
        <v>0.88789490814208982</v>
      </c>
      <c r="H49" s="2">
        <f t="shared" si="0"/>
        <v>7.5830528169734457E-2</v>
      </c>
      <c r="I49" s="2">
        <f>VLOOKUP(A49,[74]fk6ajjdvrntlmq7b!$B$1:$N$15,9,FALSE)/100</f>
        <v>6.3799999999999996E-2</v>
      </c>
      <c r="J49" s="2">
        <f>VLOOKUP(A49,[74]fk6ajjdvrntlmq7b!$B$1:$N$15,8,FALSE)/100</f>
        <v>6.25E-2</v>
      </c>
      <c r="K49" s="2">
        <f t="shared" si="1"/>
        <v>-0.15865019616909506</v>
      </c>
      <c r="L49" s="2">
        <f t="shared" si="2"/>
        <v>-0.17579368746972474</v>
      </c>
      <c r="M49">
        <f>VLOOKUP(A49,[74]fk6ajjdvrntlmq7b!$B$1:$N$15,7,FALSE)</f>
        <v>4</v>
      </c>
      <c r="N49">
        <f>VLOOKUP(A49,[74]fk6ajjdvrntlmq7b!$B$1:$N$15,10,FALSE)</f>
        <v>1.25</v>
      </c>
    </row>
    <row r="50" spans="1:14" x14ac:dyDescent="0.3">
      <c r="A50" t="s">
        <v>135</v>
      </c>
      <c r="B50" t="str">
        <f>VLOOKUP(A50,'[5]Ticker List'!$H$4:$I$20,2,FALSE)</f>
        <v>NI</v>
      </c>
      <c r="C50" t="str">
        <f>VLOOKUP(A50,[73]rcpduh2lqkohgbf3!$B$1:$N$15,2,FALSE)</f>
        <v>NISOURCE INC</v>
      </c>
      <c r="D50">
        <f>VLOOKUP(A50,[73]rcpduh2lqkohgbf3!$B$1:$N$15,12,FALSE)</f>
        <v>1.44</v>
      </c>
      <c r="E50">
        <f>VLOOKUP(A50,[57]jwcrwh6htxikq0li!$B$1:$N$17,12,FALSE)</f>
        <v>1.42</v>
      </c>
      <c r="F50" s="1">
        <f t="shared" si="3"/>
        <v>1.8946124001806397</v>
      </c>
      <c r="G50" s="1">
        <f t="shared" si="4"/>
        <v>1.8875462543999999</v>
      </c>
      <c r="H50" s="2">
        <f t="shared" si="0"/>
        <v>-3.4904546446052898E-3</v>
      </c>
      <c r="I50" s="2">
        <f>VLOOKUP(A50,[74]fk6ajjdvrntlmq7b!$B$1:$N$15,9,FALSE)/100</f>
        <v>7.0999999999999994E-2</v>
      </c>
      <c r="J50" s="2">
        <f>VLOOKUP(A50,[74]fk6ajjdvrntlmq7b!$B$1:$N$15,8,FALSE)/100</f>
        <v>7.0000000000000007E-2</v>
      </c>
      <c r="K50" s="2">
        <f t="shared" si="1"/>
        <v>21.34118968133129</v>
      </c>
      <c r="L50" s="2">
        <f t="shared" si="2"/>
        <v>21.054694052016767</v>
      </c>
      <c r="M50">
        <f>VLOOKUP(A50,[74]fk6ajjdvrntlmq7b!$B$1:$N$15,7,FALSE)</f>
        <v>10</v>
      </c>
      <c r="N50">
        <f>VLOOKUP(A50,[74]fk6ajjdvrntlmq7b!$B$1:$N$15,10,FALSE)</f>
        <v>2.5099999999999998</v>
      </c>
    </row>
    <row r="51" spans="1:14" x14ac:dyDescent="0.3">
      <c r="A51" t="s">
        <v>136</v>
      </c>
      <c r="B51" t="str">
        <f>VLOOKUP(A51,'[5]Ticker List'!$H$4:$I$20,2,FALSE)</f>
        <v>NWNG</v>
      </c>
      <c r="C51" t="str">
        <f>VLOOKUP(A51,[73]rcpduh2lqkohgbf3!$B$1:$N$15,2,FALSE)</f>
        <v>NW NATURAL GAS</v>
      </c>
      <c r="D51">
        <f>VLOOKUP(A51,[73]rcpduh2lqkohgbf3!$B$1:$N$15,12,FALSE)</f>
        <v>1.87</v>
      </c>
      <c r="E51">
        <f>VLOOKUP(A51,[57]jwcrwh6htxikq0li!$B$1:$N$17,12,FALSE)</f>
        <v>2.11</v>
      </c>
      <c r="F51" s="1">
        <f t="shared" si="3"/>
        <v>2.2214861052595203</v>
      </c>
      <c r="G51" s="1">
        <f t="shared" si="4"/>
        <v>2.204512077111521</v>
      </c>
      <c r="H51" s="2">
        <f t="shared" si="0"/>
        <v>3.0647637744983802E-2</v>
      </c>
      <c r="I51" s="2">
        <f>VLOOKUP(A51,[74]fk6ajjdvrntlmq7b!$B$1:$N$15,9,FALSE)/100</f>
        <v>4.4000000000000004E-2</v>
      </c>
      <c r="J51" s="2">
        <f>VLOOKUP(A51,[74]fk6ajjdvrntlmq7b!$B$1:$N$15,8,FALSE)/100</f>
        <v>4.2000000000000003E-2</v>
      </c>
      <c r="K51" s="2">
        <f t="shared" si="1"/>
        <v>0.43567345601380408</v>
      </c>
      <c r="L51" s="2">
        <f t="shared" si="2"/>
        <v>0.3704155716495402</v>
      </c>
      <c r="M51">
        <f>VLOOKUP(A51,[74]fk6ajjdvrntlmq7b!$B$1:$N$15,7,FALSE)</f>
        <v>3</v>
      </c>
      <c r="N51">
        <f>VLOOKUP(A51,[74]fk6ajjdvrntlmq7b!$B$1:$N$15,10,FALSE)</f>
        <v>0.53</v>
      </c>
    </row>
    <row r="52" spans="1:14" x14ac:dyDescent="0.3">
      <c r="A52" t="s">
        <v>138</v>
      </c>
      <c r="B52" t="str">
        <f>VLOOKUP(A52,'[5]Ticker List'!$H$4:$I$20,2,FALSE)</f>
        <v>SJI</v>
      </c>
      <c r="C52" t="str">
        <f>VLOOKUP(A52,[73]rcpduh2lqkohgbf3!$B$1:$N$15,2,FALSE)</f>
        <v>SO JERSEY INDS</v>
      </c>
      <c r="D52">
        <f>VLOOKUP(A52,[73]rcpduh2lqkohgbf3!$B$1:$N$15,12,FALSE)</f>
        <v>0.57250000000000001</v>
      </c>
      <c r="E52">
        <f>VLOOKUP(A52,[57]jwcrwh6htxikq0li!$B$1:$N$17,12,FALSE)</f>
        <v>0.85499999999999998</v>
      </c>
      <c r="F52" s="1">
        <f t="shared" si="3"/>
        <v>0.72823837057236007</v>
      </c>
      <c r="G52" s="1">
        <f t="shared" si="4"/>
        <v>0.69587732812500003</v>
      </c>
      <c r="H52" s="2">
        <f t="shared" si="0"/>
        <v>0.10547176816973258</v>
      </c>
      <c r="I52" s="2">
        <f>VLOOKUP(A52,[74]fk6ajjdvrntlmq7b!$B$1:$N$15,9,FALSE)/100</f>
        <v>6.2E-2</v>
      </c>
      <c r="J52" s="2">
        <f>VLOOKUP(A52,[74]fk6ajjdvrntlmq7b!$B$1:$N$15,8,FALSE)/100</f>
        <v>0.05</v>
      </c>
      <c r="K52" s="2">
        <f t="shared" si="1"/>
        <v>-0.41216497005885744</v>
      </c>
      <c r="L52" s="2">
        <f t="shared" si="2"/>
        <v>-0.52593949198294954</v>
      </c>
      <c r="M52">
        <f>VLOOKUP(A52,[74]fk6ajjdvrntlmq7b!$B$1:$N$15,7,FALSE)</f>
        <v>5</v>
      </c>
      <c r="N52">
        <f>VLOOKUP(A52,[74]fk6ajjdvrntlmq7b!$B$1:$N$15,10,FALSE)</f>
        <v>2.39</v>
      </c>
    </row>
    <row r="53" spans="1:14" x14ac:dyDescent="0.3">
      <c r="A53" t="s">
        <v>139</v>
      </c>
      <c r="B53" t="str">
        <f>VLOOKUP(A53,'[5]Ticker List'!$H$4:$I$20,2,FALSE)</f>
        <v>SWX</v>
      </c>
      <c r="C53" t="str">
        <f>VLOOKUP(A53,[73]rcpduh2lqkohgbf3!$B$1:$N$15,2,FALSE)</f>
        <v>SOUTHWEST GAS</v>
      </c>
      <c r="D53">
        <f>VLOOKUP(A53,[73]rcpduh2lqkohgbf3!$B$1:$N$15,12,FALSE)</f>
        <v>1.1499999999999999</v>
      </c>
      <c r="E53">
        <f>VLOOKUP(A53,[57]jwcrwh6htxikq0li!$B$1:$N$17,12,FALSE)</f>
        <v>1.3</v>
      </c>
      <c r="F53" s="1">
        <f t="shared" si="3"/>
        <v>1.345337344</v>
      </c>
      <c r="G53" s="1">
        <f t="shared" si="4"/>
        <v>1.345337344</v>
      </c>
      <c r="H53" s="2">
        <f t="shared" si="0"/>
        <v>3.1125145723054359E-2</v>
      </c>
      <c r="I53" s="2">
        <f>VLOOKUP(A53,[74]fk6ajjdvrntlmq7b!$B$1:$N$15,9,FALSE)/100</f>
        <v>0.04</v>
      </c>
      <c r="J53" s="2">
        <f>VLOOKUP(A53,[74]fk6ajjdvrntlmq7b!$B$1:$N$15,8,FALSE)/100</f>
        <v>0.04</v>
      </c>
      <c r="K53" s="2">
        <f t="shared" si="1"/>
        <v>0.28513454542229011</v>
      </c>
      <c r="L53" s="2">
        <f t="shared" si="2"/>
        <v>0.28513454542229011</v>
      </c>
      <c r="M53">
        <f>VLOOKUP(A53,[74]fk6ajjdvrntlmq7b!$B$1:$N$15,7,FALSE)</f>
        <v>1</v>
      </c>
      <c r="N53">
        <f>VLOOKUP(A53,[74]fk6ajjdvrntlmq7b!$B$1:$N$15,10,FALSE)</f>
        <v>0</v>
      </c>
    </row>
    <row r="54" spans="1:14" x14ac:dyDescent="0.3">
      <c r="A54" t="s">
        <v>148</v>
      </c>
      <c r="B54" t="str">
        <f>VLOOKUP(A54,'[5]Ticker List'!$H$4:$I$20,2,FALSE)</f>
        <v>AGLT</v>
      </c>
      <c r="C54" t="str">
        <f>VLOOKUP(A54,[73]rcpduh2lqkohgbf3!$B$1:$N$15,2,FALSE)</f>
        <v>AGL RESOURCES</v>
      </c>
      <c r="D54">
        <f>VLOOKUP(A54,[73]rcpduh2lqkohgbf3!$B$1:$N$15,12,FALSE)</f>
        <v>1.5</v>
      </c>
      <c r="E54">
        <f>VLOOKUP(A54,[57]jwcrwh6htxikq0li!$B$1:$N$17,12,FALSE)</f>
        <v>2.48</v>
      </c>
      <c r="F54" s="1">
        <f t="shared" si="3"/>
        <v>1.9661940150000001</v>
      </c>
      <c r="G54" s="1">
        <f t="shared" si="4"/>
        <v>2.0407334400000003</v>
      </c>
      <c r="H54" s="2">
        <f t="shared" si="0"/>
        <v>0.133940078428189</v>
      </c>
      <c r="I54" s="2">
        <f>VLOOKUP(A54,[74]fk6ajjdvrntlmq7b!$B$1:$N$15,9,FALSE)/100</f>
        <v>7.0000000000000007E-2</v>
      </c>
      <c r="J54" s="2">
        <f>VLOOKUP(A54,[74]fk6ajjdvrntlmq7b!$B$1:$N$15,8,FALSE)/100</f>
        <v>0.08</v>
      </c>
      <c r="K54" s="2">
        <f t="shared" si="1"/>
        <v>-0.47737823643630312</v>
      </c>
      <c r="L54" s="2">
        <f t="shared" si="2"/>
        <v>-0.40271798449863222</v>
      </c>
      <c r="M54">
        <f>VLOOKUP(A54,[74]fk6ajjdvrntlmq7b!$B$1:$N$15,7,FALSE)</f>
        <v>7</v>
      </c>
      <c r="N54">
        <f>VLOOKUP(A54,[74]fk6ajjdvrntlmq7b!$B$1:$N$15,10,FALSE)</f>
        <v>2.31</v>
      </c>
    </row>
    <row r="55" spans="1:14" x14ac:dyDescent="0.3">
      <c r="A55" t="s">
        <v>143</v>
      </c>
      <c r="B55" t="str">
        <f>VLOOKUP(A55,'[5]Ticker List'!$H$4:$I$20,2,FALSE)</f>
        <v>LG</v>
      </c>
      <c r="C55" t="str">
        <f>VLOOKUP(A55,[73]rcpduh2lqkohgbf3!$B$1:$N$15,2,FALSE)</f>
        <v>LACLEDE GROUP</v>
      </c>
      <c r="D55">
        <f>VLOOKUP(A55,[73]rcpduh2lqkohgbf3!$B$1:$N$15,12,FALSE)</f>
        <v>1.18</v>
      </c>
      <c r="E55">
        <f>VLOOKUP(A55,[57]jwcrwh6htxikq0li!$B$1:$N$17,12,FALSE)</f>
        <v>2.2999999999999998</v>
      </c>
      <c r="F55" s="1">
        <f t="shared" si="3"/>
        <v>1.3281003957999997</v>
      </c>
      <c r="G55" s="1">
        <f t="shared" si="4"/>
        <v>1.3281003957999997</v>
      </c>
      <c r="H55" s="2">
        <f t="shared" si="0"/>
        <v>0.18157544528297764</v>
      </c>
      <c r="I55" s="2">
        <f>VLOOKUP(A55,[74]fk6ajjdvrntlmq7b!$B$1:$N$15,9,FALSE)/100</f>
        <v>0.03</v>
      </c>
      <c r="J55" s="2">
        <f>VLOOKUP(A55,[74]fk6ajjdvrntlmq7b!$B$1:$N$15,8,FALSE)/100</f>
        <v>0.03</v>
      </c>
      <c r="K55" s="2">
        <f t="shared" si="1"/>
        <v>-0.83477942211158418</v>
      </c>
      <c r="L55" s="2">
        <f t="shared" si="2"/>
        <v>-0.83477942211158418</v>
      </c>
      <c r="M55">
        <f>VLOOKUP(A55,[74]fk6ajjdvrntlmq7b!$B$1:$N$15,7,FALSE)</f>
        <v>1</v>
      </c>
      <c r="N55">
        <f>VLOOKUP(A55,[74]fk6ajjdvrntlmq7b!$B$1:$N$15,10,FALSE)</f>
        <v>0</v>
      </c>
    </row>
    <row r="56" spans="1:14" x14ac:dyDescent="0.3">
      <c r="A56" t="s">
        <v>144</v>
      </c>
      <c r="B56" t="str">
        <f>VLOOKUP(A56,'[5]Ticker List'!$H$4:$I$20,2,FALSE)</f>
        <v>GAS</v>
      </c>
      <c r="C56" t="str">
        <f>VLOOKUP(A56,[73]rcpduh2lqkohgbf3!$B$1:$N$15,2,FALSE)</f>
        <v>NICOR INC</v>
      </c>
      <c r="D56">
        <f>VLOOKUP(A56,[73]rcpduh2lqkohgbf3!$B$1:$N$15,12,FALSE)</f>
        <v>3.17</v>
      </c>
      <c r="E56">
        <f>VLOOKUP(A56,[57]jwcrwh6htxikq0li!$B$1:$N$17,12,FALSE)</f>
        <v>2.29</v>
      </c>
      <c r="F56" s="1">
        <f t="shared" si="3"/>
        <v>4.0020519632000013</v>
      </c>
      <c r="G56" s="1">
        <f t="shared" si="4"/>
        <v>4.0020519632000013</v>
      </c>
      <c r="H56" s="2">
        <f t="shared" si="0"/>
        <v>-7.8078262635316809E-2</v>
      </c>
      <c r="I56" s="2">
        <f>VLOOKUP(A56,[74]fk6ajjdvrntlmq7b!$B$1:$N$15,9,FALSE)/100</f>
        <v>0.06</v>
      </c>
      <c r="J56" s="2">
        <f>VLOOKUP(A56,[74]fk6ajjdvrntlmq7b!$B$1:$N$15,8,FALSE)/100</f>
        <v>0.06</v>
      </c>
      <c r="K56" s="2">
        <f t="shared" si="1"/>
        <v>1.7684597220130824</v>
      </c>
      <c r="L56" s="2">
        <f t="shared" si="2"/>
        <v>1.7684597220130824</v>
      </c>
      <c r="M56">
        <f>VLOOKUP(A56,[74]fk6ajjdvrntlmq7b!$B$1:$N$15,7,FALSE)</f>
        <v>5</v>
      </c>
      <c r="N56">
        <f>VLOOKUP(A56,[74]fk6ajjdvrntlmq7b!$B$1:$N$15,10,FALSE)</f>
        <v>1.58</v>
      </c>
    </row>
    <row r="57" spans="1:14" x14ac:dyDescent="0.3">
      <c r="A57" t="s">
        <v>146</v>
      </c>
      <c r="B57" t="str">
        <f>VLOOKUP(A57,'[5]Ticker List'!$H$4:$I$20,2,FALSE)</f>
        <v>PNY</v>
      </c>
      <c r="C57" t="str">
        <f>VLOOKUP(A57,[73]rcpduh2lqkohgbf3!$B$1:$N$15,2,FALSE)</f>
        <v>PIEDMONT NAT GAS</v>
      </c>
      <c r="D57">
        <f>VLOOKUP(A57,[73]rcpduh2lqkohgbf3!$B$1:$N$15,12,FALSE)</f>
        <v>0.94499999999999995</v>
      </c>
      <c r="E57">
        <f>VLOOKUP(A57,[57]jwcrwh6htxikq0li!$B$1:$N$17,12,FALSE)</f>
        <v>1.32</v>
      </c>
      <c r="F57" s="1">
        <f t="shared" si="3"/>
        <v>1.1342811247738662</v>
      </c>
      <c r="G57" s="1">
        <f t="shared" si="4"/>
        <v>1.14865340625</v>
      </c>
      <c r="H57" s="2">
        <f t="shared" si="0"/>
        <v>8.7140138423081881E-2</v>
      </c>
      <c r="I57" s="2">
        <f>VLOOKUP(A57,[74]fk6ajjdvrntlmq7b!$B$1:$N$15,9,FALSE)/100</f>
        <v>4.6699999999999998E-2</v>
      </c>
      <c r="J57" s="2">
        <f>VLOOKUP(A57,[74]fk6ajjdvrntlmq7b!$B$1:$N$15,8,FALSE)/100</f>
        <v>0.05</v>
      </c>
      <c r="K57" s="2">
        <f t="shared" si="1"/>
        <v>-0.4640816408477268</v>
      </c>
      <c r="L57" s="2">
        <f t="shared" si="2"/>
        <v>-0.4262116069033477</v>
      </c>
      <c r="M57">
        <f>VLOOKUP(A57,[74]fk6ajjdvrntlmq7b!$B$1:$N$15,7,FALSE)</f>
        <v>3</v>
      </c>
      <c r="N57">
        <f>VLOOKUP(A57,[74]fk6ajjdvrntlmq7b!$B$1:$N$15,10,FALSE)</f>
        <v>0.57999999999999996</v>
      </c>
    </row>
    <row r="58" spans="1:14" x14ac:dyDescent="0.3">
      <c r="A58" t="s">
        <v>145</v>
      </c>
      <c r="B58" t="str">
        <f>VLOOKUP(A58,'[5]Ticker List'!$H$4:$I$20,2,FALSE)</f>
        <v>WGL</v>
      </c>
      <c r="C58" t="str">
        <f>VLOOKUP(A58,[73]rcpduh2lqkohgbf3!$B$1:$N$15,2,FALSE)</f>
        <v>WGL HOLDING INC</v>
      </c>
      <c r="D58">
        <f>VLOOKUP(A58,[73]rcpduh2lqkohgbf3!$B$1:$N$15,12,FALSE)</f>
        <v>1.1399999999999999</v>
      </c>
      <c r="E58">
        <f>VLOOKUP(A58,[57]jwcrwh6htxikq0li!$B$1:$N$17,12,FALSE)</f>
        <v>1.88</v>
      </c>
      <c r="F58" s="1">
        <f t="shared" si="3"/>
        <v>1.3439271486134403</v>
      </c>
      <c r="G58" s="1">
        <f t="shared" si="4"/>
        <v>1.3336387584000002</v>
      </c>
      <c r="H58" s="2">
        <f t="shared" si="0"/>
        <v>0.13321743966816757</v>
      </c>
      <c r="I58" s="2">
        <f>VLOOKUP(A58,[74]fk6ajjdvrntlmq7b!$B$1:$N$15,9,FALSE)/100</f>
        <v>4.2000000000000003E-2</v>
      </c>
      <c r="J58" s="2">
        <f>VLOOKUP(A58,[74]fk6ajjdvrntlmq7b!$B$1:$N$15,8,FALSE)/100</f>
        <v>0.04</v>
      </c>
      <c r="K58" s="2">
        <f t="shared" si="1"/>
        <v>-0.68472596302242295</v>
      </c>
      <c r="L58" s="2">
        <f t="shared" si="2"/>
        <v>-0.69973901240230751</v>
      </c>
      <c r="M58">
        <f>VLOOKUP(A58,[74]fk6ajjdvrntlmq7b!$B$1:$N$15,7,FALSE)</f>
        <v>5</v>
      </c>
      <c r="N58">
        <f>VLOOKUP(A58,[74]fk6ajjdvrntlmq7b!$B$1:$N$15,10,FALSE)</f>
        <v>1.6</v>
      </c>
    </row>
    <row r="59" spans="1:14" x14ac:dyDescent="0.3">
      <c r="A59" t="s">
        <v>149</v>
      </c>
      <c r="B59" t="str">
        <f>VLOOKUP(A59,'[5]Ticker List'!$H$4:$I$20,2,FALSE)</f>
        <v>CGC</v>
      </c>
      <c r="C59" t="str">
        <f>VLOOKUP(A59,[73]rcpduh2lqkohgbf3!$B$1:$N$15,2,FALSE)</f>
        <v>CASCADE NAT GAS</v>
      </c>
      <c r="D59">
        <f>VLOOKUP(A59,[73]rcpduh2lqkohgbf3!$B$1:$N$15,12,FALSE)</f>
        <v>1.1299999999999999</v>
      </c>
      <c r="E59">
        <f>VLOOKUP(A59,[57]jwcrwh6htxikq0li!$B$1:$N$17,12,FALSE)</f>
        <v>1.0900000000000001</v>
      </c>
      <c r="F59" s="1">
        <f t="shared" si="3"/>
        <v>1.4265989648000001</v>
      </c>
      <c r="G59" s="1">
        <f t="shared" si="4"/>
        <v>1.4265989648000001</v>
      </c>
      <c r="H59" s="2">
        <f t="shared" si="0"/>
        <v>-8.9695158445802781E-3</v>
      </c>
      <c r="I59" s="2">
        <f>VLOOKUP(A59,[74]fk6ajjdvrntlmq7b!$B$1:$N$15,9,FALSE)/100</f>
        <v>0.06</v>
      </c>
      <c r="J59" s="2">
        <f>VLOOKUP(A59,[74]fk6ajjdvrntlmq7b!$B$1:$N$15,8,FALSE)/100</f>
        <v>0.06</v>
      </c>
      <c r="K59" s="2">
        <f t="shared" si="1"/>
        <v>7.689324266733335</v>
      </c>
      <c r="L59" s="2">
        <f t="shared" si="2"/>
        <v>7.689324266733335</v>
      </c>
      <c r="M59">
        <f>VLOOKUP(A59,[74]fk6ajjdvrntlmq7b!$B$1:$N$15,7,FALSE)</f>
        <v>1</v>
      </c>
      <c r="N59">
        <f>VLOOKUP(A59,[74]fk6ajjdvrntlmq7b!$B$1:$N$15,10,FALSE)</f>
        <v>0</v>
      </c>
    </row>
    <row r="60" spans="1:14" x14ac:dyDescent="0.3">
      <c r="A60" t="s">
        <v>150</v>
      </c>
      <c r="B60" t="str">
        <f>VLOOKUP(A60,'[5]Ticker List'!$H$4:$I$20,2,FALSE)</f>
        <v>MN</v>
      </c>
      <c r="C60" t="str">
        <f>VLOOKUP(A60,[73]rcpduh2lqkohgbf3!$B$1:$N$15,2,FALSE)</f>
        <v>KEYSPAN CP</v>
      </c>
      <c r="D60">
        <f>VLOOKUP(A60,[73]rcpduh2lqkohgbf3!$B$1:$N$15,12,FALSE)</f>
        <v>2.5299999999999998</v>
      </c>
      <c r="E60">
        <f>VLOOKUP(A60,[57]jwcrwh6htxikq0li!$B$1:$N$17,12,FALSE)</f>
        <v>2.38</v>
      </c>
      <c r="F60" s="1">
        <f t="shared" si="3"/>
        <v>3.4242241428688169</v>
      </c>
      <c r="G60" s="1">
        <f t="shared" si="4"/>
        <v>3.4420370688000004</v>
      </c>
      <c r="H60" s="2">
        <f t="shared" si="0"/>
        <v>-1.5163561383289337E-2</v>
      </c>
      <c r="I60" s="2">
        <f>VLOOKUP(A60,[74]fk6ajjdvrntlmq7b!$B$1:$N$15,9,FALSE)/100</f>
        <v>7.8600000000000003E-2</v>
      </c>
      <c r="J60" s="2">
        <f>VLOOKUP(A60,[74]fk6ajjdvrntlmq7b!$B$1:$N$15,8,FALSE)/100</f>
        <v>0.08</v>
      </c>
      <c r="K60" s="2">
        <f t="shared" si="1"/>
        <v>6.1834788684022062</v>
      </c>
      <c r="L60" s="2">
        <f t="shared" si="2"/>
        <v>6.2758054640226018</v>
      </c>
      <c r="M60">
        <f>VLOOKUP(A60,[74]fk6ajjdvrntlmq7b!$B$1:$N$15,7,FALSE)</f>
        <v>7</v>
      </c>
      <c r="N60">
        <f>VLOOKUP(A60,[74]fk6ajjdvrntlmq7b!$B$1:$N$15,10,FALSE)</f>
        <v>3.58</v>
      </c>
    </row>
  </sheetData>
  <mergeCells count="3">
    <mergeCell ref="P1:Q1"/>
    <mergeCell ref="P7:Q7"/>
    <mergeCell ref="P13:Q13"/>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ED3C4-6FDB-4AF1-A319-E8CC795ADF7D}">
  <dimension ref="A1:Q57"/>
  <sheetViews>
    <sheetView topLeftCell="A20" workbookViewId="0">
      <selection activeCell="A57" sqref="A57"/>
    </sheetView>
  </sheetViews>
  <sheetFormatPr defaultRowHeight="14.4" x14ac:dyDescent="0.3"/>
  <cols>
    <col min="1" max="1" width="13.33203125" bestFit="1" customWidth="1"/>
    <col min="2" max="2" width="10.44140625" bestFit="1" customWidth="1"/>
    <col min="3" max="3" width="15.109375" bestFit="1" customWidth="1"/>
    <col min="4" max="5" width="15.44140625" bestFit="1" customWidth="1"/>
    <col min="6" max="6" width="14.33203125" bestFit="1" customWidth="1"/>
    <col min="7" max="7" width="16" bestFit="1" customWidth="1"/>
    <col min="8" max="8" width="18.33203125" bestFit="1" customWidth="1"/>
    <col min="9" max="9" width="21.44140625" bestFit="1" customWidth="1"/>
    <col min="10" max="10" width="23.109375" bestFit="1" customWidth="1"/>
    <col min="11" max="11" width="22" bestFit="1" customWidth="1"/>
    <col min="12" max="12" width="24.109375" bestFit="1" customWidth="1"/>
    <col min="13" max="13" width="19.88671875" bestFit="1" customWidth="1"/>
    <col min="14" max="14" width="8.33203125" bestFit="1" customWidth="1"/>
    <col min="16" max="16" width="51.88671875" bestFit="1" customWidth="1"/>
    <col min="17" max="17" width="12" bestFit="1" customWidth="1"/>
  </cols>
  <sheetData>
    <row r="1" spans="1:17" x14ac:dyDescent="0.3">
      <c r="A1" s="4" t="s">
        <v>0</v>
      </c>
      <c r="B1" s="4" t="s">
        <v>1</v>
      </c>
      <c r="C1" s="4" t="s">
        <v>2</v>
      </c>
      <c r="D1" s="4" t="s">
        <v>97</v>
      </c>
      <c r="E1" s="4" t="s">
        <v>90</v>
      </c>
      <c r="F1" s="4" t="s">
        <v>5</v>
      </c>
      <c r="G1" s="4" t="s">
        <v>6</v>
      </c>
      <c r="H1" s="4" t="s">
        <v>7</v>
      </c>
      <c r="I1" s="4" t="s">
        <v>8</v>
      </c>
      <c r="J1" s="4" t="s">
        <v>9</v>
      </c>
      <c r="K1" s="4" t="s">
        <v>10</v>
      </c>
      <c r="L1" s="4" t="s">
        <v>11</v>
      </c>
      <c r="M1" s="4" t="s">
        <v>12</v>
      </c>
      <c r="N1" s="4" t="s">
        <v>13</v>
      </c>
      <c r="P1" s="111" t="s">
        <v>14</v>
      </c>
      <c r="Q1" s="111"/>
    </row>
    <row r="2" spans="1:17" x14ac:dyDescent="0.3">
      <c r="A2" t="s">
        <v>15</v>
      </c>
      <c r="B2" t="str">
        <f>VLOOKUP(A2,[75]WRDS!$A$1:$N$100,2,FALSE)</f>
        <v>UEP</v>
      </c>
      <c r="C2" t="str">
        <f>VLOOKUP(A2,[75]WRDS!$A$1:$N$100,3,FALSE)</f>
        <v>AMEREN CP</v>
      </c>
      <c r="D2">
        <f>VLOOKUP(A2,[75]WRDS!$A$1:$N$100,13,FALSE)</f>
        <v>3.34</v>
      </c>
      <c r="E2">
        <f>VLOOKUP(A2,[59]WRDS!$A$1:$N$100,13,FALSE)</f>
        <v>2.82</v>
      </c>
      <c r="F2" s="1">
        <f>D2*(1+I2)^4</f>
        <v>3.8327268220874986</v>
      </c>
      <c r="G2" s="1">
        <f>D2*(1+J2)^4</f>
        <v>3.7591994253999994</v>
      </c>
      <c r="H2" s="2">
        <f t="shared" ref="H2:H57" si="0">((E2/D2)^(1/4)-1)</f>
        <v>-4.142596644767027E-2</v>
      </c>
      <c r="I2" s="2">
        <f>VLOOKUP(A2,[76]WRDS!$A$1:$O$100,10,FALSE)/100</f>
        <v>3.5000000000000003E-2</v>
      </c>
      <c r="J2" s="2">
        <f>VLOOKUP(A2,[76]WRDS!$A$1:$O$100,9,FALSE)/100</f>
        <v>0.03</v>
      </c>
      <c r="K2" s="2">
        <f t="shared" ref="K2:K57" si="1">(I2-H2)/(ABS(H2))</f>
        <v>1.8448807113338535</v>
      </c>
      <c r="L2" s="2">
        <f t="shared" ref="L2:L57" si="2">(J2-H2)/(ABS(H2))</f>
        <v>1.7241834668575886</v>
      </c>
      <c r="M2">
        <f>VLOOKUP(A2,[76]WRDS!$A$1:$O$100,8,FALSE)</f>
        <v>10</v>
      </c>
      <c r="N2">
        <f>VLOOKUP(A2,[76]WRDS!$A$1:$O$100,11,FALSE)</f>
        <v>1.65</v>
      </c>
      <c r="P2" t="s">
        <v>16</v>
      </c>
      <c r="Q2" s="3">
        <f>AVERAGE(H2:H999)</f>
        <v>-1.2004801629145171E-2</v>
      </c>
    </row>
    <row r="3" spans="1:17" x14ac:dyDescent="0.3">
      <c r="A3" t="s">
        <v>17</v>
      </c>
      <c r="B3" t="str">
        <f>VLOOKUP(A3,[75]WRDS!$A$1:$N$100,2,FALSE)</f>
        <v>MPL</v>
      </c>
      <c r="C3" t="str">
        <f>VLOOKUP(A3,[75]WRDS!$A$1:$N$100,3,FALSE)</f>
        <v>ALLETE</v>
      </c>
      <c r="D3">
        <f>VLOOKUP(A3,[75]WRDS!$A$1:$N$100,13,FALSE)</f>
        <v>5.04</v>
      </c>
      <c r="E3">
        <f>VLOOKUP(A3,[59]WRDS!$A$1:$N$100,13,FALSE)</f>
        <v>3.62</v>
      </c>
      <c r="F3" s="1">
        <f t="shared" ref="F3:F57" si="3">D3*(1+I3)^4</f>
        <v>6.3341197102479416</v>
      </c>
      <c r="G3" s="1">
        <f t="shared" ref="G3:G57" si="4">D3*(1+J3)^4</f>
        <v>6.4231237792968754</v>
      </c>
      <c r="H3" s="2">
        <f t="shared" si="0"/>
        <v>-7.9403099160071933E-2</v>
      </c>
      <c r="I3" s="2">
        <f>VLOOKUP(A3,[76]WRDS!$A$1:$O$100,10,FALSE)/100</f>
        <v>5.8799999999999998E-2</v>
      </c>
      <c r="J3" s="2">
        <f>VLOOKUP(A3,[76]WRDS!$A$1:$O$100,9,FALSE)/100</f>
        <v>6.25E-2</v>
      </c>
      <c r="K3" s="2">
        <f t="shared" si="1"/>
        <v>1.7405252518099159</v>
      </c>
      <c r="L3" s="2">
        <f t="shared" si="2"/>
        <v>1.7871229292197237</v>
      </c>
      <c r="M3">
        <f>VLOOKUP(A3,[76]WRDS!$A$1:$O$100,8,FALSE)</f>
        <v>4</v>
      </c>
      <c r="N3">
        <f>VLOOKUP(A3,[76]WRDS!$A$1:$O$100,11,FALSE)</f>
        <v>1.44</v>
      </c>
      <c r="P3" t="s">
        <v>18</v>
      </c>
      <c r="Q3" s="3">
        <f>AVERAGE(I2:I999)</f>
        <v>6.0201785714285742E-2</v>
      </c>
    </row>
    <row r="4" spans="1:17" x14ac:dyDescent="0.3">
      <c r="A4" t="s">
        <v>63</v>
      </c>
      <c r="B4" t="str">
        <f>VLOOKUP(A4,[75]WRDS!$A$1:$N$100,2,FALSE)</f>
        <v>WWP</v>
      </c>
      <c r="C4" t="str">
        <f>VLOOKUP(A4,[75]WRDS!$A$1:$N$100,3,FALSE)</f>
        <v>AVISTA CORP</v>
      </c>
      <c r="D4">
        <f>VLOOKUP(A4,[75]WRDS!$A$1:$N$100,13,FALSE)</f>
        <v>2.2799999999999998</v>
      </c>
      <c r="E4">
        <f>VLOOKUP(A4,[59]WRDS!$A$1:$N$100,13,FALSE)</f>
        <v>1</v>
      </c>
      <c r="F4" s="1">
        <f t="shared" si="3"/>
        <v>2.6315527061293418</v>
      </c>
      <c r="G4" s="1">
        <f t="shared" si="4"/>
        <v>2.6163524414249992</v>
      </c>
      <c r="H4" s="2">
        <f t="shared" si="0"/>
        <v>-0.18620261825653317</v>
      </c>
      <c r="I4" s="2">
        <f>VLOOKUP(A4,[76]WRDS!$A$1:$O$100,10,FALSE)/100</f>
        <v>3.6499999999999998E-2</v>
      </c>
      <c r="J4" s="2">
        <f>VLOOKUP(A4,[76]WRDS!$A$1:$O$100,9,FALSE)/100</f>
        <v>3.5000000000000003E-2</v>
      </c>
      <c r="K4" s="2">
        <f t="shared" si="1"/>
        <v>1.1960230223493076</v>
      </c>
      <c r="L4" s="2">
        <f t="shared" si="2"/>
        <v>1.1879672817048155</v>
      </c>
      <c r="M4">
        <f>VLOOKUP(A4,[76]WRDS!$A$1:$O$100,8,FALSE)</f>
        <v>6</v>
      </c>
      <c r="N4">
        <f>VLOOKUP(A4,[76]WRDS!$A$1:$O$100,11,FALSE)</f>
        <v>0.78</v>
      </c>
      <c r="P4" t="s">
        <v>20</v>
      </c>
      <c r="Q4" s="3">
        <f>(Q3-Q2)/ABS(Q2)</f>
        <v>6.0148088718207786</v>
      </c>
    </row>
    <row r="5" spans="1:17" x14ac:dyDescent="0.3">
      <c r="A5" t="s">
        <v>83</v>
      </c>
      <c r="B5" t="str">
        <f>VLOOKUP(A5,[75]WRDS!$A$1:$N$100,2,FALSE)</f>
        <v>BGE</v>
      </c>
      <c r="C5" t="str">
        <f>VLOOKUP(A5,[75]WRDS!$A$1:$N$100,3,FALSE)</f>
        <v>CONSTELLATION EN</v>
      </c>
      <c r="D5">
        <f>VLOOKUP(A5,[75]WRDS!$A$1:$N$100,13,FALSE)</f>
        <v>2.42</v>
      </c>
      <c r="E5">
        <f>VLOOKUP(A5,[59]WRDS!$A$1:$N$100,13,FALSE)</f>
        <v>3.24</v>
      </c>
      <c r="F5" s="1">
        <f t="shared" si="3"/>
        <v>3.3291180272968193</v>
      </c>
      <c r="G5" s="1">
        <f t="shared" si="4"/>
        <v>3.4160274962000003</v>
      </c>
      <c r="H5" s="2">
        <f t="shared" si="0"/>
        <v>7.5678308677740835E-2</v>
      </c>
      <c r="I5" s="2">
        <f>VLOOKUP(A5,[76]WRDS!$A$1:$O$100,10,FALSE)/100</f>
        <v>8.3000000000000004E-2</v>
      </c>
      <c r="J5" s="2">
        <f>VLOOKUP(A5,[76]WRDS!$A$1:$O$100,9,FALSE)/100</f>
        <v>0.09</v>
      </c>
      <c r="K5" s="2">
        <f t="shared" si="1"/>
        <v>9.6747554883090156E-2</v>
      </c>
      <c r="L5" s="2">
        <f t="shared" si="2"/>
        <v>0.18924433662021814</v>
      </c>
      <c r="M5">
        <f>VLOOKUP(A5,[76]WRDS!$A$1:$O$100,8,FALSE)</f>
        <v>10</v>
      </c>
      <c r="N5">
        <f>VLOOKUP(A5,[76]WRDS!$A$1:$O$100,11,FALSE)</f>
        <v>4</v>
      </c>
      <c r="P5" t="s">
        <v>22</v>
      </c>
      <c r="Q5" s="3">
        <f>AVERAGE(J2:J999)</f>
        <v>6.0178571428571422E-2</v>
      </c>
    </row>
    <row r="6" spans="1:17" x14ac:dyDescent="0.3">
      <c r="A6" t="s">
        <v>88</v>
      </c>
      <c r="B6" t="str">
        <f>VLOOKUP(A6,[75]WRDS!$A$1:$N$100,2,FALSE)</f>
        <v>CIN</v>
      </c>
      <c r="C6" t="str">
        <f>VLOOKUP(A6,[75]WRDS!$A$1:$N$100,3,FALSE)</f>
        <v>CINERGY CORP</v>
      </c>
      <c r="D6">
        <f>VLOOKUP(A6,[75]WRDS!$A$1:$N$100,13,FALSE)</f>
        <v>2.52</v>
      </c>
      <c r="E6">
        <f>VLOOKUP(A6,[59]WRDS!$A$1:$N$100,13,FALSE)</f>
        <v>2.44</v>
      </c>
      <c r="F6" s="1">
        <f t="shared" si="3"/>
        <v>2.9719269097086451</v>
      </c>
      <c r="G6" s="1">
        <f t="shared" si="4"/>
        <v>2.9480435712000004</v>
      </c>
      <c r="H6" s="2">
        <f t="shared" si="0"/>
        <v>-8.0327789648581005E-3</v>
      </c>
      <c r="I6" s="2">
        <f>VLOOKUP(A6,[76]WRDS!$A$1:$O$100,10,FALSE)/100</f>
        <v>4.2099999999999999E-2</v>
      </c>
      <c r="J6" s="2">
        <f>VLOOKUP(A6,[76]WRDS!$A$1:$O$100,9,FALSE)/100</f>
        <v>0.04</v>
      </c>
      <c r="K6" s="2">
        <f t="shared" si="1"/>
        <v>6.2410255758535857</v>
      </c>
      <c r="L6" s="2">
        <f t="shared" si="2"/>
        <v>5.9795967466542388</v>
      </c>
      <c r="M6">
        <f>VLOOKUP(A6,[76]WRDS!$A$1:$O$100,8,FALSE)</f>
        <v>14</v>
      </c>
      <c r="N6">
        <f>VLOOKUP(A6,[76]WRDS!$A$1:$O$100,11,FALSE)</f>
        <v>0.89</v>
      </c>
      <c r="P6" t="s">
        <v>24</v>
      </c>
      <c r="Q6" s="3">
        <f>(Q5-Q2)/ABS(Q2)</f>
        <v>6.012875121773801</v>
      </c>
    </row>
    <row r="7" spans="1:17" x14ac:dyDescent="0.3">
      <c r="A7" t="s">
        <v>21</v>
      </c>
      <c r="B7" t="str">
        <f>VLOOKUP(A7,[75]WRDS!$A$1:$N$100,2,FALSE)</f>
        <v>CMS</v>
      </c>
      <c r="C7" t="str">
        <f>VLOOKUP(A7,[75]WRDS!$A$1:$N$100,3,FALSE)</f>
        <v>CMS ENERGY CORP</v>
      </c>
      <c r="D7">
        <f>VLOOKUP(A7,[75]WRDS!$A$1:$N$100,13,FALSE)</f>
        <v>2.5299999999999998</v>
      </c>
      <c r="E7">
        <f>VLOOKUP(A7,[59]WRDS!$A$1:$N$100,13,FALSE)</f>
        <v>0.85</v>
      </c>
      <c r="F7" s="1">
        <f t="shared" si="3"/>
        <v>3.5804842998455912</v>
      </c>
      <c r="G7" s="1">
        <f t="shared" si="4"/>
        <v>3.5713014733000006</v>
      </c>
      <c r="H7" s="2">
        <f t="shared" si="0"/>
        <v>-0.23866709391535923</v>
      </c>
      <c r="I7" s="2">
        <f>VLOOKUP(A7,[76]WRDS!$A$1:$O$100,10,FALSE)/100</f>
        <v>9.0700000000000003E-2</v>
      </c>
      <c r="J7" s="2">
        <f>VLOOKUP(A7,[76]WRDS!$A$1:$O$100,9,FALSE)/100</f>
        <v>0.09</v>
      </c>
      <c r="K7" s="2">
        <f t="shared" si="1"/>
        <v>1.3800272526558093</v>
      </c>
      <c r="L7" s="2">
        <f t="shared" si="2"/>
        <v>1.3770942970123796</v>
      </c>
      <c r="M7">
        <f>VLOOKUP(A7,[76]WRDS!$A$1:$O$100,8,FALSE)</f>
        <v>14</v>
      </c>
      <c r="N7">
        <f>VLOOKUP(A7,[76]WRDS!$A$1:$O$100,11,FALSE)</f>
        <v>2.81</v>
      </c>
      <c r="P7" s="111" t="s">
        <v>26</v>
      </c>
      <c r="Q7" s="111"/>
    </row>
    <row r="8" spans="1:17" x14ac:dyDescent="0.3">
      <c r="A8" t="s">
        <v>71</v>
      </c>
      <c r="B8" t="str">
        <f>VLOOKUP(A8,[75]WRDS!$A$1:$N$100,2,FALSE)</f>
        <v>CNL</v>
      </c>
      <c r="C8" t="str">
        <f>VLOOKUP(A8,[75]WRDS!$A$1:$N$100,3,FALSE)</f>
        <v>CLECO CORP</v>
      </c>
      <c r="D8">
        <f>VLOOKUP(A8,[75]WRDS!$A$1:$N$100,13,FALSE)</f>
        <v>1.38</v>
      </c>
      <c r="E8">
        <f>VLOOKUP(A8,[59]WRDS!$A$1:$N$100,13,FALSE)</f>
        <v>1.33</v>
      </c>
      <c r="F8" s="1">
        <f t="shared" si="3"/>
        <v>1.9479826218000003</v>
      </c>
      <c r="G8" s="1">
        <f t="shared" si="4"/>
        <v>1.9479826218000003</v>
      </c>
      <c r="H8" s="2">
        <f t="shared" si="0"/>
        <v>-9.183709000625373E-3</v>
      </c>
      <c r="I8" s="2">
        <f>VLOOKUP(A8,[76]WRDS!$A$1:$O$100,10,FALSE)/100</f>
        <v>0.09</v>
      </c>
      <c r="J8" s="2">
        <f>VLOOKUP(A8,[76]WRDS!$A$1:$O$100,9,FALSE)/100</f>
        <v>0.09</v>
      </c>
      <c r="K8" s="2">
        <f t="shared" si="1"/>
        <v>10.799962084368239</v>
      </c>
      <c r="L8" s="2">
        <f t="shared" si="2"/>
        <v>10.799962084368239</v>
      </c>
      <c r="M8">
        <f>VLOOKUP(A8,[76]WRDS!$A$1:$O$100,8,FALSE)</f>
        <v>2</v>
      </c>
      <c r="N8">
        <f>VLOOKUP(A8,[76]WRDS!$A$1:$O$100,11,FALSE)</f>
        <v>1.41</v>
      </c>
      <c r="P8" t="s">
        <v>28</v>
      </c>
      <c r="Q8" s="2">
        <f>MEDIAN(H2:H99)</f>
        <v>-8.6082439827417367E-3</v>
      </c>
    </row>
    <row r="9" spans="1:17" x14ac:dyDescent="0.3">
      <c r="A9" t="s">
        <v>25</v>
      </c>
      <c r="B9" t="str">
        <f>VLOOKUP(A9,[75]WRDS!$A$1:$N$100,2,FALSE)</f>
        <v>D</v>
      </c>
      <c r="C9" t="str">
        <f>VLOOKUP(A9,[75]WRDS!$A$1:$N$100,3,FALSE)</f>
        <v>DOMINION RES INC</v>
      </c>
      <c r="D9">
        <f>VLOOKUP(A9,[75]WRDS!$A$1:$N$100,13,FALSE)</f>
        <v>1.665</v>
      </c>
      <c r="E9">
        <f>VLOOKUP(A9,[59]WRDS!$A$1:$N$100,13,FALSE)</f>
        <v>2.3050000000000002</v>
      </c>
      <c r="F9" s="1">
        <f t="shared" si="3"/>
        <v>2.2828839038786621</v>
      </c>
      <c r="G9" s="1">
        <f t="shared" si="4"/>
        <v>2.3502833806500005</v>
      </c>
      <c r="H9" s="2">
        <f t="shared" si="0"/>
        <v>8.4711321279091756E-2</v>
      </c>
      <c r="I9" s="2">
        <f>VLOOKUP(A9,[76]WRDS!$A$1:$O$100,10,FALSE)/100</f>
        <v>8.2100000000000006E-2</v>
      </c>
      <c r="J9" s="2">
        <f>VLOOKUP(A9,[76]WRDS!$A$1:$O$100,9,FALSE)/100</f>
        <v>0.09</v>
      </c>
      <c r="K9" s="2">
        <f t="shared" si="1"/>
        <v>-3.0826119102645488E-2</v>
      </c>
      <c r="L9" s="2">
        <f t="shared" si="2"/>
        <v>6.2431781738878152E-2</v>
      </c>
      <c r="M9">
        <f>VLOOKUP(A9,[76]WRDS!$A$1:$O$100,8,FALSE)</f>
        <v>14</v>
      </c>
      <c r="N9">
        <f>VLOOKUP(A9,[76]WRDS!$A$1:$O$100,11,FALSE)</f>
        <v>2.52</v>
      </c>
      <c r="P9" t="s">
        <v>30</v>
      </c>
      <c r="Q9" s="2">
        <f>MEDIAN(I2:I100)</f>
        <v>5.8249999999999996E-2</v>
      </c>
    </row>
    <row r="10" spans="1:17" x14ac:dyDescent="0.3">
      <c r="A10" t="s">
        <v>86</v>
      </c>
      <c r="B10" t="str">
        <f>VLOOKUP(A10,[75]WRDS!$A$1:$N$100,2,FALSE)</f>
        <v>DPL</v>
      </c>
      <c r="C10" t="str">
        <f>VLOOKUP(A10,[75]WRDS!$A$1:$N$100,3,FALSE)</f>
        <v>DPL INC</v>
      </c>
      <c r="D10">
        <f>VLOOKUP(A10,[75]WRDS!$A$1:$N$100,13,FALSE)</f>
        <v>1.52</v>
      </c>
      <c r="E10">
        <f>VLOOKUP(A10,[59]WRDS!$A$1:$N$100,13,FALSE)</f>
        <v>1.78</v>
      </c>
      <c r="F10" s="1">
        <f t="shared" si="3"/>
        <v>2.0840741945318717</v>
      </c>
      <c r="G10" s="1">
        <f t="shared" si="4"/>
        <v>2.2254320000000005</v>
      </c>
      <c r="H10" s="2">
        <f t="shared" si="0"/>
        <v>4.0265279804098553E-2</v>
      </c>
      <c r="I10" s="2">
        <f>VLOOKUP(A10,[76]WRDS!$A$1:$O$100,10,FALSE)/100</f>
        <v>8.2100000000000006E-2</v>
      </c>
      <c r="J10" s="2">
        <f>VLOOKUP(A10,[76]WRDS!$A$1:$O$100,9,FALSE)/100</f>
        <v>0.1</v>
      </c>
      <c r="K10" s="2">
        <f t="shared" si="1"/>
        <v>1.038977511132138</v>
      </c>
      <c r="L10" s="2">
        <f t="shared" si="2"/>
        <v>1.4835292462023604</v>
      </c>
      <c r="M10">
        <f>VLOOKUP(A10,[76]WRDS!$A$1:$O$100,8,FALSE)</f>
        <v>13</v>
      </c>
      <c r="N10">
        <f>VLOOKUP(A10,[76]WRDS!$A$1:$O$100,11,FALSE)</f>
        <v>3.47</v>
      </c>
      <c r="P10" t="s">
        <v>32</v>
      </c>
      <c r="Q10" s="2">
        <f>(Q9-Q8)/ABS(Q8)</f>
        <v>7.7667691711320774</v>
      </c>
    </row>
    <row r="11" spans="1:17" x14ac:dyDescent="0.3">
      <c r="A11" t="s">
        <v>27</v>
      </c>
      <c r="B11" t="str">
        <f>VLOOKUP(A11,[75]WRDS!$A$1:$N$100,2,FALSE)</f>
        <v>DTE</v>
      </c>
      <c r="C11" t="str">
        <f>VLOOKUP(A11,[75]WRDS!$A$1:$N$100,3,FALSE)</f>
        <v>DTE ENERGY</v>
      </c>
      <c r="D11">
        <f>VLOOKUP(A11,[75]WRDS!$A$1:$N$100,13,FALSE)</f>
        <v>3.39</v>
      </c>
      <c r="E11">
        <f>VLOOKUP(A11,[59]WRDS!$A$1:$N$100,13,FALSE)</f>
        <v>2.46</v>
      </c>
      <c r="F11" s="1">
        <f t="shared" si="3"/>
        <v>4.1331384626952437</v>
      </c>
      <c r="G11" s="1">
        <f t="shared" si="4"/>
        <v>4.1205661875000006</v>
      </c>
      <c r="H11" s="2">
        <f t="shared" si="0"/>
        <v>-7.7037933027767846E-2</v>
      </c>
      <c r="I11" s="2">
        <f>VLOOKUP(A11,[76]WRDS!$A$1:$O$100,10,FALSE)/100</f>
        <v>5.0799999999999998E-2</v>
      </c>
      <c r="J11" s="2">
        <f>VLOOKUP(A11,[76]WRDS!$A$1:$O$100,9,FALSE)/100</f>
        <v>0.05</v>
      </c>
      <c r="K11" s="2">
        <f t="shared" si="1"/>
        <v>1.6594154074939869</v>
      </c>
      <c r="L11" s="2">
        <f t="shared" si="2"/>
        <v>1.6490309128877823</v>
      </c>
      <c r="M11">
        <f>VLOOKUP(A11,[76]WRDS!$A$1:$O$100,8,FALSE)</f>
        <v>12</v>
      </c>
      <c r="N11">
        <f>VLOOKUP(A11,[76]WRDS!$A$1:$O$100,11,FALSE)</f>
        <v>1.24</v>
      </c>
      <c r="P11" t="s">
        <v>34</v>
      </c>
      <c r="Q11" s="2">
        <f>MEDIAN(J2:J99)</f>
        <v>5.6000000000000001E-2</v>
      </c>
    </row>
    <row r="12" spans="1:17" x14ac:dyDescent="0.3">
      <c r="A12" t="s">
        <v>29</v>
      </c>
      <c r="B12" t="str">
        <f>VLOOKUP(A12,[75]WRDS!$A$1:$N$100,2,FALSE)</f>
        <v>DUK</v>
      </c>
      <c r="C12" t="str">
        <f>VLOOKUP(A12,[75]WRDS!$A$1:$N$100,3,FALSE)</f>
        <v>DUKE ENERGY CORP</v>
      </c>
      <c r="D12">
        <f>VLOOKUP(A12,[75]WRDS!$A$1:$N$100,13,FALSE)</f>
        <v>6.4349999999999996</v>
      </c>
      <c r="E12">
        <f>VLOOKUP(A12,[59]WRDS!$A$1:$N$100,13,FALSE)</f>
        <v>4.05</v>
      </c>
      <c r="F12" s="1">
        <f t="shared" si="3"/>
        <v>9.1202506545833639</v>
      </c>
      <c r="G12" s="1">
        <f t="shared" si="4"/>
        <v>9.0835276603500006</v>
      </c>
      <c r="H12" s="2">
        <f t="shared" si="0"/>
        <v>-0.10930991471673068</v>
      </c>
      <c r="I12" s="2">
        <f>VLOOKUP(A12,[76]WRDS!$A$1:$O$100,10,FALSE)/100</f>
        <v>9.11E-2</v>
      </c>
      <c r="J12" s="2">
        <f>VLOOKUP(A12,[76]WRDS!$A$1:$O$100,9,FALSE)/100</f>
        <v>0.09</v>
      </c>
      <c r="K12" s="2">
        <f t="shared" si="1"/>
        <v>1.8334102193390194</v>
      </c>
      <c r="L12" s="2">
        <f t="shared" si="2"/>
        <v>1.8233470882602825</v>
      </c>
      <c r="M12">
        <f>VLOOKUP(A12,[76]WRDS!$A$1:$O$100,8,FALSE)</f>
        <v>19</v>
      </c>
      <c r="N12">
        <f>VLOOKUP(A12,[76]WRDS!$A$1:$O$100,11,FALSE)</f>
        <v>2.06</v>
      </c>
      <c r="P12" t="s">
        <v>32</v>
      </c>
      <c r="Q12" s="2">
        <f>(Q11-Q8)/ABS(Q8)</f>
        <v>7.5053918211741859</v>
      </c>
    </row>
    <row r="13" spans="1:17" x14ac:dyDescent="0.3">
      <c r="A13" t="s">
        <v>93</v>
      </c>
      <c r="B13" t="str">
        <f>VLOOKUP(A13,[75]WRDS!$A$1:$N$100,2,FALSE)</f>
        <v>NGE</v>
      </c>
      <c r="C13" t="str">
        <f>VLOOKUP(A13,[75]WRDS!$A$1:$N$100,3,FALSE)</f>
        <v>ENERGY EAST CORP</v>
      </c>
      <c r="D13">
        <f>VLOOKUP(A13,[75]WRDS!$A$1:$N$100,13,FALSE)</f>
        <v>2.0499999999999998</v>
      </c>
      <c r="E13">
        <f>VLOOKUP(A13,[59]WRDS!$A$1:$N$100,13,FALSE)</f>
        <v>1.55</v>
      </c>
      <c r="F13" s="1">
        <f t="shared" si="3"/>
        <v>2.9472049487812497</v>
      </c>
      <c r="G13" s="1">
        <f t="shared" si="4"/>
        <v>2.8937423005000005</v>
      </c>
      <c r="H13" s="2">
        <f t="shared" si="0"/>
        <v>-6.7509407097056884E-2</v>
      </c>
      <c r="I13" s="2">
        <f>VLOOKUP(A13,[76]WRDS!$A$1:$O$100,10,FALSE)/100</f>
        <v>9.5000000000000001E-2</v>
      </c>
      <c r="J13" s="2">
        <f>VLOOKUP(A13,[76]WRDS!$A$1:$O$100,9,FALSE)/100</f>
        <v>0.09</v>
      </c>
      <c r="K13" s="2">
        <f t="shared" si="1"/>
        <v>2.407211292248804</v>
      </c>
      <c r="L13" s="2">
        <f t="shared" si="2"/>
        <v>2.3331475400251827</v>
      </c>
      <c r="M13">
        <f>VLOOKUP(A13,[76]WRDS!$A$1:$O$100,8,FALSE)</f>
        <v>7</v>
      </c>
      <c r="N13">
        <f>VLOOKUP(A13,[76]WRDS!$A$1:$O$100,11,FALSE)</f>
        <v>2.36</v>
      </c>
      <c r="P13" s="111" t="s">
        <v>37</v>
      </c>
      <c r="Q13" s="111"/>
    </row>
    <row r="14" spans="1:17" x14ac:dyDescent="0.3">
      <c r="A14" t="s">
        <v>31</v>
      </c>
      <c r="B14" t="str">
        <f>VLOOKUP(A14,[75]WRDS!$A$1:$N$100,2,FALSE)</f>
        <v>ED</v>
      </c>
      <c r="C14" t="str">
        <f>VLOOKUP(A14,[75]WRDS!$A$1:$N$100,3,FALSE)</f>
        <v>CONS EDISON INC</v>
      </c>
      <c r="D14">
        <f>VLOOKUP(A14,[75]WRDS!$A$1:$N$100,13,FALSE)</f>
        <v>3.14</v>
      </c>
      <c r="E14">
        <f>VLOOKUP(A14,[59]WRDS!$A$1:$N$100,13,FALSE)</f>
        <v>2.63</v>
      </c>
      <c r="F14" s="1">
        <f t="shared" si="3"/>
        <v>3.6493966086468155</v>
      </c>
      <c r="G14" s="1">
        <f t="shared" si="4"/>
        <v>3.6733558784000007</v>
      </c>
      <c r="H14" s="2">
        <f t="shared" si="0"/>
        <v>-4.3342402046496753E-2</v>
      </c>
      <c r="I14" s="2">
        <f>VLOOKUP(A14,[76]WRDS!$A$1:$O$100,10,FALSE)/100</f>
        <v>3.8300000000000001E-2</v>
      </c>
      <c r="J14" s="2">
        <f>VLOOKUP(A14,[76]WRDS!$A$1:$O$100,9,FALSE)/100</f>
        <v>0.04</v>
      </c>
      <c r="K14" s="2">
        <f t="shared" si="1"/>
        <v>1.8836612229961927</v>
      </c>
      <c r="L14" s="2">
        <f t="shared" si="2"/>
        <v>1.9228837838080342</v>
      </c>
      <c r="M14">
        <f>VLOOKUP(A14,[76]WRDS!$A$1:$O$100,8,FALSE)</f>
        <v>9</v>
      </c>
      <c r="N14">
        <f>VLOOKUP(A14,[76]WRDS!$A$1:$O$100,11,FALSE)</f>
        <v>0.94</v>
      </c>
      <c r="P14" t="s">
        <v>39</v>
      </c>
      <c r="Q14" s="1">
        <f>AVERAGE(M2:M1002)</f>
        <v>8.2142857142857135</v>
      </c>
    </row>
    <row r="15" spans="1:17" x14ac:dyDescent="0.3">
      <c r="A15" t="s">
        <v>33</v>
      </c>
      <c r="B15" t="str">
        <f>VLOOKUP(A15,[75]WRDS!$A$1:$N$100,2,FALSE)</f>
        <v>SCE</v>
      </c>
      <c r="C15" t="str">
        <f>VLOOKUP(A15,[75]WRDS!$A$1:$N$100,3,FALSE)</f>
        <v>EDISON INTL</v>
      </c>
      <c r="D15">
        <f>VLOOKUP(A15,[75]WRDS!$A$1:$N$100,13,FALSE)</f>
        <v>1.64</v>
      </c>
      <c r="E15">
        <f>VLOOKUP(A15,[59]WRDS!$A$1:$N$100,13,FALSE)</f>
        <v>1.96</v>
      </c>
      <c r="F15" s="1">
        <f t="shared" si="3"/>
        <v>2.3124462753163137</v>
      </c>
      <c r="G15" s="1">
        <f t="shared" si="4"/>
        <v>2.3149938404000001</v>
      </c>
      <c r="H15" s="2">
        <f t="shared" si="0"/>
        <v>4.5569860516380123E-2</v>
      </c>
      <c r="I15" s="2">
        <f>VLOOKUP(A15,[76]WRDS!$A$1:$O$100,10,FALSE)/100</f>
        <v>8.9700000000000002E-2</v>
      </c>
      <c r="J15" s="2">
        <f>VLOOKUP(A15,[76]WRDS!$A$1:$O$100,9,FALSE)/100</f>
        <v>0.09</v>
      </c>
      <c r="K15" s="2">
        <f t="shared" si="1"/>
        <v>0.96840628835713172</v>
      </c>
      <c r="L15" s="2">
        <f t="shared" si="2"/>
        <v>0.97498958698039961</v>
      </c>
      <c r="M15">
        <f>VLOOKUP(A15,[76]WRDS!$A$1:$O$100,8,FALSE)</f>
        <v>15</v>
      </c>
      <c r="N15">
        <f>VLOOKUP(A15,[76]WRDS!$A$1:$O$100,11,FALSE)</f>
        <v>2.14</v>
      </c>
      <c r="P15" t="s">
        <v>41</v>
      </c>
      <c r="Q15" s="1">
        <f>COUNT(N2:N1002)</f>
        <v>56</v>
      </c>
    </row>
    <row r="16" spans="1:17" x14ac:dyDescent="0.3">
      <c r="A16" t="s">
        <v>59</v>
      </c>
      <c r="B16" t="str">
        <f>VLOOKUP(A16,[75]WRDS!$A$1:$N$100,2,FALSE)</f>
        <v>MSU</v>
      </c>
      <c r="C16" t="str">
        <f>VLOOKUP(A16,[75]WRDS!$A$1:$N$100,3,FALSE)</f>
        <v>ENTERGY CP</v>
      </c>
      <c r="D16">
        <f>VLOOKUP(A16,[75]WRDS!$A$1:$N$100,13,FALSE)</f>
        <v>3.14</v>
      </c>
      <c r="E16">
        <f>VLOOKUP(A16,[59]WRDS!$A$1:$N$100,13,FALSE)</f>
        <v>3.78</v>
      </c>
      <c r="F16" s="1">
        <f t="shared" si="3"/>
        <v>4.2089981357926405</v>
      </c>
      <c r="G16" s="1">
        <f t="shared" si="4"/>
        <v>4.2719353344000011</v>
      </c>
      <c r="H16" s="2">
        <f t="shared" si="0"/>
        <v>4.7467454275934351E-2</v>
      </c>
      <c r="I16" s="2">
        <f>VLOOKUP(A16,[76]WRDS!$A$1:$O$100,10,FALSE)/100</f>
        <v>7.5999999999999998E-2</v>
      </c>
      <c r="J16" s="2">
        <f>VLOOKUP(A16,[76]WRDS!$A$1:$O$100,9,FALSE)/100</f>
        <v>0.08</v>
      </c>
      <c r="K16" s="2">
        <f t="shared" si="1"/>
        <v>0.60109702867573911</v>
      </c>
      <c r="L16" s="2">
        <f t="shared" si="2"/>
        <v>0.68536529334288343</v>
      </c>
      <c r="M16">
        <f>VLOOKUP(A16,[76]WRDS!$A$1:$O$100,8,FALSE)</f>
        <v>10</v>
      </c>
      <c r="N16">
        <f>VLOOKUP(A16,[76]WRDS!$A$1:$O$100,11,FALSE)</f>
        <v>2.5</v>
      </c>
    </row>
    <row r="17" spans="1:14" x14ac:dyDescent="0.3">
      <c r="A17" t="s">
        <v>35</v>
      </c>
      <c r="B17" t="str">
        <f>VLOOKUP(A17,[75]WRDS!$A$1:$N$100,2,FALSE)</f>
        <v>PE</v>
      </c>
      <c r="C17" t="str">
        <f>VLOOKUP(A17,[75]WRDS!$A$1:$N$100,3,FALSE)</f>
        <v>EXELON CORP</v>
      </c>
      <c r="D17">
        <f>VLOOKUP(A17,[75]WRDS!$A$1:$N$100,13,FALSE)</f>
        <v>1.9</v>
      </c>
      <c r="E17">
        <f>VLOOKUP(A17,[59]WRDS!$A$1:$N$100,13,FALSE)</f>
        <v>2.77</v>
      </c>
      <c r="F17" s="1">
        <f t="shared" si="3"/>
        <v>2.6176340177987347</v>
      </c>
      <c r="G17" s="1">
        <f t="shared" si="4"/>
        <v>2.5849290240000005</v>
      </c>
      <c r="H17" s="2">
        <f t="shared" si="0"/>
        <v>9.883261645866237E-2</v>
      </c>
      <c r="I17" s="2">
        <f>VLOOKUP(A17,[76]WRDS!$A$1:$O$100,10,FALSE)/100</f>
        <v>8.3400000000000002E-2</v>
      </c>
      <c r="J17" s="2">
        <f>VLOOKUP(A17,[76]WRDS!$A$1:$O$100,9,FALSE)/100</f>
        <v>0.08</v>
      </c>
      <c r="K17" s="2">
        <f t="shared" si="1"/>
        <v>-0.15614902257613708</v>
      </c>
      <c r="L17" s="2">
        <f t="shared" si="2"/>
        <v>-0.19055062117615068</v>
      </c>
      <c r="M17">
        <f>VLOOKUP(A17,[76]WRDS!$A$1:$O$100,8,FALSE)</f>
        <v>15</v>
      </c>
      <c r="N17">
        <f>VLOOKUP(A17,[76]WRDS!$A$1:$O$100,11,FALSE)</f>
        <v>3.28</v>
      </c>
    </row>
    <row r="18" spans="1:14" x14ac:dyDescent="0.3">
      <c r="A18" t="s">
        <v>67</v>
      </c>
      <c r="B18" t="str">
        <f>VLOOKUP(A18,[75]WRDS!$A$1:$N$100,2,FALSE)</f>
        <v>OEC</v>
      </c>
      <c r="C18" t="str">
        <f>VLOOKUP(A18,[75]WRDS!$A$1:$N$100,3,FALSE)</f>
        <v>FIRSTENERGY CORP</v>
      </c>
      <c r="D18">
        <f>VLOOKUP(A18,[75]WRDS!$A$1:$N$100,13,FALSE)</f>
        <v>2.69</v>
      </c>
      <c r="E18">
        <f>VLOOKUP(A18,[59]WRDS!$A$1:$N$100,13,FALSE)</f>
        <v>2.89</v>
      </c>
      <c r="F18" s="1">
        <f t="shared" si="3"/>
        <v>3.3488939830200524</v>
      </c>
      <c r="G18" s="1">
        <f t="shared" si="4"/>
        <v>3.2697118124999998</v>
      </c>
      <c r="H18" s="2">
        <f t="shared" si="0"/>
        <v>1.8090513384972695E-2</v>
      </c>
      <c r="I18" s="2">
        <f>VLOOKUP(A18,[76]WRDS!$A$1:$O$100,10,FALSE)/100</f>
        <v>5.6299999999999996E-2</v>
      </c>
      <c r="J18" s="2">
        <f>VLOOKUP(A18,[76]WRDS!$A$1:$O$100,9,FALSE)/100</f>
        <v>0.05</v>
      </c>
      <c r="K18" s="2">
        <f t="shared" si="1"/>
        <v>2.1121283736904282</v>
      </c>
      <c r="L18" s="2">
        <f t="shared" si="2"/>
        <v>1.7638795503467395</v>
      </c>
      <c r="M18">
        <f>VLOOKUP(A18,[76]WRDS!$A$1:$O$100,8,FALSE)</f>
        <v>12</v>
      </c>
      <c r="N18">
        <f>VLOOKUP(A18,[76]WRDS!$A$1:$O$100,11,FALSE)</f>
        <v>2.06</v>
      </c>
    </row>
    <row r="19" spans="1:14" x14ac:dyDescent="0.3">
      <c r="A19" t="s">
        <v>89</v>
      </c>
      <c r="B19" t="str">
        <f>VLOOKUP(A19,[75]WRDS!$A$1:$N$100,2,FALSE)</f>
        <v>FPL</v>
      </c>
      <c r="C19" t="str">
        <f>VLOOKUP(A19,[75]WRDS!$A$1:$N$100,3,FALSE)</f>
        <v>FPL GROUP</v>
      </c>
      <c r="D19">
        <f>VLOOKUP(A19,[75]WRDS!$A$1:$N$100,13,FALSE)</f>
        <v>0.54749999999999999</v>
      </c>
      <c r="E19">
        <f>VLOOKUP(A19,[59]WRDS!$A$1:$N$100,13,FALSE)</f>
        <v>0.61499999999999999</v>
      </c>
      <c r="F19" s="1">
        <f t="shared" si="3"/>
        <v>0.70566396358042194</v>
      </c>
      <c r="G19" s="1">
        <f t="shared" si="4"/>
        <v>0.71766081547499994</v>
      </c>
      <c r="H19" s="2">
        <f t="shared" si="0"/>
        <v>2.9491459347960935E-2</v>
      </c>
      <c r="I19" s="2">
        <f>VLOOKUP(A19,[76]WRDS!$A$1:$O$100,10,FALSE)/100</f>
        <v>6.5500000000000003E-2</v>
      </c>
      <c r="J19" s="2">
        <f>VLOOKUP(A19,[76]WRDS!$A$1:$O$100,9,FALSE)/100</f>
        <v>7.0000000000000007E-2</v>
      </c>
      <c r="K19" s="2">
        <f t="shared" si="1"/>
        <v>1.2209819876047852</v>
      </c>
      <c r="L19" s="2">
        <f t="shared" si="2"/>
        <v>1.3735685363715264</v>
      </c>
      <c r="M19">
        <f>VLOOKUP(A19,[76]WRDS!$A$1:$O$100,8,FALSE)</f>
        <v>21</v>
      </c>
      <c r="N19">
        <f>VLOOKUP(A19,[76]WRDS!$A$1:$O$100,11,FALSE)</f>
        <v>1.53</v>
      </c>
    </row>
    <row r="20" spans="1:14" x14ac:dyDescent="0.3">
      <c r="A20" t="s">
        <v>36</v>
      </c>
      <c r="B20" t="str">
        <f>VLOOKUP(A20,[75]WRDS!$A$1:$N$100,2,FALSE)</f>
        <v>HE</v>
      </c>
      <c r="C20" t="str">
        <f>VLOOKUP(A20,[75]WRDS!$A$1:$N$100,3,FALSE)</f>
        <v>HAWAIIAN ELEC</v>
      </c>
      <c r="D20">
        <f>VLOOKUP(A20,[75]WRDS!$A$1:$N$100,13,FALSE)</f>
        <v>1.27</v>
      </c>
      <c r="E20">
        <f>VLOOKUP(A20,[59]WRDS!$A$1:$N$100,13,FALSE)</f>
        <v>1.66</v>
      </c>
      <c r="F20" s="1">
        <f t="shared" si="3"/>
        <v>1.4199827355594461</v>
      </c>
      <c r="G20" s="1">
        <f t="shared" si="4"/>
        <v>1.4018423710937498</v>
      </c>
      <c r="H20" s="2">
        <f t="shared" si="0"/>
        <v>6.9242202362000072E-2</v>
      </c>
      <c r="I20" s="2">
        <f>VLOOKUP(A20,[76]WRDS!$A$1:$O$100,10,FALSE)/100</f>
        <v>2.8300000000000002E-2</v>
      </c>
      <c r="J20" s="2">
        <f>VLOOKUP(A20,[76]WRDS!$A$1:$O$100,9,FALSE)/100</f>
        <v>2.5000000000000001E-2</v>
      </c>
      <c r="K20" s="2">
        <f t="shared" si="1"/>
        <v>-0.59128971877516467</v>
      </c>
      <c r="L20" s="2">
        <f t="shared" si="2"/>
        <v>-0.63894851481905013</v>
      </c>
      <c r="M20">
        <f>VLOOKUP(A20,[76]WRDS!$A$1:$O$100,8,FALSE)</f>
        <v>6</v>
      </c>
      <c r="N20">
        <f>VLOOKUP(A20,[76]WRDS!$A$1:$O$100,11,FALSE)</f>
        <v>1.47</v>
      </c>
    </row>
    <row r="21" spans="1:14" x14ac:dyDescent="0.3">
      <c r="A21" t="s">
        <v>38</v>
      </c>
      <c r="B21" t="str">
        <f>VLOOKUP(A21,[75]WRDS!$A$1:$N$100,2,FALSE)</f>
        <v>IDA</v>
      </c>
      <c r="C21" t="str">
        <f>VLOOKUP(A21,[75]WRDS!$A$1:$N$100,3,FALSE)</f>
        <v>IDACORP INC.</v>
      </c>
      <c r="D21">
        <f>VLOOKUP(A21,[75]WRDS!$A$1:$N$100,13,FALSE)</f>
        <v>3.72</v>
      </c>
      <c r="E21">
        <f>VLOOKUP(A21,[59]WRDS!$A$1:$N$100,13,FALSE)</f>
        <v>1.9</v>
      </c>
      <c r="F21" s="1">
        <f t="shared" si="3"/>
        <v>4.4873306362675214</v>
      </c>
      <c r="G21" s="1">
        <f t="shared" si="4"/>
        <v>4.3518738432000008</v>
      </c>
      <c r="H21" s="2">
        <f t="shared" si="0"/>
        <v>-0.15461864481978438</v>
      </c>
      <c r="I21" s="2">
        <f>VLOOKUP(A21,[76]WRDS!$A$1:$O$100,10,FALSE)/100</f>
        <v>4.8000000000000001E-2</v>
      </c>
      <c r="J21" s="2">
        <f>VLOOKUP(A21,[76]WRDS!$A$1:$O$100,9,FALSE)/100</f>
        <v>0.04</v>
      </c>
      <c r="K21" s="2">
        <f t="shared" si="1"/>
        <v>1.3104412152618874</v>
      </c>
      <c r="L21" s="2">
        <f t="shared" si="2"/>
        <v>1.2587010127182396</v>
      </c>
      <c r="M21">
        <f>VLOOKUP(A21,[76]WRDS!$A$1:$O$100,8,FALSE)</f>
        <v>5</v>
      </c>
      <c r="N21">
        <f>VLOOKUP(A21,[76]WRDS!$A$1:$O$100,11,FALSE)</f>
        <v>3.03</v>
      </c>
    </row>
    <row r="22" spans="1:14" x14ac:dyDescent="0.3">
      <c r="A22" t="s">
        <v>40</v>
      </c>
      <c r="B22" t="str">
        <f>VLOOKUP(A22,[75]WRDS!$A$1:$N$100,2,FALSE)</f>
        <v>WPL</v>
      </c>
      <c r="C22" t="str">
        <f>VLOOKUP(A22,[75]WRDS!$A$1:$N$100,3,FALSE)</f>
        <v>ALLIANT ENER</v>
      </c>
      <c r="D22">
        <f>VLOOKUP(A22,[75]WRDS!$A$1:$N$100,13,FALSE)</f>
        <v>1.23</v>
      </c>
      <c r="E22">
        <f>VLOOKUP(A22,[59]WRDS!$A$1:$N$100,13,FALSE)</f>
        <v>0.88500000000000001</v>
      </c>
      <c r="F22" s="1">
        <f t="shared" si="3"/>
        <v>1.4114532907687496</v>
      </c>
      <c r="G22" s="1">
        <f t="shared" si="4"/>
        <v>1.4114532907687496</v>
      </c>
      <c r="H22" s="2">
        <f t="shared" si="0"/>
        <v>-7.9000191671871778E-2</v>
      </c>
      <c r="I22" s="2">
        <f>VLOOKUP(A22,[76]WRDS!$A$1:$O$100,10,FALSE)/100</f>
        <v>3.5000000000000003E-2</v>
      </c>
      <c r="J22" s="2">
        <f>VLOOKUP(A22,[76]WRDS!$A$1:$O$100,9,FALSE)/100</f>
        <v>3.5000000000000003E-2</v>
      </c>
      <c r="K22" s="2">
        <f t="shared" si="1"/>
        <v>1.4430368997757994</v>
      </c>
      <c r="L22" s="2">
        <f t="shared" si="2"/>
        <v>1.4430368997757994</v>
      </c>
      <c r="M22">
        <f>VLOOKUP(A22,[76]WRDS!$A$1:$O$100,8,FALSE)</f>
        <v>2</v>
      </c>
      <c r="N22">
        <f>VLOOKUP(A22,[76]WRDS!$A$1:$O$100,11,FALSE)</f>
        <v>2.12</v>
      </c>
    </row>
    <row r="23" spans="1:14" x14ac:dyDescent="0.3">
      <c r="A23" t="s">
        <v>60</v>
      </c>
      <c r="B23" t="str">
        <f>VLOOKUP(A23,[75]WRDS!$A$1:$N$100,2,FALSE)</f>
        <v>BSE</v>
      </c>
      <c r="C23" t="str">
        <f>VLOOKUP(A23,[75]WRDS!$A$1:$N$100,3,FALSE)</f>
        <v>NSTAR</v>
      </c>
      <c r="D23">
        <f>VLOOKUP(A23,[75]WRDS!$A$1:$N$100,13,FALSE)</f>
        <v>1.625</v>
      </c>
      <c r="E23">
        <f>VLOOKUP(A23,[59]WRDS!$A$1:$N$100,13,FALSE)</f>
        <v>1.76</v>
      </c>
      <c r="F23" s="1">
        <f t="shared" si="3"/>
        <v>2.0009056999919541</v>
      </c>
      <c r="G23" s="1">
        <f t="shared" si="4"/>
        <v>2.0283986580016249</v>
      </c>
      <c r="H23" s="2">
        <f t="shared" si="0"/>
        <v>2.01518597448056E-2</v>
      </c>
      <c r="I23" s="2">
        <f>VLOOKUP(A23,[76]WRDS!$A$1:$O$100,10,FALSE)/100</f>
        <v>5.3399999999999996E-2</v>
      </c>
      <c r="J23" s="2">
        <f>VLOOKUP(A23,[76]WRDS!$A$1:$O$100,9,FALSE)/100</f>
        <v>5.7000000000000002E-2</v>
      </c>
      <c r="K23" s="2">
        <f t="shared" si="1"/>
        <v>1.6498794987775027</v>
      </c>
      <c r="L23" s="2">
        <f t="shared" si="2"/>
        <v>1.8285230604928402</v>
      </c>
      <c r="M23">
        <f>VLOOKUP(A23,[76]WRDS!$A$1:$O$100,8,FALSE)</f>
        <v>5</v>
      </c>
      <c r="N23">
        <f>VLOOKUP(A23,[76]WRDS!$A$1:$O$100,11,FALSE)</f>
        <v>2.29</v>
      </c>
    </row>
    <row r="24" spans="1:14" x14ac:dyDescent="0.3">
      <c r="A24" t="s">
        <v>78</v>
      </c>
      <c r="B24" t="str">
        <f>VLOOKUP(A24,[75]WRDS!$A$1:$N$100,2,FALSE)</f>
        <v>NU</v>
      </c>
      <c r="C24" t="str">
        <f>VLOOKUP(A24,[75]WRDS!$A$1:$N$100,3,FALSE)</f>
        <v>NORTHEAST UTILS</v>
      </c>
      <c r="D24">
        <f>VLOOKUP(A24,[75]WRDS!$A$1:$N$100,13,FALSE)</f>
        <v>1.54</v>
      </c>
      <c r="E24">
        <f>VLOOKUP(A24,[59]WRDS!$A$1:$N$100,13,FALSE)</f>
        <v>1.29</v>
      </c>
      <c r="F24" s="1">
        <f t="shared" si="3"/>
        <v>2.0642857099110405</v>
      </c>
      <c r="G24" s="1">
        <f t="shared" si="4"/>
        <v>1.9442145184000006</v>
      </c>
      <c r="H24" s="2">
        <f t="shared" si="0"/>
        <v>-4.3318782912380338E-2</v>
      </c>
      <c r="I24" s="2">
        <f>VLOOKUP(A24,[76]WRDS!$A$1:$O$100,10,FALSE)/100</f>
        <v>7.5999999999999998E-2</v>
      </c>
      <c r="J24" s="2">
        <f>VLOOKUP(A24,[76]WRDS!$A$1:$O$100,9,FALSE)/100</f>
        <v>0.06</v>
      </c>
      <c r="K24" s="2">
        <f t="shared" si="1"/>
        <v>2.7544352562656949</v>
      </c>
      <c r="L24" s="2">
        <f t="shared" si="2"/>
        <v>2.385080465472917</v>
      </c>
      <c r="M24">
        <f>VLOOKUP(A24,[76]WRDS!$A$1:$O$100,8,FALSE)</f>
        <v>5</v>
      </c>
      <c r="N24">
        <f>VLOOKUP(A24,[76]WRDS!$A$1:$O$100,11,FALSE)</f>
        <v>5.03</v>
      </c>
    </row>
    <row r="25" spans="1:14" x14ac:dyDescent="0.3">
      <c r="A25" t="s">
        <v>44</v>
      </c>
      <c r="B25" t="str">
        <f>VLOOKUP(A25,[75]WRDS!$A$1:$N$100,2,FALSE)</f>
        <v>OGE</v>
      </c>
      <c r="C25" t="str">
        <f>VLOOKUP(A25,[75]WRDS!$A$1:$N$100,3,FALSE)</f>
        <v>OGE ENERGY CORP</v>
      </c>
      <c r="D25">
        <f>VLOOKUP(A25,[75]WRDS!$A$1:$N$100,13,FALSE)</f>
        <v>0.94499999999999995</v>
      </c>
      <c r="E25">
        <f>VLOOKUP(A25,[59]WRDS!$A$1:$N$100,13,FALSE)</f>
        <v>0.86</v>
      </c>
      <c r="F25" s="1">
        <f t="shared" si="3"/>
        <v>1.14865340625</v>
      </c>
      <c r="G25" s="1">
        <f t="shared" si="4"/>
        <v>1.1706892948406247</v>
      </c>
      <c r="H25" s="2">
        <f t="shared" si="0"/>
        <v>-2.3287691581121428E-2</v>
      </c>
      <c r="I25" s="2">
        <f>VLOOKUP(A25,[76]WRDS!$A$1:$O$100,10,FALSE)/100</f>
        <v>0.05</v>
      </c>
      <c r="J25" s="2">
        <f>VLOOKUP(A25,[76]WRDS!$A$1:$O$100,9,FALSE)/100</f>
        <v>5.5E-2</v>
      </c>
      <c r="K25" s="2">
        <f t="shared" si="1"/>
        <v>3.1470569474792156</v>
      </c>
      <c r="L25" s="2">
        <f t="shared" si="2"/>
        <v>3.3617626422271369</v>
      </c>
      <c r="M25">
        <f>VLOOKUP(A25,[76]WRDS!$A$1:$O$100,8,FALSE)</f>
        <v>6</v>
      </c>
      <c r="N25">
        <f>VLOOKUP(A25,[76]WRDS!$A$1:$O$100,11,FALSE)</f>
        <v>1.26</v>
      </c>
    </row>
    <row r="26" spans="1:14" x14ac:dyDescent="0.3">
      <c r="A26" t="s">
        <v>69</v>
      </c>
      <c r="B26" t="str">
        <f>VLOOKUP(A26,[75]WRDS!$A$1:$N$100,2,FALSE)</f>
        <v>OTTR</v>
      </c>
      <c r="C26" t="str">
        <f>VLOOKUP(A26,[75]WRDS!$A$1:$N$100,3,FALSE)</f>
        <v>OTTER TAIL PWR</v>
      </c>
      <c r="D26">
        <f>VLOOKUP(A26,[75]WRDS!$A$1:$N$100,13,FALSE)</f>
        <v>1.6</v>
      </c>
      <c r="E26">
        <f>VLOOKUP(A26,[59]WRDS!$A$1:$N$100,13,FALSE)</f>
        <v>1.55</v>
      </c>
      <c r="F26" s="1">
        <f t="shared" si="3"/>
        <v>1.9448100000000001</v>
      </c>
      <c r="G26" s="1">
        <f t="shared" si="4"/>
        <v>1.9448100000000001</v>
      </c>
      <c r="H26" s="2">
        <f t="shared" si="0"/>
        <v>-7.9057583820595356E-3</v>
      </c>
      <c r="I26" s="2">
        <f>VLOOKUP(A26,[76]WRDS!$A$1:$O$100,10,FALSE)/100</f>
        <v>0.05</v>
      </c>
      <c r="J26" s="2">
        <f>VLOOKUP(A26,[76]WRDS!$A$1:$O$100,9,FALSE)/100</f>
        <v>0.05</v>
      </c>
      <c r="K26" s="2">
        <f t="shared" si="1"/>
        <v>7.3245039354433779</v>
      </c>
      <c r="L26" s="2">
        <f t="shared" si="2"/>
        <v>7.3245039354433779</v>
      </c>
      <c r="M26">
        <f>VLOOKUP(A26,[76]WRDS!$A$1:$O$100,8,FALSE)</f>
        <v>1</v>
      </c>
      <c r="N26">
        <f>VLOOKUP(A26,[76]WRDS!$A$1:$O$100,11,FALSE)</f>
        <v>0</v>
      </c>
    </row>
    <row r="27" spans="1:14" x14ac:dyDescent="0.3">
      <c r="A27" t="s">
        <v>45</v>
      </c>
      <c r="B27" t="str">
        <f>VLOOKUP(A27,[75]WRDS!$A$1:$N$100,2,FALSE)</f>
        <v>PCG</v>
      </c>
      <c r="C27" t="str">
        <f>VLOOKUP(A27,[75]WRDS!$A$1:$N$100,3,FALSE)</f>
        <v>P G &amp; E CORP</v>
      </c>
      <c r="D27">
        <f>VLOOKUP(A27,[75]WRDS!$A$1:$N$100,13,FALSE)</f>
        <v>2.54</v>
      </c>
      <c r="E27">
        <f>VLOOKUP(A27,[59]WRDS!$A$1:$N$100,13,FALSE)</f>
        <v>2.12</v>
      </c>
      <c r="F27" s="1">
        <f t="shared" si="3"/>
        <v>3.383265027812115</v>
      </c>
      <c r="G27" s="1">
        <f t="shared" si="4"/>
        <v>3.4556419584000007</v>
      </c>
      <c r="H27" s="2">
        <f t="shared" si="0"/>
        <v>-4.418127115307291E-2</v>
      </c>
      <c r="I27" s="2">
        <f>VLOOKUP(A27,[76]WRDS!$A$1:$O$100,10,FALSE)/100</f>
        <v>7.4299999999999991E-2</v>
      </c>
      <c r="J27" s="2">
        <f>VLOOKUP(A27,[76]WRDS!$A$1:$O$100,9,FALSE)/100</f>
        <v>0.08</v>
      </c>
      <c r="K27" s="2">
        <f t="shared" si="1"/>
        <v>2.6817080645456315</v>
      </c>
      <c r="L27" s="2">
        <f t="shared" si="2"/>
        <v>2.8107220075861448</v>
      </c>
      <c r="M27">
        <f>VLOOKUP(A27,[76]WRDS!$A$1:$O$100,8,FALSE)</f>
        <v>12</v>
      </c>
      <c r="N27">
        <f>VLOOKUP(A27,[76]WRDS!$A$1:$O$100,11,FALSE)</f>
        <v>2.04</v>
      </c>
    </row>
    <row r="28" spans="1:14" x14ac:dyDescent="0.3">
      <c r="A28" t="s">
        <v>46</v>
      </c>
      <c r="B28" t="str">
        <f>VLOOKUP(A28,[75]WRDS!$A$1:$N$100,2,FALSE)</f>
        <v>PEG</v>
      </c>
      <c r="C28" t="str">
        <f>VLOOKUP(A28,[75]WRDS!$A$1:$N$100,3,FALSE)</f>
        <v>PUB SVC ENTERS</v>
      </c>
      <c r="D28">
        <f>VLOOKUP(A28,[75]WRDS!$A$1:$N$100,13,FALSE)</f>
        <v>1.7749999999999999</v>
      </c>
      <c r="E28">
        <f>VLOOKUP(A28,[59]WRDS!$A$1:$N$100,13,FALSE)</f>
        <v>1.53</v>
      </c>
      <c r="F28" s="1">
        <f t="shared" si="3"/>
        <v>2.1831159792720789</v>
      </c>
      <c r="G28" s="1">
        <f t="shared" si="4"/>
        <v>2.1575235937499997</v>
      </c>
      <c r="H28" s="2">
        <f t="shared" si="0"/>
        <v>-3.6452190669435058E-2</v>
      </c>
      <c r="I28" s="2">
        <f>VLOOKUP(A28,[76]WRDS!$A$1:$O$100,10,FALSE)/100</f>
        <v>5.3099999999999994E-2</v>
      </c>
      <c r="J28" s="2">
        <f>VLOOKUP(A28,[76]WRDS!$A$1:$O$100,9,FALSE)/100</f>
        <v>0.05</v>
      </c>
      <c r="K28" s="2">
        <f t="shared" si="1"/>
        <v>2.4567025746555204</v>
      </c>
      <c r="L28" s="2">
        <f t="shared" si="2"/>
        <v>2.3716596748168746</v>
      </c>
      <c r="M28">
        <f>VLOOKUP(A28,[76]WRDS!$A$1:$O$100,8,FALSE)</f>
        <v>13</v>
      </c>
      <c r="N28">
        <f>VLOOKUP(A28,[76]WRDS!$A$1:$O$100,11,FALSE)</f>
        <v>2.29</v>
      </c>
    </row>
    <row r="29" spans="1:14" x14ac:dyDescent="0.3">
      <c r="A29" t="s">
        <v>74</v>
      </c>
      <c r="B29" t="str">
        <f>VLOOKUP(A29,[75]WRDS!$A$1:$N$100,2,FALSE)</f>
        <v>CPL</v>
      </c>
      <c r="C29" t="str">
        <f>VLOOKUP(A29,[75]WRDS!$A$1:$N$100,3,FALSE)</f>
        <v>PROGRESS ENERGY</v>
      </c>
      <c r="D29">
        <f>VLOOKUP(A29,[75]WRDS!$A$1:$N$100,13,FALSE)</f>
        <v>3.82</v>
      </c>
      <c r="E29">
        <f>VLOOKUP(A29,[59]WRDS!$A$1:$N$100,13,FALSE)</f>
        <v>3.06</v>
      </c>
      <c r="F29" s="1">
        <f t="shared" si="3"/>
        <v>4.7809409568409142</v>
      </c>
      <c r="G29" s="1">
        <f t="shared" si="4"/>
        <v>4.8226619872000009</v>
      </c>
      <c r="H29" s="2">
        <f t="shared" si="0"/>
        <v>-5.3949072358903782E-2</v>
      </c>
      <c r="I29" s="2">
        <f>VLOOKUP(A29,[76]WRDS!$A$1:$O$100,10,FALSE)/100</f>
        <v>5.7699999999999994E-2</v>
      </c>
      <c r="J29" s="2">
        <f>VLOOKUP(A29,[76]WRDS!$A$1:$O$100,9,FALSE)/100</f>
        <v>0.06</v>
      </c>
      <c r="K29" s="2">
        <f t="shared" si="1"/>
        <v>2.0695271943907145</v>
      </c>
      <c r="L29" s="2">
        <f t="shared" si="2"/>
        <v>2.1121599941671207</v>
      </c>
      <c r="M29">
        <f>VLOOKUP(A29,[76]WRDS!$A$1:$O$100,8,FALSE)</f>
        <v>13</v>
      </c>
      <c r="N29">
        <f>VLOOKUP(A29,[76]WRDS!$A$1:$O$100,11,FALSE)</f>
        <v>1.0900000000000001</v>
      </c>
    </row>
    <row r="30" spans="1:14" x14ac:dyDescent="0.3">
      <c r="A30" t="s">
        <v>47</v>
      </c>
      <c r="B30" t="str">
        <f>VLOOKUP(A30,[75]WRDS!$A$1:$N$100,2,FALSE)</f>
        <v>PNM</v>
      </c>
      <c r="C30" t="str">
        <f>VLOOKUP(A30,[75]WRDS!$A$1:$N$100,3,FALSE)</f>
        <v>PUB SVC N MEX</v>
      </c>
      <c r="D30">
        <f>VLOOKUP(A30,[75]WRDS!$A$1:$N$100,13,FALSE)</f>
        <v>1.7</v>
      </c>
      <c r="E30">
        <f>VLOOKUP(A30,[59]WRDS!$A$1:$N$100,13,FALSE)</f>
        <v>1.4359999999999999</v>
      </c>
      <c r="F30" s="1">
        <f t="shared" si="3"/>
        <v>2.078984402736582</v>
      </c>
      <c r="G30" s="1">
        <f t="shared" si="4"/>
        <v>2.0663606250000002</v>
      </c>
      <c r="H30" s="2">
        <f t="shared" si="0"/>
        <v>-4.1314012457976834E-2</v>
      </c>
      <c r="I30" s="2">
        <f>VLOOKUP(A30,[76]WRDS!$A$1:$O$100,10,FALSE)/100</f>
        <v>5.16E-2</v>
      </c>
      <c r="J30" s="2">
        <f>VLOOKUP(A30,[76]WRDS!$A$1:$O$100,9,FALSE)/100</f>
        <v>0.05</v>
      </c>
      <c r="K30" s="2">
        <f t="shared" si="1"/>
        <v>2.2489709164048328</v>
      </c>
      <c r="L30" s="2">
        <f t="shared" si="2"/>
        <v>2.2102431360511945</v>
      </c>
      <c r="M30">
        <f>VLOOKUP(A30,[76]WRDS!$A$1:$O$100,8,FALSE)</f>
        <v>7</v>
      </c>
      <c r="N30">
        <f>VLOOKUP(A30,[76]WRDS!$A$1:$O$100,11,FALSE)</f>
        <v>3.32</v>
      </c>
    </row>
    <row r="31" spans="1:14" x14ac:dyDescent="0.3">
      <c r="A31" t="s">
        <v>48</v>
      </c>
      <c r="B31" t="str">
        <f>VLOOKUP(A31,[75]WRDS!$A$1:$N$100,2,FALSE)</f>
        <v>AZP</v>
      </c>
      <c r="C31" t="str">
        <f>VLOOKUP(A31,[75]WRDS!$A$1:$N$100,3,FALSE)</f>
        <v>PINNACLE WST CAP</v>
      </c>
      <c r="D31">
        <f>VLOOKUP(A31,[75]WRDS!$A$1:$N$100,13,FALSE)</f>
        <v>3.57</v>
      </c>
      <c r="E31">
        <f>VLOOKUP(A31,[59]WRDS!$A$1:$N$100,13,FALSE)</f>
        <v>2.37</v>
      </c>
      <c r="F31" s="1">
        <f t="shared" si="3"/>
        <v>4.6446525004723211</v>
      </c>
      <c r="G31" s="1">
        <f t="shared" si="4"/>
        <v>4.6795417556999999</v>
      </c>
      <c r="H31" s="2">
        <f t="shared" si="0"/>
        <v>-9.7348657362781088E-2</v>
      </c>
      <c r="I31" s="2">
        <f>VLOOKUP(A31,[76]WRDS!$A$1:$O$100,10,FALSE)/100</f>
        <v>6.8000000000000005E-2</v>
      </c>
      <c r="J31" s="2">
        <f>VLOOKUP(A31,[76]WRDS!$A$1:$O$100,9,FALSE)/100</f>
        <v>7.0000000000000007E-2</v>
      </c>
      <c r="K31" s="2">
        <f t="shared" si="1"/>
        <v>1.6985201629087714</v>
      </c>
      <c r="L31" s="2">
        <f t="shared" si="2"/>
        <v>1.7190648735825587</v>
      </c>
      <c r="M31">
        <f>VLOOKUP(A31,[76]WRDS!$A$1:$O$100,8,FALSE)</f>
        <v>9</v>
      </c>
      <c r="N31">
        <f>VLOOKUP(A31,[76]WRDS!$A$1:$O$100,11,FALSE)</f>
        <v>2.27</v>
      </c>
    </row>
    <row r="32" spans="1:14" x14ac:dyDescent="0.3">
      <c r="A32" t="s">
        <v>49</v>
      </c>
      <c r="B32" t="str">
        <f>VLOOKUP(A32,[75]WRDS!$A$1:$N$100,2,FALSE)</f>
        <v>POM</v>
      </c>
      <c r="C32" t="str">
        <f>VLOOKUP(A32,[75]WRDS!$A$1:$N$100,3,FALSE)</f>
        <v>POTOMAC ELEC</v>
      </c>
      <c r="D32">
        <f>VLOOKUP(A32,[75]WRDS!$A$1:$N$100,13,FALSE)</f>
        <v>1.59</v>
      </c>
      <c r="E32">
        <f>VLOOKUP(A32,[59]WRDS!$A$1:$N$100,13,FALSE)</f>
        <v>1.5</v>
      </c>
      <c r="F32" s="1">
        <f t="shared" si="3"/>
        <v>1.9172400199044648</v>
      </c>
      <c r="G32" s="1">
        <f t="shared" si="4"/>
        <v>1.9326549375000002</v>
      </c>
      <c r="H32" s="2">
        <f t="shared" si="0"/>
        <v>-1.4461638312711744E-2</v>
      </c>
      <c r="I32" s="2">
        <f>VLOOKUP(A32,[76]WRDS!$A$1:$O$100,10,FALSE)/100</f>
        <v>4.7899999999999998E-2</v>
      </c>
      <c r="J32" s="2">
        <f>VLOOKUP(A32,[76]WRDS!$A$1:$O$100,9,FALSE)/100</f>
        <v>0.05</v>
      </c>
      <c r="K32" s="2">
        <f t="shared" si="1"/>
        <v>4.312211173051951</v>
      </c>
      <c r="L32" s="2">
        <f t="shared" si="2"/>
        <v>4.4574229363799072</v>
      </c>
      <c r="M32">
        <f>VLOOKUP(A32,[76]WRDS!$A$1:$O$100,8,FALSE)</f>
        <v>7</v>
      </c>
      <c r="N32">
        <f>VLOOKUP(A32,[76]WRDS!$A$1:$O$100,11,FALSE)</f>
        <v>2.5499999999999998</v>
      </c>
    </row>
    <row r="33" spans="1:14" x14ac:dyDescent="0.3">
      <c r="A33" t="s">
        <v>51</v>
      </c>
      <c r="B33" t="str">
        <f>VLOOKUP(A33,[75]WRDS!$A$1:$N$100,2,FALSE)</f>
        <v>PPL</v>
      </c>
      <c r="C33" t="str">
        <f>VLOOKUP(A33,[75]WRDS!$A$1:$N$100,3,FALSE)</f>
        <v>PP&amp;L CORP</v>
      </c>
      <c r="D33">
        <f>VLOOKUP(A33,[75]WRDS!$A$1:$N$100,13,FALSE)</f>
        <v>1.655</v>
      </c>
      <c r="E33">
        <f>VLOOKUP(A33,[59]WRDS!$A$1:$N$100,13,FALSE)</f>
        <v>1.855</v>
      </c>
      <c r="F33" s="1">
        <f t="shared" si="3"/>
        <v>2.1897130242990235</v>
      </c>
      <c r="G33" s="1">
        <f t="shared" si="4"/>
        <v>2.2102014277343747</v>
      </c>
      <c r="H33" s="2">
        <f t="shared" si="0"/>
        <v>2.8931537716990974E-2</v>
      </c>
      <c r="I33" s="2">
        <f>VLOOKUP(A33,[76]WRDS!$A$1:$O$100,10,FALSE)/100</f>
        <v>7.2499999999999995E-2</v>
      </c>
      <c r="J33" s="2">
        <f>VLOOKUP(A33,[76]WRDS!$A$1:$O$100,9,FALSE)/100</f>
        <v>7.4999999999999997E-2</v>
      </c>
      <c r="K33" s="2">
        <f t="shared" si="1"/>
        <v>1.5059158869879925</v>
      </c>
      <c r="L33" s="2">
        <f t="shared" si="2"/>
        <v>1.5923267796427509</v>
      </c>
      <c r="M33">
        <f>VLOOKUP(A33,[76]WRDS!$A$1:$O$100,8,FALSE)</f>
        <v>8</v>
      </c>
      <c r="N33">
        <f>VLOOKUP(A33,[76]WRDS!$A$1:$O$100,11,FALSE)</f>
        <v>3.15</v>
      </c>
    </row>
    <row r="34" spans="1:14" x14ac:dyDescent="0.3">
      <c r="A34" t="s">
        <v>91</v>
      </c>
      <c r="B34" t="str">
        <f>VLOOKUP(A34,[75]WRDS!$A$1:$N$100,2,FALSE)</f>
        <v>PSD</v>
      </c>
      <c r="C34" t="str">
        <f>VLOOKUP(A34,[75]WRDS!$A$1:$N$100,3,FALSE)</f>
        <v>PUGET SOUND ENGY</v>
      </c>
      <c r="D34">
        <f>VLOOKUP(A34,[75]WRDS!$A$1:$N$100,13,FALSE)</f>
        <v>2.16</v>
      </c>
      <c r="E34">
        <f>VLOOKUP(A34,[59]WRDS!$A$1:$N$100,13,FALSE)</f>
        <v>1.55</v>
      </c>
      <c r="F34" s="1">
        <f t="shared" si="3"/>
        <v>2.5268944896000005</v>
      </c>
      <c r="G34" s="1">
        <f t="shared" si="4"/>
        <v>2.5268944896000005</v>
      </c>
      <c r="H34" s="2">
        <f t="shared" si="0"/>
        <v>-7.9615096157624299E-2</v>
      </c>
      <c r="I34" s="2">
        <f>VLOOKUP(A34,[76]WRDS!$A$1:$O$100,10,FALSE)/100</f>
        <v>0.04</v>
      </c>
      <c r="J34" s="2">
        <f>VLOOKUP(A34,[76]WRDS!$A$1:$O$100,9,FALSE)/100</f>
        <v>0.04</v>
      </c>
      <c r="K34" s="2">
        <f t="shared" si="1"/>
        <v>1.502417279265817</v>
      </c>
      <c r="L34" s="2">
        <f t="shared" si="2"/>
        <v>1.502417279265817</v>
      </c>
      <c r="M34">
        <f>VLOOKUP(A34,[76]WRDS!$A$1:$O$100,8,FALSE)</f>
        <v>5</v>
      </c>
      <c r="N34">
        <f>VLOOKUP(A34,[76]WRDS!$A$1:$O$100,11,FALSE)</f>
        <v>1.58</v>
      </c>
    </row>
    <row r="35" spans="1:14" x14ac:dyDescent="0.3">
      <c r="A35" t="s">
        <v>52</v>
      </c>
      <c r="B35" t="str">
        <f>VLOOKUP(A35,[75]WRDS!$A$1:$N$100,2,FALSE)</f>
        <v>SCG</v>
      </c>
      <c r="C35" t="str">
        <f>VLOOKUP(A35,[75]WRDS!$A$1:$N$100,3,FALSE)</f>
        <v>SCANA CP</v>
      </c>
      <c r="D35">
        <f>VLOOKUP(A35,[75]WRDS!$A$1:$N$100,13,FALSE)</f>
        <v>2.12</v>
      </c>
      <c r="E35">
        <f>VLOOKUP(A35,[59]WRDS!$A$1:$N$100,13,FALSE)</f>
        <v>2.67</v>
      </c>
      <c r="F35" s="1">
        <f t="shared" si="3"/>
        <v>2.5660918809498798</v>
      </c>
      <c r="G35" s="1">
        <f t="shared" si="4"/>
        <v>2.5768732500000002</v>
      </c>
      <c r="H35" s="2">
        <f t="shared" si="0"/>
        <v>5.936068195014732E-2</v>
      </c>
      <c r="I35" s="2">
        <f>VLOOKUP(A35,[76]WRDS!$A$1:$O$100,10,FALSE)/100</f>
        <v>4.8899999999999999E-2</v>
      </c>
      <c r="J35" s="2">
        <f>VLOOKUP(A35,[76]WRDS!$A$1:$O$100,9,FALSE)/100</f>
        <v>0.05</v>
      </c>
      <c r="K35" s="2">
        <f t="shared" si="1"/>
        <v>-0.17622240187423185</v>
      </c>
      <c r="L35" s="2">
        <f t="shared" si="2"/>
        <v>-0.1576916174583147</v>
      </c>
      <c r="M35">
        <f>VLOOKUP(A35,[76]WRDS!$A$1:$O$100,8,FALSE)</f>
        <v>8</v>
      </c>
      <c r="N35">
        <f>VLOOKUP(A35,[76]WRDS!$A$1:$O$100,11,FALSE)</f>
        <v>1.79</v>
      </c>
    </row>
    <row r="36" spans="1:14" x14ac:dyDescent="0.3">
      <c r="A36" t="s">
        <v>53</v>
      </c>
      <c r="B36" t="str">
        <f>VLOOKUP(A36,[75]WRDS!$A$1:$N$100,2,FALSE)</f>
        <v>SO</v>
      </c>
      <c r="C36" t="str">
        <f>VLOOKUP(A36,[75]WRDS!$A$1:$N$100,3,FALSE)</f>
        <v>SOUTHN CO</v>
      </c>
      <c r="D36">
        <f>VLOOKUP(A36,[75]WRDS!$A$1:$N$100,13,FALSE)</f>
        <v>2.13</v>
      </c>
      <c r="E36">
        <f>VLOOKUP(A36,[59]WRDS!$A$1:$N$100,13,FALSE)</f>
        <v>2.04</v>
      </c>
      <c r="F36" s="1">
        <f t="shared" si="3"/>
        <v>2.7216951235676272</v>
      </c>
      <c r="G36" s="1">
        <f t="shared" si="4"/>
        <v>2.6890759248000005</v>
      </c>
      <c r="H36" s="2">
        <f t="shared" si="0"/>
        <v>-1.0735007060400203E-2</v>
      </c>
      <c r="I36" s="2">
        <f>VLOOKUP(A36,[76]WRDS!$A$1:$O$100,10,FALSE)/100</f>
        <v>6.3200000000000006E-2</v>
      </c>
      <c r="J36" s="2">
        <f>VLOOKUP(A36,[76]WRDS!$A$1:$O$100,9,FALSE)/100</f>
        <v>0.06</v>
      </c>
      <c r="K36" s="2">
        <f t="shared" si="1"/>
        <v>6.8872807110798391</v>
      </c>
      <c r="L36" s="2">
        <f t="shared" si="2"/>
        <v>6.5891905484935176</v>
      </c>
      <c r="M36">
        <f>VLOOKUP(A36,[76]WRDS!$A$1:$O$100,8,FALSE)</f>
        <v>14</v>
      </c>
      <c r="N36">
        <f>VLOOKUP(A36,[76]WRDS!$A$1:$O$100,11,FALSE)</f>
        <v>1.68</v>
      </c>
    </row>
    <row r="37" spans="1:14" x14ac:dyDescent="0.3">
      <c r="A37" t="s">
        <v>54</v>
      </c>
      <c r="B37" t="str">
        <f>VLOOKUP(A37,[75]WRDS!$A$1:$N$100,2,FALSE)</f>
        <v>SDO</v>
      </c>
      <c r="C37" t="str">
        <f>VLOOKUP(A37,[75]WRDS!$A$1:$N$100,3,FALSE)</f>
        <v>SEMPRA ENERGY</v>
      </c>
      <c r="D37">
        <f>VLOOKUP(A37,[75]WRDS!$A$1:$N$100,13,FALSE)</f>
        <v>2.21</v>
      </c>
      <c r="E37">
        <f>VLOOKUP(A37,[59]WRDS!$A$1:$N$100,13,FALSE)</f>
        <v>3.88</v>
      </c>
      <c r="F37" s="1">
        <f t="shared" si="3"/>
        <v>2.9723078024545022</v>
      </c>
      <c r="G37" s="1">
        <f t="shared" si="4"/>
        <v>3.0627477283812494</v>
      </c>
      <c r="H37" s="2">
        <f t="shared" si="0"/>
        <v>0.15109154242454292</v>
      </c>
      <c r="I37" s="2">
        <f>VLOOKUP(A37,[76]WRDS!$A$1:$O$100,10,FALSE)/100</f>
        <v>7.690000000000001E-2</v>
      </c>
      <c r="J37" s="2">
        <f>VLOOKUP(A37,[76]WRDS!$A$1:$O$100,9,FALSE)/100</f>
        <v>8.5000000000000006E-2</v>
      </c>
      <c r="K37" s="2">
        <f t="shared" si="1"/>
        <v>-0.49103703115344882</v>
      </c>
      <c r="L37" s="2">
        <f t="shared" si="2"/>
        <v>-0.43742714756883161</v>
      </c>
      <c r="M37">
        <f>VLOOKUP(A37,[76]WRDS!$A$1:$O$100,8,FALSE)</f>
        <v>8</v>
      </c>
      <c r="N37">
        <f>VLOOKUP(A37,[76]WRDS!$A$1:$O$100,11,FALSE)</f>
        <v>2.2200000000000002</v>
      </c>
    </row>
    <row r="38" spans="1:14" x14ac:dyDescent="0.3">
      <c r="A38" t="s">
        <v>75</v>
      </c>
      <c r="B38" t="str">
        <f>VLOOKUP(A38,[75]WRDS!$A$1:$N$100,2,FALSE)</f>
        <v>TE</v>
      </c>
      <c r="C38" t="str">
        <f>VLOOKUP(A38,[75]WRDS!$A$1:$N$100,3,FALSE)</f>
        <v>TECO ENERGY INC</v>
      </c>
      <c r="D38">
        <f>VLOOKUP(A38,[75]WRDS!$A$1:$N$100,13,FALSE)</f>
        <v>1.99</v>
      </c>
      <c r="E38">
        <f>VLOOKUP(A38,[59]WRDS!$A$1:$N$100,13,FALSE)</f>
        <v>0.76</v>
      </c>
      <c r="F38" s="1">
        <f t="shared" si="3"/>
        <v>2.5456755615747233</v>
      </c>
      <c r="G38" s="1">
        <f t="shared" si="4"/>
        <v>2.4559273745214401</v>
      </c>
      <c r="H38" s="2">
        <f t="shared" si="0"/>
        <v>-0.21387767674404834</v>
      </c>
      <c r="I38" s="2">
        <f>VLOOKUP(A38,[76]WRDS!$A$1:$O$100,10,FALSE)/100</f>
        <v>6.3500000000000001E-2</v>
      </c>
      <c r="J38" s="2">
        <f>VLOOKUP(A38,[76]WRDS!$A$1:$O$100,9,FALSE)/100</f>
        <v>5.4000000000000006E-2</v>
      </c>
      <c r="K38" s="2">
        <f t="shared" si="1"/>
        <v>1.2968986804358815</v>
      </c>
      <c r="L38" s="2">
        <f t="shared" si="2"/>
        <v>1.2524807676147653</v>
      </c>
      <c r="M38">
        <f>VLOOKUP(A38,[76]WRDS!$A$1:$O$100,8,FALSE)</f>
        <v>15</v>
      </c>
      <c r="N38">
        <f>VLOOKUP(A38,[76]WRDS!$A$1:$O$100,11,FALSE)</f>
        <v>2.17</v>
      </c>
    </row>
    <row r="39" spans="1:14" x14ac:dyDescent="0.3">
      <c r="A39" t="s">
        <v>79</v>
      </c>
      <c r="B39" t="str">
        <f>VLOOKUP(A39,[75]WRDS!$A$1:$N$100,2,FALSE)</f>
        <v>UIL</v>
      </c>
      <c r="C39" t="str">
        <f>VLOOKUP(A39,[75]WRDS!$A$1:$N$100,3,FALSE)</f>
        <v>UIL HOLDING CORP</v>
      </c>
      <c r="D39">
        <f>VLOOKUP(A39,[75]WRDS!$A$1:$N$100,13,FALSE)</f>
        <v>2.556</v>
      </c>
      <c r="E39">
        <f>VLOOKUP(A39,[59]WRDS!$A$1:$N$100,13,FALSE)</f>
        <v>1.536</v>
      </c>
      <c r="F39" s="1">
        <f t="shared" si="3"/>
        <v>2.9523867230553016</v>
      </c>
      <c r="G39" s="1">
        <f t="shared" si="4"/>
        <v>2.76669660096</v>
      </c>
      <c r="H39" s="2">
        <f t="shared" si="0"/>
        <v>-0.11954413342949732</v>
      </c>
      <c r="I39" s="2">
        <f>VLOOKUP(A39,[76]WRDS!$A$1:$O$100,10,FALSE)/100</f>
        <v>3.6699999999999997E-2</v>
      </c>
      <c r="J39" s="2">
        <f>VLOOKUP(A39,[76]WRDS!$A$1:$O$100,9,FALSE)/100</f>
        <v>0.02</v>
      </c>
      <c r="K39" s="2">
        <f t="shared" si="1"/>
        <v>1.3069995904202552</v>
      </c>
      <c r="L39" s="2">
        <f t="shared" si="2"/>
        <v>1.1673022291118555</v>
      </c>
      <c r="M39">
        <f>VLOOKUP(A39,[76]WRDS!$A$1:$O$100,8,FALSE)</f>
        <v>3</v>
      </c>
      <c r="N39">
        <f>VLOOKUP(A39,[76]WRDS!$A$1:$O$100,11,FALSE)</f>
        <v>2.89</v>
      </c>
    </row>
    <row r="40" spans="1:14" x14ac:dyDescent="0.3">
      <c r="A40" t="s">
        <v>76</v>
      </c>
      <c r="B40" t="str">
        <f>VLOOKUP(A40,[75]WRDS!$A$1:$N$100,2,FALSE)</f>
        <v>SIG</v>
      </c>
      <c r="C40" t="str">
        <f>VLOOKUP(A40,[75]WRDS!$A$1:$N$100,3,FALSE)</f>
        <v>VECTREN CORP</v>
      </c>
      <c r="D40">
        <f>VLOOKUP(A40,[75]WRDS!$A$1:$N$100,13,FALSE)</f>
        <v>1.86</v>
      </c>
      <c r="E40">
        <f>VLOOKUP(A40,[59]WRDS!$A$1:$N$100,13,FALSE)</f>
        <v>1.45</v>
      </c>
      <c r="F40" s="1">
        <f t="shared" si="3"/>
        <v>2.4508656914242199</v>
      </c>
      <c r="G40" s="1">
        <f t="shared" si="4"/>
        <v>2.5305094656000007</v>
      </c>
      <c r="H40" s="2">
        <f t="shared" si="0"/>
        <v>-6.0355092272443067E-2</v>
      </c>
      <c r="I40" s="2">
        <f>VLOOKUP(A40,[76]WRDS!$A$1:$O$100,10,FALSE)/100</f>
        <v>7.1399999999999991E-2</v>
      </c>
      <c r="J40" s="2">
        <f>VLOOKUP(A40,[76]WRDS!$A$1:$O$100,9,FALSE)/100</f>
        <v>0.08</v>
      </c>
      <c r="K40" s="2">
        <f t="shared" si="1"/>
        <v>2.1829987713000283</v>
      </c>
      <c r="L40" s="2">
        <f t="shared" si="2"/>
        <v>2.3254888193837857</v>
      </c>
      <c r="M40">
        <f>VLOOKUP(A40,[76]WRDS!$A$1:$O$100,8,FALSE)</f>
        <v>7</v>
      </c>
      <c r="N40">
        <f>VLOOKUP(A40,[76]WRDS!$A$1:$O$100,11,FALSE)</f>
        <v>2.19</v>
      </c>
    </row>
    <row r="41" spans="1:14" x14ac:dyDescent="0.3">
      <c r="A41" t="s">
        <v>55</v>
      </c>
      <c r="B41" t="str">
        <f>VLOOKUP(A41,[75]WRDS!$A$1:$N$100,2,FALSE)</f>
        <v>WPC</v>
      </c>
      <c r="C41" t="str">
        <f>VLOOKUP(A41,[75]WRDS!$A$1:$N$100,3,FALSE)</f>
        <v>WISCONSIN ENERGY</v>
      </c>
      <c r="D41">
        <f>VLOOKUP(A41,[75]WRDS!$A$1:$N$100,13,FALSE)</f>
        <v>0.86</v>
      </c>
      <c r="E41">
        <f>VLOOKUP(A41,[59]WRDS!$A$1:$N$100,13,FALSE)</f>
        <v>1.165</v>
      </c>
      <c r="F41" s="1">
        <f t="shared" si="3"/>
        <v>1.02164601632256</v>
      </c>
      <c r="G41" s="1">
        <f t="shared" si="4"/>
        <v>1.0060783616000002</v>
      </c>
      <c r="H41" s="2">
        <f t="shared" si="0"/>
        <v>7.883957316451351E-2</v>
      </c>
      <c r="I41" s="2">
        <f>VLOOKUP(A41,[76]WRDS!$A$1:$O$100,10,FALSE)/100</f>
        <v>4.4000000000000004E-2</v>
      </c>
      <c r="J41" s="2">
        <f>VLOOKUP(A41,[76]WRDS!$A$1:$O$100,9,FALSE)/100</f>
        <v>0.04</v>
      </c>
      <c r="K41" s="2">
        <f t="shared" si="1"/>
        <v>-0.44190463958771342</v>
      </c>
      <c r="L41" s="2">
        <f t="shared" si="2"/>
        <v>-0.49264058144337586</v>
      </c>
      <c r="M41">
        <f>VLOOKUP(A41,[76]WRDS!$A$1:$O$100,8,FALSE)</f>
        <v>10</v>
      </c>
      <c r="N41">
        <f>VLOOKUP(A41,[76]WRDS!$A$1:$O$100,11,FALSE)</f>
        <v>1.51</v>
      </c>
    </row>
    <row r="42" spans="1:14" x14ac:dyDescent="0.3">
      <c r="A42" t="s">
        <v>95</v>
      </c>
      <c r="B42" t="str">
        <f>VLOOKUP(A42,[75]WRDS!$A$1:$N$100,2,FALSE)</f>
        <v>WPS</v>
      </c>
      <c r="C42" t="str">
        <f>VLOOKUP(A42,[75]WRDS!$A$1:$N$100,3,FALSE)</f>
        <v>WPS RESOURCES CP</v>
      </c>
      <c r="D42">
        <f>VLOOKUP(A42,[75]WRDS!$A$1:$N$100,13,FALSE)</f>
        <v>2.5299999999999998</v>
      </c>
      <c r="E42">
        <f>VLOOKUP(A42,[59]WRDS!$A$1:$N$100,13,FALSE)</f>
        <v>4.08</v>
      </c>
      <c r="F42" s="1">
        <f t="shared" si="3"/>
        <v>2.7385533647999996</v>
      </c>
      <c r="G42" s="1">
        <f t="shared" si="4"/>
        <v>2.7385533647999996</v>
      </c>
      <c r="H42" s="2">
        <f t="shared" si="0"/>
        <v>0.12689878457476511</v>
      </c>
      <c r="I42" s="2">
        <f>VLOOKUP(A42,[76]WRDS!$A$1:$O$100,10,FALSE)/100</f>
        <v>0.02</v>
      </c>
      <c r="J42" s="2">
        <f>VLOOKUP(A42,[76]WRDS!$A$1:$O$100,9,FALSE)/100</f>
        <v>0.02</v>
      </c>
      <c r="K42" s="2">
        <f t="shared" si="1"/>
        <v>-0.84239407755543494</v>
      </c>
      <c r="L42" s="2">
        <f t="shared" si="2"/>
        <v>-0.84239407755543494</v>
      </c>
      <c r="M42">
        <f>VLOOKUP(A42,[76]WRDS!$A$1:$O$100,8,FALSE)</f>
        <v>1</v>
      </c>
      <c r="N42">
        <f>VLOOKUP(A42,[76]WRDS!$A$1:$O$100,11,FALSE)</f>
        <v>0</v>
      </c>
    </row>
    <row r="43" spans="1:14" x14ac:dyDescent="0.3">
      <c r="A43" t="s">
        <v>64</v>
      </c>
      <c r="B43" t="str">
        <f>VLOOKUP(A43,[75]WRDS!$A$1:$N$100,2,FALSE)</f>
        <v>KAN</v>
      </c>
      <c r="C43" t="str">
        <f>VLOOKUP(A43,[75]WRDS!$A$1:$N$100,3,FALSE)</f>
        <v>WESTN RESOURCES</v>
      </c>
      <c r="D43">
        <f>VLOOKUP(A43,[75]WRDS!$A$1:$N$100,13,FALSE)</f>
        <v>1.97</v>
      </c>
      <c r="E43">
        <f>VLOOKUP(A43,[59]WRDS!$A$1:$N$100,13,FALSE)</f>
        <v>1.47</v>
      </c>
      <c r="F43" s="1">
        <f t="shared" si="3"/>
        <v>2.3519605218692945</v>
      </c>
      <c r="G43" s="1">
        <f t="shared" si="4"/>
        <v>2.2693696781235202</v>
      </c>
      <c r="H43" s="2">
        <f t="shared" si="0"/>
        <v>-7.0578366251778379E-2</v>
      </c>
      <c r="I43" s="2">
        <f>VLOOKUP(A43,[76]WRDS!$A$1:$O$100,10,FALSE)/100</f>
        <v>4.53E-2</v>
      </c>
      <c r="J43" s="2">
        <f>VLOOKUP(A43,[76]WRDS!$A$1:$O$100,9,FALSE)/100</f>
        <v>3.6000000000000004E-2</v>
      </c>
      <c r="K43" s="2">
        <f t="shared" si="1"/>
        <v>1.6418397365334108</v>
      </c>
      <c r="L43" s="2">
        <f t="shared" si="2"/>
        <v>1.5100713138013862</v>
      </c>
      <c r="M43">
        <f>VLOOKUP(A43,[76]WRDS!$A$1:$O$100,8,FALSE)</f>
        <v>6</v>
      </c>
      <c r="N43">
        <f>VLOOKUP(A43,[76]WRDS!$A$1:$O$100,11,FALSE)</f>
        <v>4.01</v>
      </c>
    </row>
    <row r="44" spans="1:14" x14ac:dyDescent="0.3">
      <c r="A44" t="s">
        <v>56</v>
      </c>
      <c r="B44" t="str">
        <f>VLOOKUP(A44,[75]WRDS!$A$1:$N$100,2,FALSE)</f>
        <v>NSP</v>
      </c>
      <c r="C44" t="str">
        <f>VLOOKUP(A44,[75]WRDS!$A$1:$N$100,3,FALSE)</f>
        <v>XCEL ENERGY INC</v>
      </c>
      <c r="D44">
        <f>VLOOKUP(A44,[75]WRDS!$A$1:$N$100,13,FALSE)</f>
        <v>1.96</v>
      </c>
      <c r="E44">
        <f>VLOOKUP(A44,[59]WRDS!$A$1:$N$100,13,FALSE)</f>
        <v>1.26</v>
      </c>
      <c r="F44" s="1">
        <f t="shared" si="3"/>
        <v>2.521474047224999</v>
      </c>
      <c r="G44" s="1">
        <f t="shared" si="4"/>
        <v>2.521474047224999</v>
      </c>
      <c r="H44" s="2">
        <f t="shared" si="0"/>
        <v>-0.10457623119705317</v>
      </c>
      <c r="I44" s="2">
        <f>VLOOKUP(A44,[76]WRDS!$A$1:$O$100,10,FALSE)/100</f>
        <v>6.5000000000000002E-2</v>
      </c>
      <c r="J44" s="2">
        <f>VLOOKUP(A44,[76]WRDS!$A$1:$O$100,9,FALSE)/100</f>
        <v>6.5000000000000002E-2</v>
      </c>
      <c r="K44" s="2">
        <f t="shared" si="1"/>
        <v>1.621556153400866</v>
      </c>
      <c r="L44" s="2">
        <f t="shared" si="2"/>
        <v>1.621556153400866</v>
      </c>
      <c r="M44">
        <f>VLOOKUP(A44,[76]WRDS!$A$1:$O$100,8,FALSE)</f>
        <v>10</v>
      </c>
      <c r="N44">
        <f>VLOOKUP(A44,[76]WRDS!$A$1:$O$100,11,FALSE)</f>
        <v>1.72</v>
      </c>
    </row>
    <row r="45" spans="1:14" x14ac:dyDescent="0.3">
      <c r="A45" t="s">
        <v>132</v>
      </c>
      <c r="B45" t="str">
        <f>VLOOKUP(A45,'[5]Ticker List'!$H$4:$I$20,2,FALSE)</f>
        <v>EGAS</v>
      </c>
      <c r="C45" t="str">
        <f>VLOOKUP(A45,'[77]6trjr1hm9rgpjwwm'!$B$1:$N$15,2,FALSE)</f>
        <v>ATMOS ENERGY CP</v>
      </c>
      <c r="D45">
        <f>VLOOKUP(A45,'[77]6trjr1hm9rgpjwwm'!$B$1:$N$15,12,FALSE)</f>
        <v>1.47</v>
      </c>
      <c r="E45">
        <f>VLOOKUP(A45,'[61]6wxlfk1a50ogq37v'!$B$1:$N$15,12,FALSE)</f>
        <v>1.72</v>
      </c>
      <c r="F45" s="1">
        <f t="shared" si="3"/>
        <v>1.8797667295995317</v>
      </c>
      <c r="G45" s="1">
        <f t="shared" si="4"/>
        <v>1.9268701346999999</v>
      </c>
      <c r="H45" s="2">
        <f t="shared" si="0"/>
        <v>4.0046550771397182E-2</v>
      </c>
      <c r="I45" s="2">
        <f>VLOOKUP(A45,'[78]7ruuxlvjovaiukxs'!$B$1:$N$15,9,FALSE)/100</f>
        <v>6.3399999999999998E-2</v>
      </c>
      <c r="J45" s="2">
        <f>VLOOKUP(A45,'[78]7ruuxlvjovaiukxs'!$B$1:$N$15,8,FALSE)/100</f>
        <v>7.0000000000000007E-2</v>
      </c>
      <c r="K45" s="2">
        <f t="shared" si="1"/>
        <v>0.58315756984700828</v>
      </c>
      <c r="L45" s="2">
        <f t="shared" si="2"/>
        <v>0.74796577112445728</v>
      </c>
      <c r="M45">
        <f>VLOOKUP(A45,'[78]7ruuxlvjovaiukxs'!$B$1:$N$15,7,FALSE)</f>
        <v>5</v>
      </c>
      <c r="N45">
        <f>VLOOKUP(A45,'[78]7ruuxlvjovaiukxs'!$B$1:$N$15,10,FALSE)</f>
        <v>1.54</v>
      </c>
    </row>
    <row r="46" spans="1:14" x14ac:dyDescent="0.3">
      <c r="A46" t="s">
        <v>133</v>
      </c>
      <c r="B46" t="str">
        <f>VLOOKUP(A46,'[5]Ticker List'!$H$4:$I$20,2,FALSE)</f>
        <v>CHPK</v>
      </c>
      <c r="C46" t="str">
        <f>VLOOKUP(A46,'[77]6trjr1hm9rgpjwwm'!$B$1:$N$15,2,FALSE)</f>
        <v>CHESAPEAKE UTIL</v>
      </c>
      <c r="D46">
        <f>VLOOKUP(A46,'[77]6trjr1hm9rgpjwwm'!$B$1:$N$15,12,FALSE)</f>
        <v>0.92</v>
      </c>
      <c r="E46">
        <f>VLOOKUP(A46,'[61]6wxlfk1a50ogq37v'!$B$1:$N$15,12,FALSE)</f>
        <v>1.08</v>
      </c>
      <c r="F46" s="1">
        <f t="shared" si="3"/>
        <v>1.1614788032000003</v>
      </c>
      <c r="G46" s="1">
        <f t="shared" si="4"/>
        <v>1.1614788032000003</v>
      </c>
      <c r="H46" s="2">
        <f t="shared" si="0"/>
        <v>4.0899936483772992E-2</v>
      </c>
      <c r="I46" s="2">
        <f>VLOOKUP(A46,'[78]7ruuxlvjovaiukxs'!$B$1:$N$15,9,FALSE)/100</f>
        <v>0.06</v>
      </c>
      <c r="J46" s="2">
        <f>VLOOKUP(A46,'[78]7ruuxlvjovaiukxs'!$B$1:$N$15,8,FALSE)/100</f>
        <v>0.06</v>
      </c>
      <c r="K46" s="2">
        <f t="shared" si="1"/>
        <v>0.46699494322698853</v>
      </c>
      <c r="L46" s="2">
        <f t="shared" si="2"/>
        <v>0.46699494322698853</v>
      </c>
      <c r="M46">
        <f>VLOOKUP(A46,'[78]7ruuxlvjovaiukxs'!$B$1:$N$15,7,FALSE)</f>
        <v>1</v>
      </c>
      <c r="N46">
        <f>VLOOKUP(A46,'[78]7ruuxlvjovaiukxs'!$B$1:$N$15,10,FALSE)</f>
        <v>0</v>
      </c>
    </row>
    <row r="47" spans="1:14" x14ac:dyDescent="0.3">
      <c r="A47" t="s">
        <v>134</v>
      </c>
      <c r="B47" t="str">
        <f>VLOOKUP(A47,'[5]Ticker List'!$H$4:$I$20,2,FALSE)</f>
        <v>NJR</v>
      </c>
      <c r="C47" t="str">
        <f>VLOOKUP(A47,'[77]6trjr1hm9rgpjwwm'!$B$1:$N$15,2,FALSE)</f>
        <v>NEW JERSEY RES</v>
      </c>
      <c r="D47">
        <f>VLOOKUP(A47,'[77]6trjr1hm9rgpjwwm'!$B$1:$N$15,12,FALSE)</f>
        <v>0.65110000000000001</v>
      </c>
      <c r="E47">
        <f>VLOOKUP(A47,'[61]6wxlfk1a50ogq37v'!$B$1:$N$15,12,FALSE)</f>
        <v>0.88329999999999997</v>
      </c>
      <c r="F47" s="1">
        <f t="shared" si="3"/>
        <v>0.83761824089193726</v>
      </c>
      <c r="G47" s="1">
        <f t="shared" si="4"/>
        <v>0.83761824089193726</v>
      </c>
      <c r="H47" s="2">
        <f t="shared" si="0"/>
        <v>7.9232794651209248E-2</v>
      </c>
      <c r="I47" s="2">
        <f>VLOOKUP(A47,'[78]7ruuxlvjovaiukxs'!$B$1:$N$15,9,FALSE)/100</f>
        <v>6.5000000000000002E-2</v>
      </c>
      <c r="J47" s="2">
        <f>VLOOKUP(A47,'[78]7ruuxlvjovaiukxs'!$B$1:$N$15,8,FALSE)/100</f>
        <v>6.5000000000000002E-2</v>
      </c>
      <c r="K47" s="2">
        <f t="shared" si="1"/>
        <v>-0.17963262199526653</v>
      </c>
      <c r="L47" s="2">
        <f t="shared" si="2"/>
        <v>-0.17963262199526653</v>
      </c>
      <c r="M47">
        <f>VLOOKUP(A47,'[78]7ruuxlvjovaiukxs'!$B$1:$N$15,7,FALSE)</f>
        <v>3</v>
      </c>
      <c r="N47">
        <f>VLOOKUP(A47,'[78]7ruuxlvjovaiukxs'!$B$1:$N$15,10,FALSE)</f>
        <v>0.5</v>
      </c>
    </row>
    <row r="48" spans="1:14" x14ac:dyDescent="0.3">
      <c r="A48" t="s">
        <v>135</v>
      </c>
      <c r="B48" t="str">
        <f>VLOOKUP(A48,'[5]Ticker List'!$H$4:$I$20,2,FALSE)</f>
        <v>NI</v>
      </c>
      <c r="C48" t="str">
        <f>VLOOKUP(A48,'[77]6trjr1hm9rgpjwwm'!$B$1:$N$15,2,FALSE)</f>
        <v>NISOURCE INC</v>
      </c>
      <c r="D48">
        <f>VLOOKUP(A48,'[77]6trjr1hm9rgpjwwm'!$B$1:$N$15,12,FALSE)</f>
        <v>1.88</v>
      </c>
      <c r="E48">
        <f>VLOOKUP(A48,'[61]6wxlfk1a50ogq37v'!$B$1:$N$15,12,FALSE)</f>
        <v>1.61</v>
      </c>
      <c r="F48" s="1">
        <f t="shared" si="3"/>
        <v>2.7126893718732812</v>
      </c>
      <c r="G48" s="1">
        <f t="shared" si="4"/>
        <v>2.7525080000000006</v>
      </c>
      <c r="H48" s="2">
        <f t="shared" si="0"/>
        <v>-3.8017865275543405E-2</v>
      </c>
      <c r="I48" s="2">
        <f>VLOOKUP(A48,'[78]7ruuxlvjovaiukxs'!$B$1:$N$15,9,FALSE)/100</f>
        <v>9.6000000000000002E-2</v>
      </c>
      <c r="J48" s="2">
        <f>VLOOKUP(A48,'[78]7ruuxlvjovaiukxs'!$B$1:$N$15,8,FALSE)/100</f>
        <v>0.1</v>
      </c>
      <c r="K48" s="2">
        <f t="shared" si="1"/>
        <v>3.5251286284544769</v>
      </c>
      <c r="L48" s="2">
        <f t="shared" si="2"/>
        <v>3.6303423213067467</v>
      </c>
      <c r="M48">
        <f>VLOOKUP(A48,'[78]7ruuxlvjovaiukxs'!$B$1:$N$15,7,FALSE)</f>
        <v>7</v>
      </c>
      <c r="N48">
        <f>VLOOKUP(A48,'[78]7ruuxlvjovaiukxs'!$B$1:$N$15,10,FALSE)</f>
        <v>2.74</v>
      </c>
    </row>
    <row r="49" spans="1:14" x14ac:dyDescent="0.3">
      <c r="A49" t="s">
        <v>136</v>
      </c>
      <c r="B49" t="str">
        <f>VLOOKUP(A49,'[5]Ticker List'!$H$4:$I$20,2,FALSE)</f>
        <v>NWNG</v>
      </c>
      <c r="C49" t="str">
        <f>VLOOKUP(A49,'[77]6trjr1hm9rgpjwwm'!$B$1:$N$15,2,FALSE)</f>
        <v>NW NATURAL GAS</v>
      </c>
      <c r="D49">
        <f>VLOOKUP(A49,'[77]6trjr1hm9rgpjwwm'!$B$1:$N$15,12,FALSE)</f>
        <v>1.77</v>
      </c>
      <c r="E49">
        <f>VLOOKUP(A49,'[61]6wxlfk1a50ogq37v'!$B$1:$N$15,12,FALSE)</f>
        <v>1.88</v>
      </c>
      <c r="F49" s="1">
        <f t="shared" si="3"/>
        <v>2.1043017766624117</v>
      </c>
      <c r="G49" s="1">
        <f t="shared" si="4"/>
        <v>2.1514460625000003</v>
      </c>
      <c r="H49" s="2">
        <f t="shared" si="0"/>
        <v>1.5187229012536996E-2</v>
      </c>
      <c r="I49" s="2">
        <f>VLOOKUP(A49,'[78]7ruuxlvjovaiukxs'!$B$1:$N$15,9,FALSE)/100</f>
        <v>4.4199999999999996E-2</v>
      </c>
      <c r="J49" s="2">
        <f>VLOOKUP(A49,'[78]7ruuxlvjovaiukxs'!$B$1:$N$15,8,FALSE)/100</f>
        <v>0.05</v>
      </c>
      <c r="K49" s="2">
        <f t="shared" si="1"/>
        <v>1.9103399944461941</v>
      </c>
      <c r="L49" s="2">
        <f t="shared" si="2"/>
        <v>2.2922398127219394</v>
      </c>
      <c r="M49">
        <f>VLOOKUP(A49,'[78]7ruuxlvjovaiukxs'!$B$1:$N$15,7,FALSE)</f>
        <v>5</v>
      </c>
      <c r="N49">
        <f>VLOOKUP(A49,'[78]7ruuxlvjovaiukxs'!$B$1:$N$15,10,FALSE)</f>
        <v>0.91</v>
      </c>
    </row>
    <row r="50" spans="1:14" x14ac:dyDescent="0.3">
      <c r="A50" t="s">
        <v>138</v>
      </c>
      <c r="B50" t="str">
        <f>VLOOKUP(A50,'[5]Ticker List'!$H$4:$I$20,2,FALSE)</f>
        <v>SJI</v>
      </c>
      <c r="C50" t="str">
        <f>VLOOKUP(A50,'[77]6trjr1hm9rgpjwwm'!$B$1:$N$15,2,FALSE)</f>
        <v>SO JERSEY INDS</v>
      </c>
      <c r="D50">
        <f>VLOOKUP(A50,'[77]6trjr1hm9rgpjwwm'!$B$1:$N$15,12,FALSE)</f>
        <v>0.54</v>
      </c>
      <c r="E50">
        <f>VLOOKUP(A50,'[61]6wxlfk1a50ogq37v'!$B$1:$N$15,12,FALSE)</f>
        <v>0.755</v>
      </c>
      <c r="F50" s="1">
        <f t="shared" si="3"/>
        <v>0.66264691108359375</v>
      </c>
      <c r="G50" s="1">
        <f t="shared" si="4"/>
        <v>0.65637337500000004</v>
      </c>
      <c r="H50" s="2">
        <f t="shared" si="0"/>
        <v>8.7397419269023002E-2</v>
      </c>
      <c r="I50" s="2">
        <f>VLOOKUP(A50,'[78]7ruuxlvjovaiukxs'!$B$1:$N$15,9,FALSE)/100</f>
        <v>5.2499999999999998E-2</v>
      </c>
      <c r="J50" s="2">
        <f>VLOOKUP(A50,'[78]7ruuxlvjovaiukxs'!$B$1:$N$15,8,FALSE)/100</f>
        <v>0.05</v>
      </c>
      <c r="K50" s="2">
        <f t="shared" si="1"/>
        <v>-0.39929576366097563</v>
      </c>
      <c r="L50" s="2">
        <f t="shared" si="2"/>
        <v>-0.42790072729616718</v>
      </c>
      <c r="M50">
        <f>VLOOKUP(A50,'[78]7ruuxlvjovaiukxs'!$B$1:$N$15,7,FALSE)</f>
        <v>4</v>
      </c>
      <c r="N50">
        <f>VLOOKUP(A50,'[78]7ruuxlvjovaiukxs'!$B$1:$N$15,10,FALSE)</f>
        <v>0.5</v>
      </c>
    </row>
    <row r="51" spans="1:14" x14ac:dyDescent="0.3">
      <c r="A51" t="s">
        <v>139</v>
      </c>
      <c r="B51" t="str">
        <f>VLOOKUP(A51,'[5]Ticker List'!$H$4:$I$20,2,FALSE)</f>
        <v>SWX</v>
      </c>
      <c r="C51" t="str">
        <f>VLOOKUP(A51,'[77]6trjr1hm9rgpjwwm'!$B$1:$N$15,2,FALSE)</f>
        <v>SOUTHWEST GAS</v>
      </c>
      <c r="D51">
        <f>VLOOKUP(A51,'[77]6trjr1hm9rgpjwwm'!$B$1:$N$15,12,FALSE)</f>
        <v>1.2</v>
      </c>
      <c r="E51">
        <f>VLOOKUP(A51,'[61]6wxlfk1a50ogq37v'!$B$1:$N$15,12,FALSE)</f>
        <v>1.59</v>
      </c>
      <c r="F51" s="1">
        <f t="shared" si="3"/>
        <v>1.4447655337968757</v>
      </c>
      <c r="G51" s="1">
        <f t="shared" si="4"/>
        <v>1.4310223207499992</v>
      </c>
      <c r="H51" s="2">
        <f t="shared" si="0"/>
        <v>7.2886966703451961E-2</v>
      </c>
      <c r="I51" s="2">
        <f>VLOOKUP(A51,'[78]7ruuxlvjovaiukxs'!$B$1:$N$15,9,FALSE)/100</f>
        <v>4.7500000000000001E-2</v>
      </c>
      <c r="J51" s="2">
        <f>VLOOKUP(A51,'[78]7ruuxlvjovaiukxs'!$B$1:$N$15,8,FALSE)/100</f>
        <v>4.4999999999999998E-2</v>
      </c>
      <c r="K51" s="2">
        <f t="shared" si="1"/>
        <v>-0.34830598461781814</v>
      </c>
      <c r="L51" s="2">
        <f t="shared" si="2"/>
        <v>-0.38260566963793297</v>
      </c>
      <c r="M51">
        <f>VLOOKUP(A51,'[78]7ruuxlvjovaiukxs'!$B$1:$N$15,7,FALSE)</f>
        <v>4</v>
      </c>
      <c r="N51">
        <f>VLOOKUP(A51,'[78]7ruuxlvjovaiukxs'!$B$1:$N$15,10,FALSE)</f>
        <v>0.96</v>
      </c>
    </row>
    <row r="52" spans="1:14" x14ac:dyDescent="0.3">
      <c r="A52" t="s">
        <v>148</v>
      </c>
      <c r="B52" t="str">
        <f>VLOOKUP(A52,'[5]Ticker List'!$H$4:$I$20,2,FALSE)</f>
        <v>AGLT</v>
      </c>
      <c r="C52" t="str">
        <f>VLOOKUP(A52,'[77]6trjr1hm9rgpjwwm'!$B$1:$N$15,2,FALSE)</f>
        <v>AGL RESOURCES</v>
      </c>
      <c r="D52">
        <f>VLOOKUP(A52,'[77]6trjr1hm9rgpjwwm'!$B$1:$N$15,12,FALSE)</f>
        <v>1.5</v>
      </c>
      <c r="E52">
        <f>VLOOKUP(A52,'[61]6wxlfk1a50ogq37v'!$B$1:$N$15,12,FALSE)</f>
        <v>2.2799999999999998</v>
      </c>
      <c r="F52" s="1">
        <f t="shared" si="3"/>
        <v>1.8901449193050941</v>
      </c>
      <c r="G52" s="1">
        <f t="shared" si="4"/>
        <v>1.8441860977214997</v>
      </c>
      <c r="H52" s="2">
        <f t="shared" si="0"/>
        <v>0.11035255689073598</v>
      </c>
      <c r="I52" s="2">
        <f>VLOOKUP(A52,'[78]7ruuxlvjovaiukxs'!$B$1:$N$15,9,FALSE)/100</f>
        <v>5.9500000000000004E-2</v>
      </c>
      <c r="J52" s="2">
        <f>VLOOKUP(A52,'[78]7ruuxlvjovaiukxs'!$B$1:$N$15,8,FALSE)/100</f>
        <v>5.2999999999999999E-2</v>
      </c>
      <c r="K52" s="2">
        <f t="shared" si="1"/>
        <v>-0.46081901791443686</v>
      </c>
      <c r="L52" s="2">
        <f t="shared" si="2"/>
        <v>-0.51972114200781772</v>
      </c>
      <c r="M52">
        <f>VLOOKUP(A52,'[78]7ruuxlvjovaiukxs'!$B$1:$N$15,7,FALSE)</f>
        <v>8</v>
      </c>
      <c r="N52">
        <f>VLOOKUP(A52,'[78]7ruuxlvjovaiukxs'!$B$1:$N$15,10,FALSE)</f>
        <v>1.42</v>
      </c>
    </row>
    <row r="53" spans="1:14" x14ac:dyDescent="0.3">
      <c r="A53" t="s">
        <v>143</v>
      </c>
      <c r="B53" t="str">
        <f>VLOOKUP(A53,'[5]Ticker List'!$H$4:$I$20,2,FALSE)</f>
        <v>LG</v>
      </c>
      <c r="C53" t="str">
        <f>VLOOKUP(A53,'[77]6trjr1hm9rgpjwwm'!$B$1:$N$15,2,FALSE)</f>
        <v>LACLEDE GAS</v>
      </c>
      <c r="D53">
        <f>VLOOKUP(A53,'[77]6trjr1hm9rgpjwwm'!$B$1:$N$15,12,FALSE)</f>
        <v>1.61</v>
      </c>
      <c r="E53">
        <f>VLOOKUP(A53,'[61]6wxlfk1a50ogq37v'!$B$1:$N$15,12,FALSE)</f>
        <v>1.9</v>
      </c>
      <c r="F53" s="1">
        <f t="shared" si="3"/>
        <v>1.8596802128791219</v>
      </c>
      <c r="G53" s="1">
        <f t="shared" si="4"/>
        <v>1.8834722816000005</v>
      </c>
      <c r="H53" s="2">
        <f t="shared" si="0"/>
        <v>4.2274064803945466E-2</v>
      </c>
      <c r="I53" s="2">
        <f>VLOOKUP(A53,'[78]7ruuxlvjovaiukxs'!$B$1:$N$15,9,FALSE)/100</f>
        <v>3.6699999999999997E-2</v>
      </c>
      <c r="J53" s="2">
        <f>VLOOKUP(A53,'[78]7ruuxlvjovaiukxs'!$B$1:$N$15,8,FALSE)/100</f>
        <v>0.04</v>
      </c>
      <c r="K53" s="2">
        <f t="shared" si="1"/>
        <v>-0.13185542553800594</v>
      </c>
      <c r="L53" s="2">
        <f t="shared" si="2"/>
        <v>-5.3793379332976399E-2</v>
      </c>
      <c r="M53">
        <f>VLOOKUP(A53,'[78]7ruuxlvjovaiukxs'!$B$1:$N$15,7,FALSE)</f>
        <v>3</v>
      </c>
      <c r="N53">
        <f>VLOOKUP(A53,'[78]7ruuxlvjovaiukxs'!$B$1:$N$15,10,FALSE)</f>
        <v>0.57999999999999996</v>
      </c>
    </row>
    <row r="54" spans="1:14" x14ac:dyDescent="0.3">
      <c r="A54" t="s">
        <v>144</v>
      </c>
      <c r="B54" t="str">
        <f>VLOOKUP(A54,'[5]Ticker List'!$H$4:$I$20,2,FALSE)</f>
        <v>GAS</v>
      </c>
      <c r="C54" t="str">
        <f>VLOOKUP(A54,'[77]6trjr1hm9rgpjwwm'!$B$1:$N$15,2,FALSE)</f>
        <v>NICOR INC</v>
      </c>
      <c r="D54">
        <f>VLOOKUP(A54,'[77]6trjr1hm9rgpjwwm'!$B$1:$N$15,12,FALSE)</f>
        <v>2.94</v>
      </c>
      <c r="E54">
        <f>VLOOKUP(A54,'[61]6wxlfk1a50ogq37v'!$B$1:$N$15,12,FALSE)</f>
        <v>2.15</v>
      </c>
      <c r="F54" s="1">
        <f t="shared" si="3"/>
        <v>3.7299240387170789</v>
      </c>
      <c r="G54" s="1">
        <f t="shared" si="4"/>
        <v>3.711682262400001</v>
      </c>
      <c r="H54" s="2">
        <f t="shared" si="0"/>
        <v>-7.5253316640611523E-2</v>
      </c>
      <c r="I54" s="2">
        <f>VLOOKUP(A54,'[78]7ruuxlvjovaiukxs'!$B$1:$N$15,9,FALSE)/100</f>
        <v>6.13E-2</v>
      </c>
      <c r="J54" s="2">
        <f>VLOOKUP(A54,'[78]7ruuxlvjovaiukxs'!$B$1:$N$15,8,FALSE)/100</f>
        <v>0.06</v>
      </c>
      <c r="K54" s="2">
        <f t="shared" si="1"/>
        <v>1.8145820375300055</v>
      </c>
      <c r="L54" s="2">
        <f t="shared" si="2"/>
        <v>1.7973070514159923</v>
      </c>
      <c r="M54">
        <f>VLOOKUP(A54,'[78]7ruuxlvjovaiukxs'!$B$1:$N$15,7,FALSE)</f>
        <v>7</v>
      </c>
      <c r="N54">
        <f>VLOOKUP(A54,'[78]7ruuxlvjovaiukxs'!$B$1:$N$15,10,FALSE)</f>
        <v>1.34</v>
      </c>
    </row>
    <row r="55" spans="1:14" x14ac:dyDescent="0.3">
      <c r="A55" t="s">
        <v>146</v>
      </c>
      <c r="B55" t="str">
        <f>VLOOKUP(A55,'[5]Ticker List'!$H$4:$I$20,2,FALSE)</f>
        <v>PNY</v>
      </c>
      <c r="C55" t="str">
        <f>VLOOKUP(A55,'[77]6trjr1hm9rgpjwwm'!$B$1:$N$15,2,FALSE)</f>
        <v>PIEDMONT NAT GAS</v>
      </c>
      <c r="D55">
        <f>VLOOKUP(A55,'[77]6trjr1hm9rgpjwwm'!$B$1:$N$15,12,FALSE)</f>
        <v>1.01</v>
      </c>
      <c r="E55">
        <f>VLOOKUP(A55,'[61]6wxlfk1a50ogq37v'!$B$1:$N$15,12,FALSE)</f>
        <v>1.32</v>
      </c>
      <c r="F55" s="1">
        <f t="shared" si="3"/>
        <v>1.2592971006954092</v>
      </c>
      <c r="G55" s="1">
        <f t="shared" si="4"/>
        <v>1.2512128971312497</v>
      </c>
      <c r="H55" s="2">
        <f t="shared" si="0"/>
        <v>6.9210313717227301E-2</v>
      </c>
      <c r="I55" s="2">
        <f>VLOOKUP(A55,'[78]7ruuxlvjovaiukxs'!$B$1:$N$15,9,FALSE)/100</f>
        <v>5.67E-2</v>
      </c>
      <c r="J55" s="2">
        <f>VLOOKUP(A55,'[78]7ruuxlvjovaiukxs'!$B$1:$N$15,8,FALSE)/100</f>
        <v>5.5E-2</v>
      </c>
      <c r="K55" s="2">
        <f t="shared" si="1"/>
        <v>-0.18075793975361404</v>
      </c>
      <c r="L55" s="2">
        <f t="shared" si="2"/>
        <v>-0.20532075284742105</v>
      </c>
      <c r="M55">
        <f>VLOOKUP(A55,'[78]7ruuxlvjovaiukxs'!$B$1:$N$15,7,FALSE)</f>
        <v>6</v>
      </c>
      <c r="N55">
        <f>VLOOKUP(A55,'[78]7ruuxlvjovaiukxs'!$B$1:$N$15,10,FALSE)</f>
        <v>0.82</v>
      </c>
    </row>
    <row r="56" spans="1:14" x14ac:dyDescent="0.3">
      <c r="A56" t="s">
        <v>145</v>
      </c>
      <c r="B56" t="str">
        <f>VLOOKUP(A56,'[5]Ticker List'!$H$4:$I$20,2,FALSE)</f>
        <v>WGL</v>
      </c>
      <c r="C56" t="str">
        <f>VLOOKUP(A56,'[77]6trjr1hm9rgpjwwm'!$B$1:$N$15,2,FALSE)</f>
        <v>WGL HOLDING INC</v>
      </c>
      <c r="D56">
        <f>VLOOKUP(A56,'[77]6trjr1hm9rgpjwwm'!$B$1:$N$15,12,FALSE)</f>
        <v>2.02</v>
      </c>
      <c r="E56">
        <f>VLOOKUP(A56,'[61]6wxlfk1a50ogq37v'!$B$1:$N$15,12,FALSE)</f>
        <v>1.99</v>
      </c>
      <c r="F56" s="1">
        <f t="shared" si="3"/>
        <v>2.4088875732624988</v>
      </c>
      <c r="G56" s="1">
        <f t="shared" si="4"/>
        <v>2.4320219818914075</v>
      </c>
      <c r="H56" s="2">
        <f t="shared" si="0"/>
        <v>-3.7337303987761139E-3</v>
      </c>
      <c r="I56" s="2">
        <f>VLOOKUP(A56,'[78]7ruuxlvjovaiukxs'!$B$1:$N$15,9,FALSE)/100</f>
        <v>4.4999999999999998E-2</v>
      </c>
      <c r="J56" s="2">
        <f>VLOOKUP(A56,'[78]7ruuxlvjovaiukxs'!$B$1:$N$15,8,FALSE)/100</f>
        <v>4.7500000000000001E-2</v>
      </c>
      <c r="K56" s="2">
        <f t="shared" si="1"/>
        <v>13.052289585437295</v>
      </c>
      <c r="L56" s="2">
        <f t="shared" si="2"/>
        <v>13.721861229072701</v>
      </c>
      <c r="M56">
        <f>VLOOKUP(A56,'[78]7ruuxlvjovaiukxs'!$B$1:$N$15,7,FALSE)</f>
        <v>6</v>
      </c>
      <c r="N56">
        <f>VLOOKUP(A56,'[78]7ruuxlvjovaiukxs'!$B$1:$N$15,10,FALSE)</f>
        <v>1.48</v>
      </c>
    </row>
    <row r="57" spans="1:14" x14ac:dyDescent="0.3">
      <c r="A57" t="s">
        <v>150</v>
      </c>
      <c r="B57" t="str">
        <f>VLOOKUP(A57,'[5]Ticker List'!$H$4:$I$20,2,FALSE)</f>
        <v>MN</v>
      </c>
      <c r="C57" t="str">
        <f>VLOOKUP(A57,'[77]6trjr1hm9rgpjwwm'!$B$1:$N$15,2,FALSE)</f>
        <v>KEYSPAN CP</v>
      </c>
      <c r="D57">
        <f>VLOOKUP(A57,'[77]6trjr1hm9rgpjwwm'!$B$1:$N$15,12,FALSE)</f>
        <v>2.41</v>
      </c>
      <c r="E57">
        <f>VLOOKUP(A57,'[61]6wxlfk1a50ogq37v'!$B$1:$N$15,12,FALSE)</f>
        <v>2.69</v>
      </c>
      <c r="F57" s="1">
        <f t="shared" si="3"/>
        <v>3.4825162376005641</v>
      </c>
      <c r="G57" s="1">
        <f t="shared" si="4"/>
        <v>3.5284810000000011</v>
      </c>
      <c r="H57" s="2">
        <f t="shared" si="0"/>
        <v>2.7859630525008061E-2</v>
      </c>
      <c r="I57" s="2">
        <f>VLOOKUP(A57,'[78]7ruuxlvjovaiukxs'!$B$1:$N$15,9,FALSE)/100</f>
        <v>9.64E-2</v>
      </c>
      <c r="J57" s="2">
        <f>VLOOKUP(A57,'[78]7ruuxlvjovaiukxs'!$B$1:$N$15,8,FALSE)/100</f>
        <v>0.1</v>
      </c>
      <c r="K57" s="2">
        <f t="shared" si="1"/>
        <v>2.4602038212052744</v>
      </c>
      <c r="L57" s="2">
        <f t="shared" si="2"/>
        <v>2.5894230510428162</v>
      </c>
      <c r="M57">
        <f>VLOOKUP(A57,'[78]7ruuxlvjovaiukxs'!$B$1:$N$15,7,FALSE)</f>
        <v>8</v>
      </c>
      <c r="N57">
        <f>VLOOKUP(A57,'[78]7ruuxlvjovaiukxs'!$B$1:$N$15,10,FALSE)</f>
        <v>1.53</v>
      </c>
    </row>
  </sheetData>
  <mergeCells count="3">
    <mergeCell ref="P1:Q1"/>
    <mergeCell ref="P7:Q7"/>
    <mergeCell ref="P13:Q13"/>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5016A-D3F5-4A2A-84CA-980BF3413F50}">
  <dimension ref="A1:Q53"/>
  <sheetViews>
    <sheetView topLeftCell="A16" workbookViewId="0">
      <selection activeCell="A53" sqref="A53"/>
    </sheetView>
  </sheetViews>
  <sheetFormatPr defaultRowHeight="14.4" x14ac:dyDescent="0.3"/>
  <cols>
    <col min="1" max="1" width="13.33203125" bestFit="1" customWidth="1"/>
    <col min="2" max="2" width="10.44140625" bestFit="1" customWidth="1"/>
    <col min="3" max="3" width="15.109375" bestFit="1" customWidth="1"/>
    <col min="4" max="5" width="15.44140625" bestFit="1" customWidth="1"/>
    <col min="6" max="6" width="14.33203125" bestFit="1" customWidth="1"/>
    <col min="7" max="7" width="16" bestFit="1" customWidth="1"/>
    <col min="8" max="8" width="18.33203125" bestFit="1" customWidth="1"/>
    <col min="9" max="9" width="21.44140625" bestFit="1" customWidth="1"/>
    <col min="10" max="10" width="23.109375" bestFit="1" customWidth="1"/>
    <col min="11" max="11" width="22" bestFit="1" customWidth="1"/>
    <col min="12" max="12" width="24.109375" bestFit="1" customWidth="1"/>
    <col min="13" max="13" width="19.88671875" bestFit="1" customWidth="1"/>
    <col min="14" max="14" width="8.33203125" bestFit="1" customWidth="1"/>
    <col min="16" max="16" width="51.88671875" bestFit="1" customWidth="1"/>
    <col min="17" max="17" width="12" bestFit="1" customWidth="1"/>
  </cols>
  <sheetData>
    <row r="1" spans="1:17" x14ac:dyDescent="0.3">
      <c r="A1" t="s">
        <v>0</v>
      </c>
      <c r="B1" t="s">
        <v>1</v>
      </c>
      <c r="C1" t="s">
        <v>2</v>
      </c>
      <c r="D1" t="s">
        <v>98</v>
      </c>
      <c r="E1" t="s">
        <v>92</v>
      </c>
      <c r="F1" t="s">
        <v>5</v>
      </c>
      <c r="G1" t="s">
        <v>6</v>
      </c>
      <c r="H1" t="s">
        <v>7</v>
      </c>
      <c r="I1" t="s">
        <v>8</v>
      </c>
      <c r="J1" t="s">
        <v>9</v>
      </c>
      <c r="K1" t="s">
        <v>10</v>
      </c>
      <c r="L1" t="s">
        <v>11</v>
      </c>
      <c r="M1" t="s">
        <v>12</v>
      </c>
      <c r="N1" t="s">
        <v>13</v>
      </c>
      <c r="P1" s="111" t="s">
        <v>14</v>
      </c>
      <c r="Q1" s="111"/>
    </row>
    <row r="2" spans="1:17" x14ac:dyDescent="0.3">
      <c r="A2" t="s">
        <v>15</v>
      </c>
      <c r="B2" t="str">
        <f>VLOOKUP(A2,[79]WRDS!$A$1:$N$100,2,FALSE)</f>
        <v>UEP</v>
      </c>
      <c r="C2" t="str">
        <f>VLOOKUP(A2,[79]WRDS!$A$1:$N$100,3,FALSE)</f>
        <v>AMEREN CP</v>
      </c>
      <c r="D2">
        <f>VLOOKUP(A2,[79]WRDS!$A$1:$N$100,13,FALSE)</f>
        <v>2.91</v>
      </c>
      <c r="E2">
        <f>VLOOKUP(A2,[63]WRDS!$A$1:$N$100,13,FALSE)</f>
        <v>2.95</v>
      </c>
      <c r="F2" s="1">
        <f>D2*(1+I2)^4</f>
        <v>3.2625298061477097</v>
      </c>
      <c r="G2" s="1">
        <f>D2*(1+J2)^4</f>
        <v>3.2752306371</v>
      </c>
      <c r="H2" s="2">
        <f t="shared" ref="H2:H53" si="0">((E2/D2)^(1/4)-1)</f>
        <v>3.418853284546941E-3</v>
      </c>
      <c r="I2" s="2">
        <f>VLOOKUP(A2,[80]WRDS!$A$1:$O$100,10,FALSE)/100</f>
        <v>2.8999999999999998E-2</v>
      </c>
      <c r="J2" s="2">
        <f>VLOOKUP(A2,[80]WRDS!$A$1:$O$100,9,FALSE)/100</f>
        <v>0.03</v>
      </c>
      <c r="K2" s="2">
        <f t="shared" ref="K2:K53" si="1">(I2-H2)/(ABS(H2))</f>
        <v>7.4823762783500127</v>
      </c>
      <c r="L2" s="2">
        <f t="shared" ref="L2:L53" si="2">(J2-H2)/(ABS(H2))</f>
        <v>7.7748720120862203</v>
      </c>
      <c r="M2">
        <f>VLOOKUP(A2,[80]WRDS!$A$1:$O$100,8,FALSE)</f>
        <v>10</v>
      </c>
      <c r="N2">
        <f>VLOOKUP(A2,[80]WRDS!$A$1:$O$100,11,FALSE)</f>
        <v>0.99</v>
      </c>
      <c r="P2" t="s">
        <v>16</v>
      </c>
      <c r="Q2" s="3">
        <f>AVERAGE(H2:H999)</f>
        <v>2.2647517178001439E-2</v>
      </c>
    </row>
    <row r="3" spans="1:17" x14ac:dyDescent="0.3">
      <c r="A3" t="s">
        <v>63</v>
      </c>
      <c r="B3" t="str">
        <f>VLOOKUP(A3,[79]WRDS!$A$1:$N$100,2,FALSE)</f>
        <v>WWP</v>
      </c>
      <c r="C3" t="str">
        <f>VLOOKUP(A3,[79]WRDS!$A$1:$N$100,3,FALSE)</f>
        <v>AVISTA CORP</v>
      </c>
      <c r="D3">
        <f>VLOOKUP(A3,[79]WRDS!$A$1:$N$100,13,FALSE)</f>
        <v>1.01</v>
      </c>
      <c r="E3">
        <f>VLOOKUP(A3,[63]WRDS!$A$1:$N$100,13,FALSE)</f>
        <v>1.02</v>
      </c>
      <c r="F3" s="1">
        <f t="shared" ref="F3:F53" si="3">D3*(1+I3)^4</f>
        <v>1.1616881006480235</v>
      </c>
      <c r="G3" s="1">
        <f t="shared" ref="G3:G53" si="4">D3*(1+J3)^4</f>
        <v>1.1367638980999999</v>
      </c>
      <c r="H3" s="2">
        <f t="shared" si="0"/>
        <v>2.466109969794017E-3</v>
      </c>
      <c r="I3" s="2">
        <f>VLOOKUP(A3,[80]WRDS!$A$1:$O$100,10,FALSE)/100</f>
        <v>3.56E-2</v>
      </c>
      <c r="J3" s="2">
        <f>VLOOKUP(A3,[80]WRDS!$A$1:$O$100,9,FALSE)/100</f>
        <v>0.03</v>
      </c>
      <c r="K3" s="2">
        <f t="shared" si="1"/>
        <v>13.435690393390489</v>
      </c>
      <c r="L3" s="2">
        <f t="shared" si="2"/>
        <v>11.164907634879626</v>
      </c>
      <c r="M3">
        <f>VLOOKUP(A3,[80]WRDS!$A$1:$O$100,8,FALSE)</f>
        <v>7</v>
      </c>
      <c r="N3">
        <f>VLOOKUP(A3,[80]WRDS!$A$1:$O$100,11,FALSE)</f>
        <v>0.76</v>
      </c>
      <c r="P3" t="s">
        <v>18</v>
      </c>
      <c r="Q3" s="3">
        <f>AVERAGE(I2:I999)</f>
        <v>5.6550000000000017E-2</v>
      </c>
    </row>
    <row r="4" spans="1:17" x14ac:dyDescent="0.3">
      <c r="A4" t="s">
        <v>19</v>
      </c>
      <c r="B4" t="str">
        <f>VLOOKUP(A4,[79]WRDS!$A$1:$N$100,2,FALSE)</f>
        <v>BHP</v>
      </c>
      <c r="C4" t="str">
        <f>VLOOKUP(A4,[79]WRDS!$A$1:$N$100,3,FALSE)</f>
        <v>BLACK HILLS CP</v>
      </c>
      <c r="D4">
        <f>VLOOKUP(A4,[79]WRDS!$A$1:$N$100,13,FALSE)</f>
        <v>1.83</v>
      </c>
      <c r="E4">
        <f>VLOOKUP(A4,[63]WRDS!$A$1:$N$100,13,FALSE)</f>
        <v>1.97</v>
      </c>
      <c r="F4" s="1">
        <f t="shared" si="3"/>
        <v>2.1408411648000003</v>
      </c>
      <c r="G4" s="1">
        <f t="shared" si="4"/>
        <v>2.1408411648000003</v>
      </c>
      <c r="H4" s="2">
        <f t="shared" si="0"/>
        <v>1.8600263314016097E-2</v>
      </c>
      <c r="I4" s="2">
        <f>VLOOKUP(A4,[80]WRDS!$A$1:$O$100,10,FALSE)/100</f>
        <v>0.04</v>
      </c>
      <c r="J4" s="2">
        <f>VLOOKUP(A4,[80]WRDS!$A$1:$O$100,9,FALSE)/100</f>
        <v>0.04</v>
      </c>
      <c r="K4" s="2">
        <f t="shared" si="1"/>
        <v>1.1505071903932824</v>
      </c>
      <c r="L4" s="2">
        <f t="shared" si="2"/>
        <v>1.1505071903932824</v>
      </c>
      <c r="M4">
        <f>VLOOKUP(A4,[80]WRDS!$A$1:$O$100,8,FALSE)</f>
        <v>1</v>
      </c>
      <c r="N4">
        <f>VLOOKUP(A4,[80]WRDS!$A$1:$O$100,11,FALSE)</f>
        <v>0</v>
      </c>
      <c r="P4" t="s">
        <v>20</v>
      </c>
      <c r="Q4" s="3">
        <f>(Q3-Q2)/ABS(Q2)</f>
        <v>1.4969624509184432</v>
      </c>
    </row>
    <row r="5" spans="1:17" x14ac:dyDescent="0.3">
      <c r="A5" t="s">
        <v>83</v>
      </c>
      <c r="B5" t="str">
        <f>VLOOKUP(A5,[79]WRDS!$A$1:$N$100,2,FALSE)</f>
        <v>BGE</v>
      </c>
      <c r="C5" t="str">
        <f>VLOOKUP(A5,[79]WRDS!$A$1:$N$100,3,FALSE)</f>
        <v>CONSTELLATION EN</v>
      </c>
      <c r="D5">
        <f>VLOOKUP(A5,[79]WRDS!$A$1:$N$100,13,FALSE)</f>
        <v>2.46</v>
      </c>
      <c r="E5">
        <f>VLOOKUP(A5,[63]WRDS!$A$1:$N$100,13,FALSE)</f>
        <v>2.76</v>
      </c>
      <c r="F5" s="1">
        <f t="shared" si="3"/>
        <v>3.0267636443129247</v>
      </c>
      <c r="G5" s="1">
        <f t="shared" si="4"/>
        <v>2.990145375</v>
      </c>
      <c r="H5" s="2">
        <f t="shared" si="0"/>
        <v>2.9185108634282253E-2</v>
      </c>
      <c r="I5" s="2">
        <f>VLOOKUP(A5,[80]WRDS!$A$1:$O$100,10,FALSE)/100</f>
        <v>5.3200000000000004E-2</v>
      </c>
      <c r="J5" s="2">
        <f>VLOOKUP(A5,[80]WRDS!$A$1:$O$100,9,FALSE)/100</f>
        <v>0.05</v>
      </c>
      <c r="K5" s="2">
        <f t="shared" si="1"/>
        <v>0.82284742080790774</v>
      </c>
      <c r="L5" s="2">
        <f t="shared" si="2"/>
        <v>0.71320246316532676</v>
      </c>
      <c r="M5">
        <f>VLOOKUP(A5,[80]WRDS!$A$1:$O$100,8,FALSE)</f>
        <v>11</v>
      </c>
      <c r="N5">
        <f>VLOOKUP(A5,[80]WRDS!$A$1:$O$100,11,FALSE)</f>
        <v>2.63</v>
      </c>
      <c r="P5" t="s">
        <v>22</v>
      </c>
      <c r="Q5" s="3">
        <f>AVERAGE(J2:J999)</f>
        <v>5.5442307692307687E-2</v>
      </c>
    </row>
    <row r="6" spans="1:17" x14ac:dyDescent="0.3">
      <c r="A6" t="s">
        <v>88</v>
      </c>
      <c r="B6" t="str">
        <f>VLOOKUP(A6,[79]WRDS!$A$1:$N$100,2,FALSE)</f>
        <v>CIN</v>
      </c>
      <c r="C6" t="str">
        <f>VLOOKUP(A6,[79]WRDS!$A$1:$N$100,3,FALSE)</f>
        <v>CINERGY CORP</v>
      </c>
      <c r="D6">
        <f>VLOOKUP(A6,[79]WRDS!$A$1:$N$100,13,FALSE)</f>
        <v>2.1</v>
      </c>
      <c r="E6">
        <f>VLOOKUP(A6,[63]WRDS!$A$1:$N$100,13,FALSE)</f>
        <v>2.54</v>
      </c>
      <c r="F6" s="1">
        <f t="shared" si="3"/>
        <v>2.4567029760000008</v>
      </c>
      <c r="G6" s="1">
        <f t="shared" si="4"/>
        <v>2.4567029760000008</v>
      </c>
      <c r="H6" s="2">
        <f t="shared" si="0"/>
        <v>4.8705644346204169E-2</v>
      </c>
      <c r="I6" s="2">
        <f>VLOOKUP(A6,[80]WRDS!$A$1:$O$100,10,FALSE)/100</f>
        <v>0.04</v>
      </c>
      <c r="J6" s="2">
        <f>VLOOKUP(A6,[80]WRDS!$A$1:$O$100,9,FALSE)/100</f>
        <v>0.04</v>
      </c>
      <c r="K6" s="2">
        <f t="shared" si="1"/>
        <v>-0.17873994817363781</v>
      </c>
      <c r="L6" s="2">
        <f t="shared" si="2"/>
        <v>-0.17873994817363781</v>
      </c>
      <c r="M6">
        <f>VLOOKUP(A6,[80]WRDS!$A$1:$O$100,8,FALSE)</f>
        <v>15</v>
      </c>
      <c r="N6">
        <f>VLOOKUP(A6,[80]WRDS!$A$1:$O$100,11,FALSE)</f>
        <v>1.36</v>
      </c>
      <c r="P6" t="s">
        <v>24</v>
      </c>
      <c r="Q6" s="3">
        <f>(Q5-Q2)/ABS(Q2)</f>
        <v>1.4480523519002479</v>
      </c>
    </row>
    <row r="7" spans="1:17" x14ac:dyDescent="0.3">
      <c r="A7" t="s">
        <v>21</v>
      </c>
      <c r="B7" t="str">
        <f>VLOOKUP(A7,[79]WRDS!$A$1:$N$100,2,FALSE)</f>
        <v>CMS</v>
      </c>
      <c r="C7" t="str">
        <f>VLOOKUP(A7,[79]WRDS!$A$1:$N$100,3,FALSE)</f>
        <v>CMS ENERGY CORP</v>
      </c>
      <c r="D7">
        <f>VLOOKUP(A7,[79]WRDS!$A$1:$N$100,13,FALSE)</f>
        <v>2.88</v>
      </c>
      <c r="E7">
        <f>VLOOKUP(A7,[63]WRDS!$A$1:$N$100,13,FALSE)</f>
        <v>0.81</v>
      </c>
      <c r="F7" s="1">
        <f t="shared" si="3"/>
        <v>4.2058850569661939</v>
      </c>
      <c r="G7" s="1">
        <f t="shared" si="4"/>
        <v>4.2166080000000008</v>
      </c>
      <c r="H7" s="2">
        <f t="shared" si="0"/>
        <v>-0.27176234243901487</v>
      </c>
      <c r="I7" s="2">
        <f>VLOOKUP(A7,[80]WRDS!$A$1:$O$100,10,FALSE)/100</f>
        <v>9.9299999999999999E-2</v>
      </c>
      <c r="J7" s="2">
        <f>VLOOKUP(A7,[80]WRDS!$A$1:$O$100,9,FALSE)/100</f>
        <v>0.1</v>
      </c>
      <c r="K7" s="2">
        <f t="shared" si="1"/>
        <v>1.3653927880838881</v>
      </c>
      <c r="L7" s="2">
        <f t="shared" si="2"/>
        <v>1.3679685680603102</v>
      </c>
      <c r="M7">
        <f>VLOOKUP(A7,[80]WRDS!$A$1:$O$100,8,FALSE)</f>
        <v>15</v>
      </c>
      <c r="N7">
        <f>VLOOKUP(A7,[80]WRDS!$A$1:$O$100,11,FALSE)</f>
        <v>2.02</v>
      </c>
      <c r="P7" s="111" t="s">
        <v>26</v>
      </c>
      <c r="Q7" s="111"/>
    </row>
    <row r="8" spans="1:17" x14ac:dyDescent="0.3">
      <c r="A8" t="s">
        <v>71</v>
      </c>
      <c r="B8" t="str">
        <f>VLOOKUP(A8,[79]WRDS!$A$1:$N$100,2,FALSE)</f>
        <v>CNL</v>
      </c>
      <c r="C8" t="str">
        <f>VLOOKUP(A8,[79]WRDS!$A$1:$N$100,3,FALSE)</f>
        <v>CLECO CORP</v>
      </c>
      <c r="D8">
        <f>VLOOKUP(A8,[79]WRDS!$A$1:$N$100,13,FALSE)</f>
        <v>1.18</v>
      </c>
      <c r="E8">
        <f>VLOOKUP(A8,[63]WRDS!$A$1:$N$100,13,FALSE)</f>
        <v>1.1200000000000001</v>
      </c>
      <c r="F8" s="1">
        <f t="shared" si="3"/>
        <v>1.4507597302075796</v>
      </c>
      <c r="G8" s="1">
        <f t="shared" si="4"/>
        <v>1.3804331008000001</v>
      </c>
      <c r="H8" s="2">
        <f t="shared" si="0"/>
        <v>-1.2961702417322862E-2</v>
      </c>
      <c r="I8" s="2">
        <f>VLOOKUP(A8,[80]WRDS!$A$1:$O$100,10,FALSE)/100</f>
        <v>5.2999999999999999E-2</v>
      </c>
      <c r="J8" s="2">
        <f>VLOOKUP(A8,[80]WRDS!$A$1:$O$100,9,FALSE)/100</f>
        <v>0.04</v>
      </c>
      <c r="K8" s="2">
        <f t="shared" si="1"/>
        <v>5.0889690484767911</v>
      </c>
      <c r="L8" s="2">
        <f t="shared" si="2"/>
        <v>4.0860143762089001</v>
      </c>
      <c r="M8">
        <f>VLOOKUP(A8,[80]WRDS!$A$1:$O$100,8,FALSE)</f>
        <v>3</v>
      </c>
      <c r="N8">
        <f>VLOOKUP(A8,[80]WRDS!$A$1:$O$100,11,FALSE)</f>
        <v>3.16</v>
      </c>
      <c r="P8" t="s">
        <v>28</v>
      </c>
      <c r="Q8" s="2">
        <f>MEDIAN(H2:H99)</f>
        <v>2.4129627230222939E-2</v>
      </c>
    </row>
    <row r="9" spans="1:17" x14ac:dyDescent="0.3">
      <c r="A9" t="s">
        <v>25</v>
      </c>
      <c r="B9" t="str">
        <f>VLOOKUP(A9,[79]WRDS!$A$1:$N$100,2,FALSE)</f>
        <v>D</v>
      </c>
      <c r="C9" t="str">
        <f>VLOOKUP(A9,[79]WRDS!$A$1:$N$100,3,FALSE)</f>
        <v>DOMINION RES INC</v>
      </c>
      <c r="D9">
        <f>VLOOKUP(A9,[79]WRDS!$A$1:$N$100,13,FALSE)</f>
        <v>1.5049999999999999</v>
      </c>
      <c r="E9">
        <f>VLOOKUP(A9,[63]WRDS!$A$1:$N$100,13,FALSE)</f>
        <v>2.25</v>
      </c>
      <c r="F9" s="1">
        <f t="shared" si="3"/>
        <v>1.8864415674928425</v>
      </c>
      <c r="G9" s="1">
        <f t="shared" si="4"/>
        <v>1.8644310991906246</v>
      </c>
      <c r="H9" s="2">
        <f t="shared" si="0"/>
        <v>0.10576160129968049</v>
      </c>
      <c r="I9" s="2">
        <f>VLOOKUP(A9,[80]WRDS!$A$1:$O$100,10,FALSE)/100</f>
        <v>5.8099999999999999E-2</v>
      </c>
      <c r="J9" s="2">
        <f>VLOOKUP(A9,[80]WRDS!$A$1:$O$100,9,FALSE)/100</f>
        <v>5.5E-2</v>
      </c>
      <c r="K9" s="2">
        <f t="shared" si="1"/>
        <v>-0.45065128282834044</v>
      </c>
      <c r="L9" s="2">
        <f t="shared" si="2"/>
        <v>-0.47996248804748232</v>
      </c>
      <c r="M9">
        <f>VLOOKUP(A9,[80]WRDS!$A$1:$O$100,8,FALSE)</f>
        <v>16</v>
      </c>
      <c r="N9">
        <f>VLOOKUP(A9,[80]WRDS!$A$1:$O$100,11,FALSE)</f>
        <v>2.99</v>
      </c>
      <c r="P9" t="s">
        <v>30</v>
      </c>
      <c r="Q9" s="2">
        <f>MEDIAN(I2:I100)</f>
        <v>4.809999999999999E-2</v>
      </c>
    </row>
    <row r="10" spans="1:17" x14ac:dyDescent="0.3">
      <c r="A10" t="s">
        <v>86</v>
      </c>
      <c r="B10" t="str">
        <f>VLOOKUP(A10,[79]WRDS!$A$1:$N$100,2,FALSE)</f>
        <v>DPL</v>
      </c>
      <c r="C10" t="str">
        <f>VLOOKUP(A10,[79]WRDS!$A$1:$N$100,3,FALSE)</f>
        <v>DPL INC</v>
      </c>
      <c r="D10">
        <f>VLOOKUP(A10,[79]WRDS!$A$1:$N$100,13,FALSE)</f>
        <v>1.35</v>
      </c>
      <c r="E10">
        <f>VLOOKUP(A10,[63]WRDS!$A$1:$N$100,13,FALSE)</f>
        <v>1.51</v>
      </c>
      <c r="F10" s="1">
        <f t="shared" si="3"/>
        <v>1.718537276675177</v>
      </c>
      <c r="G10" s="1">
        <f t="shared" si="4"/>
        <v>1.6099001108437494</v>
      </c>
      <c r="H10" s="2">
        <f t="shared" si="0"/>
        <v>2.839698492538667E-2</v>
      </c>
      <c r="I10" s="2">
        <f>VLOOKUP(A10,[80]WRDS!$A$1:$O$100,10,FALSE)/100</f>
        <v>6.2199999999999998E-2</v>
      </c>
      <c r="J10" s="2">
        <f>VLOOKUP(A10,[80]WRDS!$A$1:$O$100,9,FALSE)/100</f>
        <v>4.4999999999999998E-2</v>
      </c>
      <c r="K10" s="2">
        <f t="shared" si="1"/>
        <v>1.1903733851826541</v>
      </c>
      <c r="L10" s="2">
        <f t="shared" si="2"/>
        <v>0.58467527866912272</v>
      </c>
      <c r="M10">
        <f>VLOOKUP(A10,[80]WRDS!$A$1:$O$100,8,FALSE)</f>
        <v>14</v>
      </c>
      <c r="N10">
        <f>VLOOKUP(A10,[80]WRDS!$A$1:$O$100,11,FALSE)</f>
        <v>2.84</v>
      </c>
      <c r="P10" t="s">
        <v>32</v>
      </c>
      <c r="Q10" s="2">
        <f>(Q9-Q8)/ABS(Q8)</f>
        <v>0.99340004472814991</v>
      </c>
    </row>
    <row r="11" spans="1:17" x14ac:dyDescent="0.3">
      <c r="A11" t="s">
        <v>27</v>
      </c>
      <c r="B11" t="str">
        <f>VLOOKUP(A11,[79]WRDS!$A$1:$N$100,2,FALSE)</f>
        <v>DTE</v>
      </c>
      <c r="C11" t="str">
        <f>VLOOKUP(A11,[79]WRDS!$A$1:$N$100,3,FALSE)</f>
        <v>DTE ENERGY</v>
      </c>
      <c r="D11">
        <f>VLOOKUP(A11,[79]WRDS!$A$1:$N$100,13,FALSE)</f>
        <v>3.33</v>
      </c>
      <c r="E11">
        <f>VLOOKUP(A11,[63]WRDS!$A$1:$N$100,13,FALSE)</f>
        <v>3.15</v>
      </c>
      <c r="F11" s="1">
        <f t="shared" si="3"/>
        <v>3.9392623326783429</v>
      </c>
      <c r="G11" s="1">
        <f t="shared" si="4"/>
        <v>4.0476358125000003</v>
      </c>
      <c r="H11" s="2">
        <f t="shared" si="0"/>
        <v>-1.3796407855216408E-2</v>
      </c>
      <c r="I11" s="2">
        <f>VLOOKUP(A11,[80]WRDS!$A$1:$O$100,10,FALSE)/100</f>
        <v>4.2900000000000001E-2</v>
      </c>
      <c r="J11" s="2">
        <f>VLOOKUP(A11,[80]WRDS!$A$1:$O$100,9,FALSE)/100</f>
        <v>0.05</v>
      </c>
      <c r="K11" s="2">
        <f t="shared" si="1"/>
        <v>4.1095050574182288</v>
      </c>
      <c r="L11" s="2">
        <f t="shared" si="2"/>
        <v>4.6241317685527141</v>
      </c>
      <c r="M11">
        <f>VLOOKUP(A11,[80]WRDS!$A$1:$O$100,8,FALSE)</f>
        <v>12</v>
      </c>
      <c r="N11">
        <f>VLOOKUP(A11,[80]WRDS!$A$1:$O$100,11,FALSE)</f>
        <v>1.86</v>
      </c>
      <c r="P11" t="s">
        <v>34</v>
      </c>
      <c r="Q11" s="2">
        <f>MEDIAN(J2:J99)</f>
        <v>4.8000000000000001E-2</v>
      </c>
    </row>
    <row r="12" spans="1:17" x14ac:dyDescent="0.3">
      <c r="A12" t="s">
        <v>29</v>
      </c>
      <c r="B12" t="str">
        <f>VLOOKUP(A12,[79]WRDS!$A$1:$N$100,2,FALSE)</f>
        <v>DUK</v>
      </c>
      <c r="C12" t="str">
        <f>VLOOKUP(A12,[79]WRDS!$A$1:$N$100,3,FALSE)</f>
        <v>DUKE ENERGY CORP</v>
      </c>
      <c r="D12">
        <f>VLOOKUP(A12,[79]WRDS!$A$1:$N$100,13,FALSE)</f>
        <v>5.4</v>
      </c>
      <c r="E12">
        <f>VLOOKUP(A12,[63]WRDS!$A$1:$N$100,13,FALSE)</f>
        <v>3.84</v>
      </c>
      <c r="F12" s="1">
        <f t="shared" si="3"/>
        <v>7.4340994259445345</v>
      </c>
      <c r="G12" s="1">
        <f t="shared" si="4"/>
        <v>7.3466403840000023</v>
      </c>
      <c r="H12" s="2">
        <f t="shared" si="0"/>
        <v>-8.1700461335426855E-2</v>
      </c>
      <c r="I12" s="2">
        <f>VLOOKUP(A12,[80]WRDS!$A$1:$O$100,10,FALSE)/100</f>
        <v>8.3199999999999996E-2</v>
      </c>
      <c r="J12" s="2">
        <f>VLOOKUP(A12,[80]WRDS!$A$1:$O$100,9,FALSE)/100</f>
        <v>0.08</v>
      </c>
      <c r="K12" s="2">
        <f t="shared" si="1"/>
        <v>2.0183541027806036</v>
      </c>
      <c r="L12" s="2">
        <f t="shared" si="2"/>
        <v>1.9791866372890421</v>
      </c>
      <c r="M12">
        <f>VLOOKUP(A12,[80]WRDS!$A$1:$O$100,8,FALSE)</f>
        <v>21</v>
      </c>
      <c r="N12">
        <f>VLOOKUP(A12,[80]WRDS!$A$1:$O$100,11,FALSE)</f>
        <v>1.32</v>
      </c>
      <c r="P12" t="s">
        <v>32</v>
      </c>
      <c r="Q12" s="2">
        <f>(Q11-Q8)/ABS(Q8)</f>
        <v>0.98925576189087772</v>
      </c>
    </row>
    <row r="13" spans="1:17" x14ac:dyDescent="0.3">
      <c r="A13" t="s">
        <v>31</v>
      </c>
      <c r="B13" t="str">
        <f>VLOOKUP(A13,[79]WRDS!$A$1:$N$100,2,FALSE)</f>
        <v>ED</v>
      </c>
      <c r="C13" t="str">
        <f>VLOOKUP(A13,[79]WRDS!$A$1:$N$100,3,FALSE)</f>
        <v>CONS EDISON INC</v>
      </c>
      <c r="D13">
        <f>VLOOKUP(A13,[79]WRDS!$A$1:$N$100,13,FALSE)</f>
        <v>3.13</v>
      </c>
      <c r="E13">
        <f>VLOOKUP(A13,[63]WRDS!$A$1:$N$100,13,FALSE)</f>
        <v>2.83</v>
      </c>
      <c r="F13" s="1">
        <f t="shared" si="3"/>
        <v>3.5848114458405451</v>
      </c>
      <c r="G13" s="1">
        <f t="shared" si="4"/>
        <v>3.5917469919562488</v>
      </c>
      <c r="H13" s="2">
        <f t="shared" si="0"/>
        <v>-2.487447552943256E-2</v>
      </c>
      <c r="I13" s="2">
        <f>VLOOKUP(A13,[80]WRDS!$A$1:$O$100,10,FALSE)/100</f>
        <v>3.4500000000000003E-2</v>
      </c>
      <c r="J13" s="2">
        <f>VLOOKUP(A13,[80]WRDS!$A$1:$O$100,9,FALSE)/100</f>
        <v>3.5000000000000003E-2</v>
      </c>
      <c r="K13" s="2">
        <f t="shared" si="1"/>
        <v>2.3869639164523533</v>
      </c>
      <c r="L13" s="2">
        <f t="shared" si="2"/>
        <v>2.4070648427777495</v>
      </c>
      <c r="M13">
        <f>VLOOKUP(A13,[80]WRDS!$A$1:$O$100,8,FALSE)</f>
        <v>11</v>
      </c>
      <c r="N13">
        <f>VLOOKUP(A13,[80]WRDS!$A$1:$O$100,11,FALSE)</f>
        <v>1.1100000000000001</v>
      </c>
      <c r="P13" s="111" t="s">
        <v>37</v>
      </c>
      <c r="Q13" s="111"/>
    </row>
    <row r="14" spans="1:17" x14ac:dyDescent="0.3">
      <c r="A14" t="s">
        <v>72</v>
      </c>
      <c r="B14" t="str">
        <f>VLOOKUP(A14,[79]WRDS!$A$1:$N$100,2,FALSE)</f>
        <v>EDE</v>
      </c>
      <c r="C14" t="str">
        <f>VLOOKUP(A14,[79]WRDS!$A$1:$N$100,3,FALSE)</f>
        <v>EMPIRE DIST ELEC</v>
      </c>
      <c r="D14">
        <f>VLOOKUP(A14,[79]WRDS!$A$1:$N$100,13,FALSE)</f>
        <v>1.46</v>
      </c>
      <c r="E14">
        <f>VLOOKUP(A14,[63]WRDS!$A$1:$N$100,13,FALSE)</f>
        <v>1.34</v>
      </c>
      <c r="F14" s="1">
        <f t="shared" si="3"/>
        <v>5.7707107505999984</v>
      </c>
      <c r="G14" s="1">
        <f t="shared" si="4"/>
        <v>5.7707107505999984</v>
      </c>
      <c r="H14" s="2">
        <f t="shared" si="0"/>
        <v>-2.1213466262955394E-2</v>
      </c>
      <c r="I14" s="2">
        <f>VLOOKUP(A14,[80]WRDS!$A$1:$O$100,10,FALSE)/100</f>
        <v>0.41</v>
      </c>
      <c r="J14" s="2">
        <f>VLOOKUP(A14,[80]WRDS!$A$1:$O$100,9,FALSE)/100</f>
        <v>0.41</v>
      </c>
      <c r="K14" s="2">
        <f t="shared" si="1"/>
        <v>20.327345890472124</v>
      </c>
      <c r="L14" s="2">
        <f t="shared" si="2"/>
        <v>20.327345890472124</v>
      </c>
      <c r="M14">
        <f>VLOOKUP(A14,[80]WRDS!$A$1:$O$100,8,FALSE)</f>
        <v>1</v>
      </c>
      <c r="N14">
        <f>VLOOKUP(A14,[80]WRDS!$A$1:$O$100,11,FALSE)</f>
        <v>0</v>
      </c>
      <c r="P14" t="s">
        <v>39</v>
      </c>
      <c r="Q14" s="1">
        <f>AVERAGE(M2:M1002)</f>
        <v>9</v>
      </c>
    </row>
    <row r="15" spans="1:17" x14ac:dyDescent="0.3">
      <c r="A15" t="s">
        <v>33</v>
      </c>
      <c r="B15" t="str">
        <f>VLOOKUP(A15,[79]WRDS!$A$1:$N$100,2,FALSE)</f>
        <v>SCE</v>
      </c>
      <c r="C15" t="str">
        <f>VLOOKUP(A15,[79]WRDS!$A$1:$N$100,3,FALSE)</f>
        <v>EDISON INTL</v>
      </c>
      <c r="D15">
        <f>VLOOKUP(A15,[79]WRDS!$A$1:$N$100,13,FALSE)</f>
        <v>2.04</v>
      </c>
      <c r="E15">
        <f>VLOOKUP(A15,[63]WRDS!$A$1:$N$100,13,FALSE)</f>
        <v>2.86</v>
      </c>
      <c r="F15" s="1">
        <f t="shared" si="3"/>
        <v>2.8501514786604809</v>
      </c>
      <c r="G15" s="1">
        <f t="shared" si="4"/>
        <v>2.8796264844000006</v>
      </c>
      <c r="H15" s="2">
        <f t="shared" si="0"/>
        <v>8.8137973469186059E-2</v>
      </c>
      <c r="I15" s="2">
        <f>VLOOKUP(A15,[80]WRDS!$A$1:$O$100,10,FALSE)/100</f>
        <v>8.72E-2</v>
      </c>
      <c r="J15" s="2">
        <f>VLOOKUP(A15,[80]WRDS!$A$1:$O$100,9,FALSE)/100</f>
        <v>0.09</v>
      </c>
      <c r="K15" s="2">
        <f t="shared" si="1"/>
        <v>-1.0642103877212299E-2</v>
      </c>
      <c r="L15" s="2">
        <f t="shared" si="2"/>
        <v>2.1126268934069839E-2</v>
      </c>
      <c r="M15">
        <f>VLOOKUP(A15,[80]WRDS!$A$1:$O$100,8,FALSE)</f>
        <v>16</v>
      </c>
      <c r="N15">
        <f>VLOOKUP(A15,[80]WRDS!$A$1:$O$100,11,FALSE)</f>
        <v>2.52</v>
      </c>
      <c r="P15" t="s">
        <v>41</v>
      </c>
      <c r="Q15" s="1">
        <f>COUNT(N2:N1002)</f>
        <v>52</v>
      </c>
    </row>
    <row r="16" spans="1:17" x14ac:dyDescent="0.3">
      <c r="A16" t="s">
        <v>59</v>
      </c>
      <c r="B16" t="str">
        <f>VLOOKUP(A16,[79]WRDS!$A$1:$N$100,2,FALSE)</f>
        <v>MSU</v>
      </c>
      <c r="C16" t="str">
        <f>VLOOKUP(A16,[79]WRDS!$A$1:$N$100,3,FALSE)</f>
        <v>ENTERGY CP</v>
      </c>
      <c r="D16">
        <f>VLOOKUP(A16,[79]WRDS!$A$1:$N$100,13,FALSE)</f>
        <v>2.29</v>
      </c>
      <c r="E16">
        <f>VLOOKUP(A16,[63]WRDS!$A$1:$N$100,13,FALSE)</f>
        <v>4.25</v>
      </c>
      <c r="F16" s="1">
        <f t="shared" si="3"/>
        <v>2.799449196259844</v>
      </c>
      <c r="G16" s="1">
        <f t="shared" si="4"/>
        <v>2.7835093125000001</v>
      </c>
      <c r="H16" s="2">
        <f t="shared" si="0"/>
        <v>0.16718141028915667</v>
      </c>
      <c r="I16" s="2">
        <f>VLOOKUP(A16,[80]WRDS!$A$1:$O$100,10,FALSE)/100</f>
        <v>5.1500000000000004E-2</v>
      </c>
      <c r="J16" s="2">
        <f>VLOOKUP(A16,[80]WRDS!$A$1:$O$100,9,FALSE)/100</f>
        <v>0.05</v>
      </c>
      <c r="K16" s="2">
        <f t="shared" si="1"/>
        <v>-0.69195139632495206</v>
      </c>
      <c r="L16" s="2">
        <f t="shared" si="2"/>
        <v>-0.70092368575238062</v>
      </c>
      <c r="M16">
        <f>VLOOKUP(A16,[80]WRDS!$A$1:$O$100,8,FALSE)</f>
        <v>13</v>
      </c>
      <c r="N16">
        <f>VLOOKUP(A16,[80]WRDS!$A$1:$O$100,11,FALSE)</f>
        <v>2.48</v>
      </c>
    </row>
    <row r="17" spans="1:14" x14ac:dyDescent="0.3">
      <c r="A17" t="s">
        <v>67</v>
      </c>
      <c r="B17" t="str">
        <f>VLOOKUP(A17,[79]WRDS!$A$1:$N$100,2,FALSE)</f>
        <v>OEC</v>
      </c>
      <c r="C17" t="str">
        <f>VLOOKUP(A17,[79]WRDS!$A$1:$N$100,3,FALSE)</f>
        <v>FIRSTENERGY CORP</v>
      </c>
      <c r="D17">
        <f>VLOOKUP(A17,[79]WRDS!$A$1:$N$100,13,FALSE)</f>
        <v>2.5</v>
      </c>
      <c r="E17">
        <f>VLOOKUP(A17,[63]WRDS!$A$1:$N$100,13,FALSE)</f>
        <v>1.86</v>
      </c>
      <c r="F17" s="1">
        <f t="shared" si="3"/>
        <v>3.0214384239501557</v>
      </c>
      <c r="G17" s="1">
        <f t="shared" si="4"/>
        <v>3.0387656249999999</v>
      </c>
      <c r="H17" s="2">
        <f t="shared" si="0"/>
        <v>-7.1261960446373784E-2</v>
      </c>
      <c r="I17" s="2">
        <f>VLOOKUP(A17,[80]WRDS!$A$1:$O$100,10,FALSE)/100</f>
        <v>4.8499999999999995E-2</v>
      </c>
      <c r="J17" s="2">
        <f>VLOOKUP(A17,[80]WRDS!$A$1:$O$100,9,FALSE)/100</f>
        <v>0.05</v>
      </c>
      <c r="K17" s="2">
        <f t="shared" si="1"/>
        <v>1.6805875069420426</v>
      </c>
      <c r="L17" s="2">
        <f t="shared" si="2"/>
        <v>1.7016366050948895</v>
      </c>
      <c r="M17">
        <f>VLOOKUP(A17,[80]WRDS!$A$1:$O$100,8,FALSE)</f>
        <v>13</v>
      </c>
      <c r="N17">
        <f>VLOOKUP(A17,[80]WRDS!$A$1:$O$100,11,FALSE)</f>
        <v>2.34</v>
      </c>
    </row>
    <row r="18" spans="1:14" x14ac:dyDescent="0.3">
      <c r="A18" t="s">
        <v>89</v>
      </c>
      <c r="B18" t="str">
        <f>VLOOKUP(A18,[79]WRDS!$A$1:$N$100,2,FALSE)</f>
        <v>FPL</v>
      </c>
      <c r="C18" t="str">
        <f>VLOOKUP(A18,[79]WRDS!$A$1:$N$100,3,FALSE)</f>
        <v>FPL GROUP</v>
      </c>
      <c r="D18">
        <f>VLOOKUP(A18,[79]WRDS!$A$1:$N$100,13,FALSE)</f>
        <v>0.49880000000000002</v>
      </c>
      <c r="E18">
        <f>VLOOKUP(A18,[63]WRDS!$A$1:$N$100,13,FALSE)</f>
        <v>0.61129999999999995</v>
      </c>
      <c r="F18" s="1">
        <f t="shared" si="3"/>
        <v>0.62663997632283808</v>
      </c>
      <c r="G18" s="1">
        <f t="shared" si="4"/>
        <v>0.62972350764800022</v>
      </c>
      <c r="H18" s="2">
        <f t="shared" si="0"/>
        <v>5.2160485889316099E-2</v>
      </c>
      <c r="I18" s="2">
        <f>VLOOKUP(A18,[80]WRDS!$A$1:$O$100,10,FALSE)/100</f>
        <v>5.8700000000000002E-2</v>
      </c>
      <c r="J18" s="2">
        <f>VLOOKUP(A18,[80]WRDS!$A$1:$O$100,9,FALSE)/100</f>
        <v>0.06</v>
      </c>
      <c r="K18" s="2">
        <f t="shared" si="1"/>
        <v>0.12537295232564877</v>
      </c>
      <c r="L18" s="2">
        <f t="shared" si="2"/>
        <v>0.15029603304154893</v>
      </c>
      <c r="M18">
        <f>VLOOKUP(A18,[80]WRDS!$A$1:$O$100,8,FALSE)</f>
        <v>22</v>
      </c>
      <c r="N18">
        <f>VLOOKUP(A18,[80]WRDS!$A$1:$O$100,11,FALSE)</f>
        <v>0.81</v>
      </c>
    </row>
    <row r="19" spans="1:14" x14ac:dyDescent="0.3">
      <c r="A19" t="s">
        <v>36</v>
      </c>
      <c r="B19" t="str">
        <f>VLOOKUP(A19,[79]WRDS!$A$1:$N$100,2,FALSE)</f>
        <v>HE</v>
      </c>
      <c r="C19" t="str">
        <f>VLOOKUP(A19,[79]WRDS!$A$1:$N$100,3,FALSE)</f>
        <v>HAWAIIAN ELEC</v>
      </c>
      <c r="D19">
        <f>VLOOKUP(A19,[79]WRDS!$A$1:$N$100,13,FALSE)</f>
        <v>1.4450000000000001</v>
      </c>
      <c r="E19">
        <f>VLOOKUP(A19,[63]WRDS!$A$1:$N$100,13,FALSE)</f>
        <v>1.58</v>
      </c>
      <c r="F19" s="1">
        <f t="shared" si="3"/>
        <v>1.6409356730993248</v>
      </c>
      <c r="G19" s="1">
        <f t="shared" si="4"/>
        <v>1.62636023045</v>
      </c>
      <c r="H19" s="2">
        <f t="shared" si="0"/>
        <v>2.2580036695853289E-2</v>
      </c>
      <c r="I19" s="2">
        <f>VLOOKUP(A19,[80]WRDS!$A$1:$O$100,10,FALSE)/100</f>
        <v>3.2300000000000002E-2</v>
      </c>
      <c r="J19" s="2">
        <f>VLOOKUP(A19,[80]WRDS!$A$1:$O$100,9,FALSE)/100</f>
        <v>0.03</v>
      </c>
      <c r="K19" s="2">
        <f t="shared" si="1"/>
        <v>0.43046711726255676</v>
      </c>
      <c r="L19" s="2">
        <f t="shared" si="2"/>
        <v>0.32860722965562533</v>
      </c>
      <c r="M19">
        <f>VLOOKUP(A19,[80]WRDS!$A$1:$O$100,8,FALSE)</f>
        <v>7</v>
      </c>
      <c r="N19">
        <f>VLOOKUP(A19,[80]WRDS!$A$1:$O$100,11,FALSE)</f>
        <v>1.7</v>
      </c>
    </row>
    <row r="20" spans="1:14" x14ac:dyDescent="0.3">
      <c r="A20" t="s">
        <v>38</v>
      </c>
      <c r="B20" t="str">
        <f>VLOOKUP(A20,[79]WRDS!$A$1:$N$100,2,FALSE)</f>
        <v>IDA</v>
      </c>
      <c r="C20" t="str">
        <f>VLOOKUP(A20,[79]WRDS!$A$1:$N$100,3,FALSE)</f>
        <v>IDACORP INC.</v>
      </c>
      <c r="D20">
        <f>VLOOKUP(A20,[79]WRDS!$A$1:$N$100,13,FALSE)</f>
        <v>2.42</v>
      </c>
      <c r="E20">
        <f>VLOOKUP(A20,[63]WRDS!$A$1:$N$100,13,FALSE)</f>
        <v>1.22</v>
      </c>
      <c r="F20" s="1">
        <f t="shared" si="3"/>
        <v>2.78775361475072</v>
      </c>
      <c r="G20" s="1">
        <f t="shared" si="4"/>
        <v>2.8310577152000005</v>
      </c>
      <c r="H20" s="2">
        <f t="shared" si="0"/>
        <v>-0.1573715541178925</v>
      </c>
      <c r="I20" s="2">
        <f>VLOOKUP(A20,[80]WRDS!$A$1:$O$100,10,FALSE)/100</f>
        <v>3.6000000000000004E-2</v>
      </c>
      <c r="J20" s="2">
        <f>VLOOKUP(A20,[80]WRDS!$A$1:$O$100,9,FALSE)/100</f>
        <v>0.04</v>
      </c>
      <c r="K20" s="2">
        <f t="shared" si="1"/>
        <v>1.2287579874380039</v>
      </c>
      <c r="L20" s="2">
        <f t="shared" si="2"/>
        <v>1.2541755415977822</v>
      </c>
      <c r="M20">
        <f>VLOOKUP(A20,[80]WRDS!$A$1:$O$100,8,FALSE)</f>
        <v>5</v>
      </c>
      <c r="N20">
        <f>VLOOKUP(A20,[80]WRDS!$A$1:$O$100,11,FALSE)</f>
        <v>1.52</v>
      </c>
    </row>
    <row r="21" spans="1:14" x14ac:dyDescent="0.3">
      <c r="A21" t="s">
        <v>40</v>
      </c>
      <c r="B21" t="str">
        <f>VLOOKUP(A21,[79]WRDS!$A$1:$N$100,2,FALSE)</f>
        <v>WPL</v>
      </c>
      <c r="C21" t="str">
        <f>VLOOKUP(A21,[79]WRDS!$A$1:$N$100,3,FALSE)</f>
        <v>ALLIANT ENER</v>
      </c>
      <c r="D21">
        <f>VLOOKUP(A21,[79]WRDS!$A$1:$N$100,13,FALSE)</f>
        <v>1.1200000000000001</v>
      </c>
      <c r="E21">
        <f>VLOOKUP(A21,[63]WRDS!$A$1:$N$100,13,FALSE)</f>
        <v>0.78500000000000003</v>
      </c>
      <c r="F21" s="1">
        <f t="shared" si="3"/>
        <v>1.2185163202493305</v>
      </c>
      <c r="G21" s="1">
        <f t="shared" si="4"/>
        <v>1.2123240192</v>
      </c>
      <c r="H21" s="2">
        <f t="shared" si="0"/>
        <v>-8.5017245684338327E-2</v>
      </c>
      <c r="I21" s="2">
        <f>VLOOKUP(A21,[80]WRDS!$A$1:$O$100,10,FALSE)/100</f>
        <v>2.1299999999999999E-2</v>
      </c>
      <c r="J21" s="2">
        <f>VLOOKUP(A21,[80]WRDS!$A$1:$O$100,9,FALSE)/100</f>
        <v>0.02</v>
      </c>
      <c r="K21" s="2">
        <f t="shared" si="1"/>
        <v>1.2505374036590771</v>
      </c>
      <c r="L21" s="2">
        <f t="shared" si="2"/>
        <v>1.2352463884122791</v>
      </c>
      <c r="M21">
        <f>VLOOKUP(A21,[80]WRDS!$A$1:$O$100,8,FALSE)</f>
        <v>4</v>
      </c>
      <c r="N21">
        <f>VLOOKUP(A21,[80]WRDS!$A$1:$O$100,11,FALSE)</f>
        <v>0.25</v>
      </c>
    </row>
    <row r="22" spans="1:14" x14ac:dyDescent="0.3">
      <c r="A22" t="s">
        <v>60</v>
      </c>
      <c r="B22" t="str">
        <f>VLOOKUP(A22,[79]WRDS!$A$1:$N$100,2,FALSE)</f>
        <v>BSE</v>
      </c>
      <c r="C22" t="str">
        <f>VLOOKUP(A22,[79]WRDS!$A$1:$N$100,3,FALSE)</f>
        <v>NSTAR</v>
      </c>
      <c r="D22">
        <f>VLOOKUP(A22,[79]WRDS!$A$1:$N$100,13,FALSE)</f>
        <v>1.4</v>
      </c>
      <c r="E22">
        <f>VLOOKUP(A22,[63]WRDS!$A$1:$N$100,13,FALSE)</f>
        <v>1.6950000000000001</v>
      </c>
      <c r="F22" s="1">
        <f t="shared" si="3"/>
        <v>1.6669712960621075</v>
      </c>
      <c r="G22" s="1">
        <f t="shared" si="4"/>
        <v>1.6378019840000002</v>
      </c>
      <c r="H22" s="2">
        <f t="shared" si="0"/>
        <v>4.8963596805593701E-2</v>
      </c>
      <c r="I22" s="2">
        <f>VLOOKUP(A22,[80]WRDS!$A$1:$O$100,10,FALSE)/100</f>
        <v>4.4600000000000001E-2</v>
      </c>
      <c r="J22" s="2">
        <f>VLOOKUP(A22,[80]WRDS!$A$1:$O$100,9,FALSE)/100</f>
        <v>0.04</v>
      </c>
      <c r="K22" s="2">
        <f t="shared" si="1"/>
        <v>-8.9119204680142991E-2</v>
      </c>
      <c r="L22" s="2">
        <f t="shared" si="2"/>
        <v>-0.18306655128263943</v>
      </c>
      <c r="M22">
        <f>VLOOKUP(A22,[80]WRDS!$A$1:$O$100,8,FALSE)</f>
        <v>8</v>
      </c>
      <c r="N22">
        <f>VLOOKUP(A22,[80]WRDS!$A$1:$O$100,11,FALSE)</f>
        <v>2.37</v>
      </c>
    </row>
    <row r="23" spans="1:14" x14ac:dyDescent="0.3">
      <c r="A23" t="s">
        <v>78</v>
      </c>
      <c r="B23" t="str">
        <f>VLOOKUP(A23,[79]WRDS!$A$1:$N$100,2,FALSE)</f>
        <v>NU</v>
      </c>
      <c r="C23" t="str">
        <f>VLOOKUP(A23,[79]WRDS!$A$1:$N$100,3,FALSE)</f>
        <v>NORTHEAST UTILS</v>
      </c>
      <c r="D23">
        <f>VLOOKUP(A23,[79]WRDS!$A$1:$N$100,13,FALSE)</f>
        <v>0.81</v>
      </c>
      <c r="E23">
        <f>VLOOKUP(A23,[63]WRDS!$A$1:$N$100,13,FALSE)</f>
        <v>1.24</v>
      </c>
      <c r="F23" s="1">
        <f t="shared" si="3"/>
        <v>0.98456006250000005</v>
      </c>
      <c r="G23" s="1">
        <f t="shared" si="4"/>
        <v>0.98456006250000005</v>
      </c>
      <c r="H23" s="2">
        <f t="shared" si="0"/>
        <v>0.11233132182717154</v>
      </c>
      <c r="I23" s="2">
        <f>VLOOKUP(A23,[80]WRDS!$A$1:$O$100,10,FALSE)/100</f>
        <v>0.05</v>
      </c>
      <c r="J23" s="2">
        <f>VLOOKUP(A23,[80]WRDS!$A$1:$O$100,9,FALSE)/100</f>
        <v>0.05</v>
      </c>
      <c r="K23" s="2">
        <f t="shared" si="1"/>
        <v>-0.55488817200132301</v>
      </c>
      <c r="L23" s="2">
        <f t="shared" si="2"/>
        <v>-0.55488817200132301</v>
      </c>
      <c r="M23">
        <f>VLOOKUP(A23,[80]WRDS!$A$1:$O$100,8,FALSE)</f>
        <v>6</v>
      </c>
      <c r="N23">
        <f>VLOOKUP(A23,[80]WRDS!$A$1:$O$100,11,FALSE)</f>
        <v>2.97</v>
      </c>
    </row>
    <row r="24" spans="1:14" x14ac:dyDescent="0.3">
      <c r="A24" t="s">
        <v>44</v>
      </c>
      <c r="B24" t="str">
        <f>VLOOKUP(A24,[79]WRDS!$A$1:$N$100,2,FALSE)</f>
        <v>OGE</v>
      </c>
      <c r="C24" t="str">
        <f>VLOOKUP(A24,[79]WRDS!$A$1:$N$100,3,FALSE)</f>
        <v>OGE ENERGY CORP</v>
      </c>
      <c r="D24">
        <f>VLOOKUP(A24,[79]WRDS!$A$1:$N$100,13,FALSE)</f>
        <v>0.97499999999999998</v>
      </c>
      <c r="E24">
        <f>VLOOKUP(A24,[63]WRDS!$A$1:$N$100,13,FALSE)</f>
        <v>0.83</v>
      </c>
      <c r="F24" s="1">
        <f t="shared" si="3"/>
        <v>1.1573741703225331</v>
      </c>
      <c r="G24" s="1">
        <f t="shared" si="4"/>
        <v>1.1627056356093746</v>
      </c>
      <c r="H24" s="2">
        <f t="shared" si="0"/>
        <v>-3.9453554647127964E-2</v>
      </c>
      <c r="I24" s="2">
        <f>VLOOKUP(A24,[80]WRDS!$A$1:$O$100,10,FALSE)/100</f>
        <v>4.3799999999999999E-2</v>
      </c>
      <c r="J24" s="2">
        <f>VLOOKUP(A24,[80]WRDS!$A$1:$O$100,9,FALSE)/100</f>
        <v>4.4999999999999998E-2</v>
      </c>
      <c r="K24" s="2">
        <f t="shared" si="1"/>
        <v>2.1101661280395794</v>
      </c>
      <c r="L24" s="2">
        <f t="shared" si="2"/>
        <v>2.1405816383968279</v>
      </c>
      <c r="M24">
        <f>VLOOKUP(A24,[80]WRDS!$A$1:$O$100,8,FALSE)</f>
        <v>8</v>
      </c>
      <c r="N24">
        <f>VLOOKUP(A24,[80]WRDS!$A$1:$O$100,11,FALSE)</f>
        <v>1.6</v>
      </c>
    </row>
    <row r="25" spans="1:14" x14ac:dyDescent="0.3">
      <c r="A25" t="s">
        <v>69</v>
      </c>
      <c r="B25" t="str">
        <f>VLOOKUP(A25,[79]WRDS!$A$1:$N$100,2,FALSE)</f>
        <v>OTTR</v>
      </c>
      <c r="C25" t="str">
        <f>VLOOKUP(A25,[79]WRDS!$A$1:$N$100,3,FALSE)</f>
        <v>OTTER TAIL PWR</v>
      </c>
      <c r="D25">
        <f>VLOOKUP(A25,[79]WRDS!$A$1:$N$100,13,FALSE)</f>
        <v>1.4550000000000001</v>
      </c>
      <c r="E25">
        <f>VLOOKUP(A25,[63]WRDS!$A$1:$N$100,13,FALSE)</f>
        <v>1.54</v>
      </c>
      <c r="F25" s="1">
        <f t="shared" si="3"/>
        <v>1.7685615937500001</v>
      </c>
      <c r="G25" s="1">
        <f t="shared" si="4"/>
        <v>1.7685615937500001</v>
      </c>
      <c r="H25" s="2">
        <f t="shared" si="0"/>
        <v>1.4295343917969383E-2</v>
      </c>
      <c r="I25" s="2">
        <f>VLOOKUP(A25,[80]WRDS!$A$1:$O$100,10,FALSE)/100</f>
        <v>0.05</v>
      </c>
      <c r="J25" s="2">
        <f>VLOOKUP(A25,[80]WRDS!$A$1:$O$100,9,FALSE)/100</f>
        <v>0.05</v>
      </c>
      <c r="K25" s="2">
        <f t="shared" si="1"/>
        <v>2.4976423293425998</v>
      </c>
      <c r="L25" s="2">
        <f t="shared" si="2"/>
        <v>2.4976423293425998</v>
      </c>
      <c r="M25">
        <f>VLOOKUP(A25,[80]WRDS!$A$1:$O$100,8,FALSE)</f>
        <v>1</v>
      </c>
      <c r="N25">
        <f>VLOOKUP(A25,[80]WRDS!$A$1:$O$100,11,FALSE)</f>
        <v>0</v>
      </c>
    </row>
    <row r="26" spans="1:14" x14ac:dyDescent="0.3">
      <c r="A26" t="s">
        <v>45</v>
      </c>
      <c r="B26" t="str">
        <f>VLOOKUP(A26,[79]WRDS!$A$1:$N$100,2,FALSE)</f>
        <v>PCG</v>
      </c>
      <c r="C26" t="str">
        <f>VLOOKUP(A26,[79]WRDS!$A$1:$N$100,3,FALSE)</f>
        <v>P G &amp; E CORP</v>
      </c>
      <c r="D26">
        <f>VLOOKUP(A26,[79]WRDS!$A$1:$N$100,13,FALSE)</f>
        <v>2.14</v>
      </c>
      <c r="E26">
        <f>VLOOKUP(A26,[63]WRDS!$A$1:$N$100,13,FALSE)</f>
        <v>1.52</v>
      </c>
      <c r="F26" s="1">
        <f t="shared" si="3"/>
        <v>2.6763029792085953</v>
      </c>
      <c r="G26" s="1">
        <f t="shared" si="4"/>
        <v>2.6011833750000002</v>
      </c>
      <c r="H26" s="2">
        <f t="shared" si="0"/>
        <v>-8.196877386623036E-2</v>
      </c>
      <c r="I26" s="2">
        <f>VLOOKUP(A26,[80]WRDS!$A$1:$O$100,10,FALSE)/100</f>
        <v>5.7500000000000002E-2</v>
      </c>
      <c r="J26" s="2">
        <f>VLOOKUP(A26,[80]WRDS!$A$1:$O$100,9,FALSE)/100</f>
        <v>0.05</v>
      </c>
      <c r="K26" s="2">
        <f t="shared" si="1"/>
        <v>1.701486642874976</v>
      </c>
      <c r="L26" s="2">
        <f t="shared" si="2"/>
        <v>1.6099883851086747</v>
      </c>
      <c r="M26">
        <f>VLOOKUP(A26,[80]WRDS!$A$1:$O$100,8,FALSE)</f>
        <v>15</v>
      </c>
      <c r="N26">
        <f>VLOOKUP(A26,[80]WRDS!$A$1:$O$100,11,FALSE)</f>
        <v>2.4300000000000002</v>
      </c>
    </row>
    <row r="27" spans="1:14" x14ac:dyDescent="0.3">
      <c r="A27" t="s">
        <v>46</v>
      </c>
      <c r="B27" t="str">
        <f>VLOOKUP(A27,[79]WRDS!$A$1:$N$100,2,FALSE)</f>
        <v>PEG</v>
      </c>
      <c r="C27" t="str">
        <f>VLOOKUP(A27,[79]WRDS!$A$1:$N$100,3,FALSE)</f>
        <v>PUB SVC ENTERS</v>
      </c>
      <c r="D27">
        <f>VLOOKUP(A27,[79]WRDS!$A$1:$N$100,13,FALSE)</f>
        <v>1.65</v>
      </c>
      <c r="E27">
        <f>VLOOKUP(A27,[63]WRDS!$A$1:$N$100,13,FALSE)</f>
        <v>1.86</v>
      </c>
      <c r="F27" s="1">
        <f t="shared" si="3"/>
        <v>1.978221274611057</v>
      </c>
      <c r="G27" s="1">
        <f t="shared" si="4"/>
        <v>1.967655691031249</v>
      </c>
      <c r="H27" s="2">
        <f t="shared" si="0"/>
        <v>3.0403321587546994E-2</v>
      </c>
      <c r="I27" s="2">
        <f>VLOOKUP(A27,[80]WRDS!$A$1:$O$100,10,FALSE)/100</f>
        <v>4.6399999999999997E-2</v>
      </c>
      <c r="J27" s="2">
        <f>VLOOKUP(A27,[80]WRDS!$A$1:$O$100,9,FALSE)/100</f>
        <v>4.4999999999999998E-2</v>
      </c>
      <c r="K27" s="2">
        <f t="shared" si="1"/>
        <v>0.52614903823551762</v>
      </c>
      <c r="L27" s="2">
        <f t="shared" si="2"/>
        <v>0.48010143794392879</v>
      </c>
      <c r="M27">
        <f>VLOOKUP(A27,[80]WRDS!$A$1:$O$100,8,FALSE)</f>
        <v>14</v>
      </c>
      <c r="N27">
        <f>VLOOKUP(A27,[80]WRDS!$A$1:$O$100,11,FALSE)</f>
        <v>3.1</v>
      </c>
    </row>
    <row r="28" spans="1:14" x14ac:dyDescent="0.3">
      <c r="A28" t="s">
        <v>47</v>
      </c>
      <c r="B28" t="str">
        <f>VLOOKUP(A28,[79]WRDS!$A$1:$N$100,2,FALSE)</f>
        <v>PNM</v>
      </c>
      <c r="C28" t="str">
        <f>VLOOKUP(A28,[79]WRDS!$A$1:$N$100,3,FALSE)</f>
        <v>PUB SVC N MEX</v>
      </c>
      <c r="D28">
        <f>VLOOKUP(A28,[79]WRDS!$A$1:$N$100,13,FALSE)</f>
        <v>1.2733000000000001</v>
      </c>
      <c r="E28">
        <f>VLOOKUP(A28,[63]WRDS!$A$1:$N$100,13,FALSE)</f>
        <v>1.3</v>
      </c>
      <c r="F28" s="1">
        <f t="shared" si="3"/>
        <v>1.505109972336049</v>
      </c>
      <c r="G28" s="1">
        <f t="shared" si="4"/>
        <v>1.4838600050352246</v>
      </c>
      <c r="H28" s="2">
        <f t="shared" si="0"/>
        <v>5.2015585942251086E-3</v>
      </c>
      <c r="I28" s="2">
        <f>VLOOKUP(A28,[80]WRDS!$A$1:$O$100,10,FALSE)/100</f>
        <v>4.2699999999999995E-2</v>
      </c>
      <c r="J28" s="2">
        <f>VLOOKUP(A28,[80]WRDS!$A$1:$O$100,9,FALSE)/100</f>
        <v>3.9E-2</v>
      </c>
      <c r="K28" s="2">
        <f t="shared" si="1"/>
        <v>7.2090779574042534</v>
      </c>
      <c r="L28" s="2">
        <f t="shared" si="2"/>
        <v>6.4977527011420593</v>
      </c>
      <c r="M28">
        <f>VLOOKUP(A28,[80]WRDS!$A$1:$O$100,8,FALSE)</f>
        <v>7</v>
      </c>
      <c r="N28">
        <f>VLOOKUP(A28,[80]WRDS!$A$1:$O$100,11,FALSE)</f>
        <v>2.57</v>
      </c>
    </row>
    <row r="29" spans="1:14" x14ac:dyDescent="0.3">
      <c r="A29" t="s">
        <v>48</v>
      </c>
      <c r="B29" t="str">
        <f>VLOOKUP(A29,[79]WRDS!$A$1:$N$100,2,FALSE)</f>
        <v>AZP</v>
      </c>
      <c r="C29" t="str">
        <f>VLOOKUP(A29,[79]WRDS!$A$1:$N$100,3,FALSE)</f>
        <v>PINNACLE WST CAP</v>
      </c>
      <c r="D29">
        <f>VLOOKUP(A29,[79]WRDS!$A$1:$N$100,13,FALSE)</f>
        <v>3.17</v>
      </c>
      <c r="E29">
        <f>VLOOKUP(A29,[63]WRDS!$A$1:$N$100,13,FALSE)</f>
        <v>2.57</v>
      </c>
      <c r="F29" s="1">
        <f t="shared" si="3"/>
        <v>4.0035623852101629</v>
      </c>
      <c r="G29" s="1">
        <f t="shared" si="4"/>
        <v>4.0020519632000013</v>
      </c>
      <c r="H29" s="2">
        <f t="shared" si="0"/>
        <v>-5.1104329102593882E-2</v>
      </c>
      <c r="I29" s="2">
        <f>VLOOKUP(A29,[80]WRDS!$A$1:$O$100,10,FALSE)/100</f>
        <v>6.0100000000000001E-2</v>
      </c>
      <c r="J29" s="2">
        <f>VLOOKUP(A29,[80]WRDS!$A$1:$O$100,9,FALSE)/100</f>
        <v>0.06</v>
      </c>
      <c r="K29" s="2">
        <f t="shared" si="1"/>
        <v>2.1760256137860057</v>
      </c>
      <c r="L29" s="2">
        <f t="shared" si="2"/>
        <v>2.1740688323986745</v>
      </c>
      <c r="M29">
        <f>VLOOKUP(A29,[80]WRDS!$A$1:$O$100,8,FALSE)</f>
        <v>11</v>
      </c>
      <c r="N29">
        <f>VLOOKUP(A29,[80]WRDS!$A$1:$O$100,11,FALSE)</f>
        <v>1.26</v>
      </c>
    </row>
    <row r="30" spans="1:14" x14ac:dyDescent="0.3">
      <c r="A30" t="s">
        <v>49</v>
      </c>
      <c r="B30" t="str">
        <f>VLOOKUP(A30,[79]WRDS!$A$1:$N$100,2,FALSE)</f>
        <v>POM</v>
      </c>
      <c r="C30" t="str">
        <f>VLOOKUP(A30,[79]WRDS!$A$1:$N$100,3,FALSE)</f>
        <v>POTOMAC ELEC</v>
      </c>
      <c r="D30">
        <f>VLOOKUP(A30,[79]WRDS!$A$1:$N$100,13,FALSE)</f>
        <v>1.86</v>
      </c>
      <c r="E30">
        <f>VLOOKUP(A30,[63]WRDS!$A$1:$N$100,13,FALSE)</f>
        <v>1.25</v>
      </c>
      <c r="F30" s="1">
        <f t="shared" si="3"/>
        <v>2.103219315589226</v>
      </c>
      <c r="G30" s="1">
        <f t="shared" si="4"/>
        <v>2.0212308235746592</v>
      </c>
      <c r="H30" s="2">
        <f t="shared" si="0"/>
        <v>-9.4581701791961126E-2</v>
      </c>
      <c r="I30" s="2">
        <f>VLOOKUP(A30,[80]WRDS!$A$1:$O$100,10,FALSE)/100</f>
        <v>3.1200000000000002E-2</v>
      </c>
      <c r="J30" s="2">
        <f>VLOOKUP(A30,[80]WRDS!$A$1:$O$100,9,FALSE)/100</f>
        <v>2.1000000000000001E-2</v>
      </c>
      <c r="K30" s="2">
        <f t="shared" si="1"/>
        <v>1.3298735316544263</v>
      </c>
      <c r="L30" s="2">
        <f t="shared" si="2"/>
        <v>1.2220302616904792</v>
      </c>
      <c r="M30">
        <f>VLOOKUP(A30,[80]WRDS!$A$1:$O$100,8,FALSE)</f>
        <v>9</v>
      </c>
      <c r="N30">
        <f>VLOOKUP(A30,[80]WRDS!$A$1:$O$100,11,FALSE)</f>
        <v>2.2999999999999998</v>
      </c>
    </row>
    <row r="31" spans="1:14" x14ac:dyDescent="0.3">
      <c r="A31" t="s">
        <v>51</v>
      </c>
      <c r="B31" t="str">
        <f>VLOOKUP(A31,[79]WRDS!$A$1:$N$100,2,FALSE)</f>
        <v>PPL</v>
      </c>
      <c r="C31" t="str">
        <f>VLOOKUP(A31,[79]WRDS!$A$1:$N$100,3,FALSE)</f>
        <v>PP&amp;L RESOURCES</v>
      </c>
      <c r="D31">
        <f>VLOOKUP(A31,[79]WRDS!$A$1:$N$100,13,FALSE)</f>
        <v>1.1599999999999999</v>
      </c>
      <c r="E31">
        <f>VLOOKUP(A31,[63]WRDS!$A$1:$N$100,13,FALSE)</f>
        <v>1.855</v>
      </c>
      <c r="F31" s="1">
        <f t="shared" si="3"/>
        <v>1.3701314770453121</v>
      </c>
      <c r="G31" s="1">
        <f t="shared" si="4"/>
        <v>1.3833215767249993</v>
      </c>
      <c r="H31" s="2">
        <f t="shared" si="0"/>
        <v>0.12453112694844481</v>
      </c>
      <c r="I31" s="2">
        <f>VLOOKUP(A31,[80]WRDS!$A$1:$O$100,10,FALSE)/100</f>
        <v>4.2500000000000003E-2</v>
      </c>
      <c r="J31" s="2">
        <f>VLOOKUP(A31,[80]WRDS!$A$1:$O$100,9,FALSE)/100</f>
        <v>4.4999999999999998E-2</v>
      </c>
      <c r="K31" s="2">
        <f t="shared" si="1"/>
        <v>-0.65871986352781686</v>
      </c>
      <c r="L31" s="2">
        <f t="shared" si="2"/>
        <v>-0.63864456138239445</v>
      </c>
      <c r="M31">
        <f>VLOOKUP(A31,[80]WRDS!$A$1:$O$100,8,FALSE)</f>
        <v>8</v>
      </c>
      <c r="N31">
        <f>VLOOKUP(A31,[80]WRDS!$A$1:$O$100,11,FALSE)</f>
        <v>2.4300000000000002</v>
      </c>
    </row>
    <row r="32" spans="1:14" x14ac:dyDescent="0.3">
      <c r="A32" t="s">
        <v>91</v>
      </c>
      <c r="B32" t="str">
        <f>VLOOKUP(A32,[79]WRDS!$A$1:$N$100,2,FALSE)</f>
        <v>PSD</v>
      </c>
      <c r="C32" t="str">
        <f>VLOOKUP(A32,[79]WRDS!$A$1:$N$100,3,FALSE)</f>
        <v>PUGET SOUND ENGY</v>
      </c>
      <c r="D32">
        <f>VLOOKUP(A32,[79]WRDS!$A$1:$N$100,13,FALSE)</f>
        <v>2.0099999999999998</v>
      </c>
      <c r="E32">
        <f>VLOOKUP(A32,[63]WRDS!$A$1:$N$100,13,FALSE)</f>
        <v>1.26</v>
      </c>
      <c r="F32" s="1">
        <f t="shared" si="3"/>
        <v>2.3136607770326698</v>
      </c>
      <c r="G32" s="1">
        <f t="shared" si="4"/>
        <v>2.2622727080999998</v>
      </c>
      <c r="H32" s="2">
        <f t="shared" si="0"/>
        <v>-0.11019749936191925</v>
      </c>
      <c r="I32" s="2">
        <f>VLOOKUP(A32,[80]WRDS!$A$1:$O$100,10,FALSE)/100</f>
        <v>3.5799999999999998E-2</v>
      </c>
      <c r="J32" s="2">
        <f>VLOOKUP(A32,[80]WRDS!$A$1:$O$100,9,FALSE)/100</f>
        <v>0.03</v>
      </c>
      <c r="K32" s="2">
        <f t="shared" si="1"/>
        <v>1.3248712557661844</v>
      </c>
      <c r="L32" s="2">
        <f t="shared" si="2"/>
        <v>1.2722384824856292</v>
      </c>
      <c r="M32">
        <f>VLOOKUP(A32,[80]WRDS!$A$1:$O$100,8,FALSE)</f>
        <v>5</v>
      </c>
      <c r="N32">
        <f>VLOOKUP(A32,[80]WRDS!$A$1:$O$100,11,FALSE)</f>
        <v>0.88</v>
      </c>
    </row>
    <row r="33" spans="1:14" x14ac:dyDescent="0.3">
      <c r="A33" t="s">
        <v>52</v>
      </c>
      <c r="B33" t="str">
        <f>VLOOKUP(A33,[79]WRDS!$A$1:$N$100,2,FALSE)</f>
        <v>SCG</v>
      </c>
      <c r="C33" t="str">
        <f>VLOOKUP(A33,[79]WRDS!$A$1:$N$100,3,FALSE)</f>
        <v>SCANA CP</v>
      </c>
      <c r="D33">
        <f>VLOOKUP(A33,[79]WRDS!$A$1:$N$100,13,FALSE)</f>
        <v>1.39</v>
      </c>
      <c r="E33">
        <f>VLOOKUP(A33,[63]WRDS!$A$1:$N$100,13,FALSE)</f>
        <v>2.5</v>
      </c>
      <c r="F33" s="1">
        <f t="shared" si="3"/>
        <v>1.619858169322989</v>
      </c>
      <c r="G33" s="1">
        <f t="shared" si="4"/>
        <v>1.6261033984000002</v>
      </c>
      <c r="H33" s="2">
        <f t="shared" si="0"/>
        <v>0.15806064261097763</v>
      </c>
      <c r="I33" s="2">
        <f>VLOOKUP(A33,[80]WRDS!$A$1:$O$100,10,FALSE)/100</f>
        <v>3.9E-2</v>
      </c>
      <c r="J33" s="2">
        <f>VLOOKUP(A33,[80]WRDS!$A$1:$O$100,9,FALSE)/100</f>
        <v>0.04</v>
      </c>
      <c r="K33" s="2">
        <f t="shared" si="1"/>
        <v>-0.7532592595109987</v>
      </c>
      <c r="L33" s="2">
        <f t="shared" si="2"/>
        <v>-0.74693257385743461</v>
      </c>
      <c r="M33">
        <f>VLOOKUP(A33,[80]WRDS!$A$1:$O$100,8,FALSE)</f>
        <v>9</v>
      </c>
      <c r="N33">
        <f>VLOOKUP(A33,[80]WRDS!$A$1:$O$100,11,FALSE)</f>
        <v>1.03</v>
      </c>
    </row>
    <row r="34" spans="1:14" x14ac:dyDescent="0.3">
      <c r="A34" t="s">
        <v>53</v>
      </c>
      <c r="B34" t="str">
        <f>VLOOKUP(A34,[79]WRDS!$A$1:$N$100,2,FALSE)</f>
        <v>SO</v>
      </c>
      <c r="C34" t="str">
        <f>VLOOKUP(A34,[79]WRDS!$A$1:$N$100,3,FALSE)</f>
        <v>SOUTHN CO</v>
      </c>
      <c r="D34">
        <f>VLOOKUP(A34,[79]WRDS!$A$1:$N$100,13,FALSE)</f>
        <v>1.78</v>
      </c>
      <c r="E34">
        <f>VLOOKUP(A34,[63]WRDS!$A$1:$N$100,13,FALSE)</f>
        <v>1.97</v>
      </c>
      <c r="F34" s="1">
        <f t="shared" si="3"/>
        <v>2.2446660584245608</v>
      </c>
      <c r="G34" s="1">
        <f t="shared" si="4"/>
        <v>2.2472089888000006</v>
      </c>
      <c r="H34" s="2">
        <f t="shared" si="0"/>
        <v>2.5679217764592588E-2</v>
      </c>
      <c r="I34" s="2">
        <f>VLOOKUP(A34,[80]WRDS!$A$1:$O$100,10,FALSE)/100</f>
        <v>5.9699999999999996E-2</v>
      </c>
      <c r="J34" s="2">
        <f>VLOOKUP(A34,[80]WRDS!$A$1:$O$100,9,FALSE)/100</f>
        <v>0.06</v>
      </c>
      <c r="K34" s="2">
        <f t="shared" si="1"/>
        <v>1.3248371717271101</v>
      </c>
      <c r="L34" s="2">
        <f t="shared" si="2"/>
        <v>1.3365197705800103</v>
      </c>
      <c r="M34">
        <f>VLOOKUP(A34,[80]WRDS!$A$1:$O$100,8,FALSE)</f>
        <v>19</v>
      </c>
      <c r="N34">
        <f>VLOOKUP(A34,[80]WRDS!$A$1:$O$100,11,FALSE)</f>
        <v>1.79</v>
      </c>
    </row>
    <row r="35" spans="1:14" x14ac:dyDescent="0.3">
      <c r="A35" t="s">
        <v>54</v>
      </c>
      <c r="B35" t="str">
        <f>VLOOKUP(A35,[79]WRDS!$A$1:$N$100,2,FALSE)</f>
        <v>SDO</v>
      </c>
      <c r="C35" t="str">
        <f>VLOOKUP(A35,[79]WRDS!$A$1:$N$100,3,FALSE)</f>
        <v>SEMPRA ENERGY</v>
      </c>
      <c r="D35">
        <f>VLOOKUP(A35,[79]WRDS!$A$1:$N$100,13,FALSE)</f>
        <v>1.71</v>
      </c>
      <c r="E35">
        <f>VLOOKUP(A35,[63]WRDS!$A$1:$N$100,13,FALSE)</f>
        <v>2.93</v>
      </c>
      <c r="F35" s="1">
        <f t="shared" si="3"/>
        <v>2.0761412588546007</v>
      </c>
      <c r="G35" s="1">
        <f t="shared" si="4"/>
        <v>2.0785156874999999</v>
      </c>
      <c r="H35" s="2">
        <f t="shared" si="0"/>
        <v>0.14411025278807377</v>
      </c>
      <c r="I35" s="2">
        <f>VLOOKUP(A35,[80]WRDS!$A$1:$O$100,10,FALSE)/100</f>
        <v>4.9699999999999994E-2</v>
      </c>
      <c r="J35" s="2">
        <f>VLOOKUP(A35,[80]WRDS!$A$1:$O$100,9,FALSE)/100</f>
        <v>0.05</v>
      </c>
      <c r="K35" s="2">
        <f t="shared" si="1"/>
        <v>-0.65512516258584308</v>
      </c>
      <c r="L35" s="2">
        <f t="shared" si="2"/>
        <v>-0.65304342312459052</v>
      </c>
      <c r="M35">
        <f>VLOOKUP(A35,[80]WRDS!$A$1:$O$100,8,FALSE)</f>
        <v>8</v>
      </c>
      <c r="N35">
        <f>VLOOKUP(A35,[80]WRDS!$A$1:$O$100,11,FALSE)</f>
        <v>1.37</v>
      </c>
    </row>
    <row r="36" spans="1:14" x14ac:dyDescent="0.3">
      <c r="A36" t="s">
        <v>75</v>
      </c>
      <c r="B36" t="str">
        <f>VLOOKUP(A36,[79]WRDS!$A$1:$N$100,2,FALSE)</f>
        <v>TE</v>
      </c>
      <c r="C36" t="str">
        <f>VLOOKUP(A36,[79]WRDS!$A$1:$N$100,3,FALSE)</f>
        <v>TECO ENERGY INC</v>
      </c>
      <c r="D36">
        <f>VLOOKUP(A36,[79]WRDS!$A$1:$N$100,13,FALSE)</f>
        <v>1.53</v>
      </c>
      <c r="E36">
        <f>VLOOKUP(A36,[63]WRDS!$A$1:$N$100,13,FALSE)</f>
        <v>0.78</v>
      </c>
      <c r="F36" s="1">
        <f t="shared" si="3"/>
        <v>1.8434832946831745</v>
      </c>
      <c r="G36" s="1">
        <f t="shared" si="4"/>
        <v>1.8491203154574953</v>
      </c>
      <c r="H36" s="2">
        <f t="shared" si="0"/>
        <v>-0.15501151055448303</v>
      </c>
      <c r="I36" s="2">
        <f>VLOOKUP(A36,[80]WRDS!$A$1:$O$100,10,FALSE)/100</f>
        <v>4.7699999999999992E-2</v>
      </c>
      <c r="J36" s="2">
        <f>VLOOKUP(A36,[80]WRDS!$A$1:$O$100,9,FALSE)/100</f>
        <v>4.8499999999999995E-2</v>
      </c>
      <c r="K36" s="2">
        <f t="shared" si="1"/>
        <v>1.3077190837594896</v>
      </c>
      <c r="L36" s="2">
        <f t="shared" si="2"/>
        <v>1.3128799908246385</v>
      </c>
      <c r="M36">
        <f>VLOOKUP(A36,[80]WRDS!$A$1:$O$100,8,FALSE)</f>
        <v>14</v>
      </c>
      <c r="N36">
        <f>VLOOKUP(A36,[80]WRDS!$A$1:$O$100,11,FALSE)</f>
        <v>1.1200000000000001</v>
      </c>
    </row>
    <row r="37" spans="1:14" x14ac:dyDescent="0.3">
      <c r="A37" t="s">
        <v>79</v>
      </c>
      <c r="B37" t="str">
        <f>VLOOKUP(A37,[79]WRDS!$A$1:$N$100,2,FALSE)</f>
        <v>UIL</v>
      </c>
      <c r="C37" t="str">
        <f>VLOOKUP(A37,[79]WRDS!$A$1:$N$100,3,FALSE)</f>
        <v>UTD ILLUM COO</v>
      </c>
      <c r="D37">
        <f>VLOOKUP(A37,[79]WRDS!$A$1:$N$100,13,FALSE)</f>
        <v>2.202</v>
      </c>
      <c r="E37">
        <f>VLOOKUP(A37,[63]WRDS!$A$1:$N$100,13,FALSE)</f>
        <v>1.218</v>
      </c>
      <c r="F37" s="1">
        <f t="shared" si="3"/>
        <v>2.4305959851562493</v>
      </c>
      <c r="G37" s="1">
        <f t="shared" si="4"/>
        <v>2.4305959851562493</v>
      </c>
      <c r="H37" s="2">
        <f t="shared" si="0"/>
        <v>-0.13760249097480504</v>
      </c>
      <c r="I37" s="2">
        <f>VLOOKUP(A37,[80]WRDS!$A$1:$O$100,10,FALSE)/100</f>
        <v>2.5000000000000001E-2</v>
      </c>
      <c r="J37" s="2">
        <f>VLOOKUP(A37,[80]WRDS!$A$1:$O$100,9,FALSE)/100</f>
        <v>2.5000000000000001E-2</v>
      </c>
      <c r="K37" s="2">
        <f t="shared" si="1"/>
        <v>1.1816827575060214</v>
      </c>
      <c r="L37" s="2">
        <f t="shared" si="2"/>
        <v>1.1816827575060214</v>
      </c>
      <c r="M37">
        <f>VLOOKUP(A37,[80]WRDS!$A$1:$O$100,8,FALSE)</f>
        <v>4</v>
      </c>
      <c r="N37">
        <f>VLOOKUP(A37,[80]WRDS!$A$1:$O$100,11,FALSE)</f>
        <v>0.57999999999999996</v>
      </c>
    </row>
    <row r="38" spans="1:14" x14ac:dyDescent="0.3">
      <c r="A38" t="s">
        <v>55</v>
      </c>
      <c r="B38" t="str">
        <f>VLOOKUP(A38,[79]WRDS!$A$1:$N$100,2,FALSE)</f>
        <v>WPC</v>
      </c>
      <c r="C38" t="str">
        <f>VLOOKUP(A38,[79]WRDS!$A$1:$N$100,3,FALSE)</f>
        <v>WISCONSIN ENERGY</v>
      </c>
      <c r="D38">
        <f>VLOOKUP(A38,[79]WRDS!$A$1:$N$100,13,FALSE)</f>
        <v>0.94</v>
      </c>
      <c r="E38">
        <f>VLOOKUP(A38,[63]WRDS!$A$1:$N$100,13,FALSE)</f>
        <v>1.155</v>
      </c>
      <c r="F38" s="1">
        <f t="shared" si="3"/>
        <v>1.0782548030796983</v>
      </c>
      <c r="G38" s="1">
        <f t="shared" si="4"/>
        <v>1.0975538266472591</v>
      </c>
      <c r="H38" s="2">
        <f t="shared" si="0"/>
        <v>5.2842802805758371E-2</v>
      </c>
      <c r="I38" s="2">
        <f>VLOOKUP(A38,[80]WRDS!$A$1:$O$100,10,FALSE)/100</f>
        <v>3.49E-2</v>
      </c>
      <c r="J38" s="2">
        <f>VLOOKUP(A38,[80]WRDS!$A$1:$O$100,9,FALSE)/100</f>
        <v>3.95E-2</v>
      </c>
      <c r="K38" s="2">
        <f t="shared" si="1"/>
        <v>-0.33955055093714887</v>
      </c>
      <c r="L38" s="2">
        <f t="shared" si="2"/>
        <v>-0.25249990722112836</v>
      </c>
      <c r="M38">
        <f>VLOOKUP(A38,[80]WRDS!$A$1:$O$100,8,FALSE)</f>
        <v>12</v>
      </c>
      <c r="N38">
        <f>VLOOKUP(A38,[80]WRDS!$A$1:$O$100,11,FALSE)</f>
        <v>1.56</v>
      </c>
    </row>
    <row r="39" spans="1:14" x14ac:dyDescent="0.3">
      <c r="A39" t="s">
        <v>95</v>
      </c>
      <c r="B39" t="str">
        <f>VLOOKUP(A39,[79]WRDS!$A$1:$N$100,2,FALSE)</f>
        <v>WPS</v>
      </c>
      <c r="C39" t="str">
        <f>VLOOKUP(A39,[79]WRDS!$A$1:$N$100,3,FALSE)</f>
        <v>WPS RESOURCES CP</v>
      </c>
      <c r="D39">
        <f>VLOOKUP(A39,[79]WRDS!$A$1:$N$100,13,FALSE)</f>
        <v>2.2400000000000002</v>
      </c>
      <c r="E39">
        <f>VLOOKUP(A39,[63]WRDS!$A$1:$N$100,13,FALSE)</f>
        <v>2.71</v>
      </c>
      <c r="F39" s="1">
        <f t="shared" si="3"/>
        <v>2.5113631497494397</v>
      </c>
      <c r="G39" s="1">
        <f t="shared" si="4"/>
        <v>2.5016150267494401</v>
      </c>
      <c r="H39" s="2">
        <f t="shared" si="0"/>
        <v>4.8770150306487459E-2</v>
      </c>
      <c r="I39" s="2">
        <f>VLOOKUP(A39,[80]WRDS!$A$1:$O$100,10,FALSE)/100</f>
        <v>2.8999999999999998E-2</v>
      </c>
      <c r="J39" s="2">
        <f>VLOOKUP(A39,[80]WRDS!$A$1:$O$100,9,FALSE)/100</f>
        <v>2.7999999999999997E-2</v>
      </c>
      <c r="K39" s="2">
        <f t="shared" si="1"/>
        <v>-0.40537398761835708</v>
      </c>
      <c r="L39" s="2">
        <f t="shared" si="2"/>
        <v>-0.4258783328728965</v>
      </c>
      <c r="M39">
        <f>VLOOKUP(A39,[80]WRDS!$A$1:$O$100,8,FALSE)</f>
        <v>4</v>
      </c>
      <c r="N39">
        <f>VLOOKUP(A39,[80]WRDS!$A$1:$O$100,11,FALSE)</f>
        <v>1.05</v>
      </c>
    </row>
    <row r="40" spans="1:14" x14ac:dyDescent="0.3">
      <c r="A40" t="s">
        <v>64</v>
      </c>
      <c r="B40" t="str">
        <f>VLOOKUP(A40,[79]WRDS!$A$1:$N$100,2,FALSE)</f>
        <v>KAN</v>
      </c>
      <c r="C40" t="str">
        <f>VLOOKUP(A40,[79]WRDS!$A$1:$N$100,3,FALSE)</f>
        <v>WESTN RESOURCES</v>
      </c>
      <c r="D40">
        <f>VLOOKUP(A40,[79]WRDS!$A$1:$N$100,13,FALSE)</f>
        <v>0.48</v>
      </c>
      <c r="E40">
        <f>VLOOKUP(A40,[63]WRDS!$A$1:$N$100,13,FALSE)</f>
        <v>2.2400000000000002</v>
      </c>
      <c r="F40" s="1">
        <f t="shared" si="3"/>
        <v>0.53606036287488001</v>
      </c>
      <c r="G40" s="1">
        <f t="shared" si="4"/>
        <v>0.51956743679999995</v>
      </c>
      <c r="H40" s="2">
        <f t="shared" si="0"/>
        <v>0.46977784017493174</v>
      </c>
      <c r="I40" s="2">
        <f>VLOOKUP(A40,[80]WRDS!$A$1:$O$100,10,FALSE)/100</f>
        <v>2.7999999999999997E-2</v>
      </c>
      <c r="J40" s="2">
        <f>VLOOKUP(A40,[80]WRDS!$A$1:$O$100,9,FALSE)/100</f>
        <v>0.02</v>
      </c>
      <c r="K40" s="2">
        <f t="shared" si="1"/>
        <v>-0.94039735890996123</v>
      </c>
      <c r="L40" s="2">
        <f t="shared" si="2"/>
        <v>-0.95742668493568661</v>
      </c>
      <c r="M40">
        <f>VLOOKUP(A40,[80]WRDS!$A$1:$O$100,8,FALSE)</f>
        <v>9</v>
      </c>
      <c r="N40">
        <f>VLOOKUP(A40,[80]WRDS!$A$1:$O$100,11,FALSE)</f>
        <v>1.63</v>
      </c>
    </row>
    <row r="41" spans="1:14" x14ac:dyDescent="0.3">
      <c r="A41" t="s">
        <v>132</v>
      </c>
      <c r="B41" t="str">
        <f>VLOOKUP(A41,'[5]Ticker List'!$H$4:$I$20,2,FALSE)</f>
        <v>EGAS</v>
      </c>
      <c r="C41" t="str">
        <f>VLOOKUP(A41,[81]orbaaz2iyp1f1tmo!$B$1:$N$14,2,FALSE)</f>
        <v>ATMOS ENERGY CP</v>
      </c>
      <c r="D41">
        <f>VLOOKUP(A41,[81]orbaaz2iyp1f1tmo!$B$1:$N$14,12,FALSE)</f>
        <v>1.02</v>
      </c>
      <c r="E41">
        <f>VLOOKUP(A41,[65]ieprf1wuovha0ksv!$B$1:$N$15,12,FALSE)</f>
        <v>1.67</v>
      </c>
      <c r="F41" s="1">
        <f t="shared" si="3"/>
        <v>1.3566116468604776</v>
      </c>
      <c r="G41" s="1">
        <f t="shared" si="4"/>
        <v>1.3370119302000001</v>
      </c>
      <c r="H41" s="2">
        <f t="shared" si="0"/>
        <v>0.13117311579375213</v>
      </c>
      <c r="I41" s="2">
        <f>VLOOKUP(A41,[82]qxzeo5ktgxzng7bo!$B$1:$N$14,9,FALSE)/100</f>
        <v>7.3899999999999993E-2</v>
      </c>
      <c r="J41" s="2">
        <f>VLOOKUP(A41,[82]qxzeo5ktgxzng7bo!$B$1:$N$14,8,FALSE)/100</f>
        <v>7.0000000000000007E-2</v>
      </c>
      <c r="K41" s="2">
        <f t="shared" si="1"/>
        <v>-0.43662236310529184</v>
      </c>
      <c r="L41" s="2">
        <f t="shared" si="2"/>
        <v>-0.46635406518769179</v>
      </c>
      <c r="M41">
        <f>VLOOKUP(A41,[82]qxzeo5ktgxzng7bo!$B$1:$N$14,7,FALSE)</f>
        <v>7</v>
      </c>
      <c r="N41">
        <f>VLOOKUP(A41,[82]qxzeo5ktgxzng7bo!$B$1:$N$14,10,FALSE)</f>
        <v>2.6</v>
      </c>
    </row>
    <row r="42" spans="1:14" x14ac:dyDescent="0.3">
      <c r="A42" t="s">
        <v>133</v>
      </c>
      <c r="B42" t="str">
        <f>VLOOKUP(A42,'[5]Ticker List'!$H$4:$I$20,2,FALSE)</f>
        <v>CHPK</v>
      </c>
      <c r="C42" t="str">
        <f>VLOOKUP(A42,[81]orbaaz2iyp1f1tmo!$B$1:$N$14,2,FALSE)</f>
        <v>CHESAPEAKE UTIL</v>
      </c>
      <c r="D42">
        <f>VLOOKUP(A42,[81]orbaaz2iyp1f1tmo!$B$1:$N$14,12,FALSE)</f>
        <v>0.74</v>
      </c>
      <c r="E42">
        <f>VLOOKUP(A42,[65]ieprf1wuovha0ksv!$B$1:$N$15,12,FALSE)</f>
        <v>1.2067000000000001</v>
      </c>
      <c r="F42" s="1">
        <f t="shared" si="3"/>
        <v>0.93423295040000021</v>
      </c>
      <c r="G42" s="1">
        <f t="shared" si="4"/>
        <v>0.93423295040000021</v>
      </c>
      <c r="H42" s="2">
        <f t="shared" si="0"/>
        <v>0.13003500878537322</v>
      </c>
      <c r="I42" s="2">
        <f>VLOOKUP(A42,[82]qxzeo5ktgxzng7bo!$B$1:$N$14,9,FALSE)/100</f>
        <v>0.06</v>
      </c>
      <c r="J42" s="2">
        <f>VLOOKUP(A42,[82]qxzeo5ktgxzng7bo!$B$1:$N$14,8,FALSE)/100</f>
        <v>0.06</v>
      </c>
      <c r="K42" s="2">
        <f t="shared" si="1"/>
        <v>-0.53858579654474559</v>
      </c>
      <c r="L42" s="2">
        <f t="shared" si="2"/>
        <v>-0.53858579654474559</v>
      </c>
      <c r="M42">
        <f>VLOOKUP(A42,[82]qxzeo5ktgxzng7bo!$B$1:$N$14,7,FALSE)</f>
        <v>1</v>
      </c>
      <c r="N42">
        <f>VLOOKUP(A42,[82]qxzeo5ktgxzng7bo!$B$1:$N$14,10,FALSE)</f>
        <v>0</v>
      </c>
    </row>
    <row r="43" spans="1:14" x14ac:dyDescent="0.3">
      <c r="A43" t="s">
        <v>134</v>
      </c>
      <c r="B43" t="str">
        <f>VLOOKUP(A43,'[5]Ticker List'!$H$4:$I$20,2,FALSE)</f>
        <v>NJR</v>
      </c>
      <c r="C43" t="str">
        <f>VLOOKUP(A43,[81]orbaaz2iyp1f1tmo!$B$1:$N$14,2,FALSE)</f>
        <v>NEW JERSEY RES</v>
      </c>
      <c r="D43">
        <f>VLOOKUP(A43,[81]orbaaz2iyp1f1tmo!$B$1:$N$14,12,FALSE)</f>
        <v>0.5978</v>
      </c>
      <c r="E43">
        <f>VLOOKUP(A43,[65]ieprf1wuovha0ksv!$B$1:$N$15,12,FALSE)</f>
        <v>0.85</v>
      </c>
      <c r="F43" s="1">
        <f t="shared" si="3"/>
        <v>0.75186479682320573</v>
      </c>
      <c r="G43" s="1">
        <f t="shared" si="4"/>
        <v>0.75470872668800015</v>
      </c>
      <c r="H43" s="2">
        <f t="shared" si="0"/>
        <v>9.1982689301030929E-2</v>
      </c>
      <c r="I43" s="2">
        <f>VLOOKUP(A43,[82]qxzeo5ktgxzng7bo!$B$1:$N$14,9,FALSE)/100</f>
        <v>5.9000000000000004E-2</v>
      </c>
      <c r="J43" s="2">
        <f>VLOOKUP(A43,[82]qxzeo5ktgxzng7bo!$B$1:$N$14,8,FALSE)/100</f>
        <v>0.06</v>
      </c>
      <c r="K43" s="2">
        <f t="shared" si="1"/>
        <v>-0.35857496178535042</v>
      </c>
      <c r="L43" s="2">
        <f t="shared" si="2"/>
        <v>-0.34770335096815302</v>
      </c>
      <c r="M43">
        <f>VLOOKUP(A43,[82]qxzeo5ktgxzng7bo!$B$1:$N$14,7,FALSE)</f>
        <v>5</v>
      </c>
      <c r="N43">
        <f>VLOOKUP(A43,[82]qxzeo5ktgxzng7bo!$B$1:$N$14,10,FALSE)</f>
        <v>0.55000000000000004</v>
      </c>
    </row>
    <row r="44" spans="1:14" x14ac:dyDescent="0.3">
      <c r="A44" t="s">
        <v>135</v>
      </c>
      <c r="B44" t="str">
        <f>VLOOKUP(A44,'[5]Ticker List'!$H$4:$I$20,2,FALSE)</f>
        <v>NI</v>
      </c>
      <c r="C44" t="str">
        <f>VLOOKUP(A44,[81]orbaaz2iyp1f1tmo!$B$1:$N$14,2,FALSE)</f>
        <v>NISOURCE INC</v>
      </c>
      <c r="D44">
        <f>VLOOKUP(A44,[81]orbaaz2iyp1f1tmo!$B$1:$N$14,12,FALSE)</f>
        <v>1.43</v>
      </c>
      <c r="E44">
        <f>VLOOKUP(A44,[65]ieprf1wuovha0ksv!$B$1:$N$15,12,FALSE)</f>
        <v>1.61</v>
      </c>
      <c r="F44" s="1">
        <f t="shared" si="3"/>
        <v>1.91398800479162</v>
      </c>
      <c r="G44" s="1">
        <f t="shared" si="4"/>
        <v>1.9454992128000004</v>
      </c>
      <c r="H44" s="2">
        <f t="shared" si="0"/>
        <v>3.008356877276408E-2</v>
      </c>
      <c r="I44" s="2">
        <f>VLOOKUP(A44,[82]qxzeo5ktgxzng7bo!$B$1:$N$14,9,FALSE)/100</f>
        <v>7.5600000000000001E-2</v>
      </c>
      <c r="J44" s="2">
        <f>VLOOKUP(A44,[82]qxzeo5ktgxzng7bo!$B$1:$N$14,8,FALSE)/100</f>
        <v>0.08</v>
      </c>
      <c r="K44" s="2">
        <f t="shared" si="1"/>
        <v>1.5129997232390813</v>
      </c>
      <c r="L44" s="2">
        <f t="shared" si="2"/>
        <v>1.6592589663905621</v>
      </c>
      <c r="M44">
        <f>VLOOKUP(A44,[82]qxzeo5ktgxzng7bo!$B$1:$N$14,7,FALSE)</f>
        <v>16</v>
      </c>
      <c r="N44">
        <f>VLOOKUP(A44,[82]qxzeo5ktgxzng7bo!$B$1:$N$14,10,FALSE)</f>
        <v>2.13</v>
      </c>
    </row>
    <row r="45" spans="1:14" x14ac:dyDescent="0.3">
      <c r="A45" t="s">
        <v>138</v>
      </c>
      <c r="B45" t="str">
        <f>VLOOKUP(A45,'[5]Ticker List'!$H$4:$I$20,2,FALSE)</f>
        <v>SJI</v>
      </c>
      <c r="C45" t="str">
        <f>VLOOKUP(A45,[81]orbaaz2iyp1f1tmo!$B$1:$N$14,2,FALSE)</f>
        <v>SO JERSEY INDS</v>
      </c>
      <c r="D45">
        <f>VLOOKUP(A45,[81]orbaaz2iyp1f1tmo!$B$1:$N$14,12,FALSE)</f>
        <v>0.505</v>
      </c>
      <c r="E45">
        <f>VLOOKUP(A45,[65]ieprf1wuovha0ksv!$B$1:$N$15,12,FALSE)</f>
        <v>0.6825</v>
      </c>
      <c r="F45" s="1">
        <f t="shared" si="3"/>
        <v>0.58331584317015928</v>
      </c>
      <c r="G45" s="1">
        <f t="shared" si="4"/>
        <v>0.56838194904999995</v>
      </c>
      <c r="H45" s="2">
        <f t="shared" si="0"/>
        <v>7.8208669205461101E-2</v>
      </c>
      <c r="I45" s="2">
        <f>VLOOKUP(A45,[82]qxzeo5ktgxzng7bo!$B$1:$N$14,9,FALSE)/100</f>
        <v>3.6699999999999997E-2</v>
      </c>
      <c r="J45" s="2">
        <f>VLOOKUP(A45,[82]qxzeo5ktgxzng7bo!$B$1:$N$14,8,FALSE)/100</f>
        <v>0.03</v>
      </c>
      <c r="K45" s="2">
        <f t="shared" si="1"/>
        <v>-0.53074255868507558</v>
      </c>
      <c r="L45" s="2">
        <f t="shared" si="2"/>
        <v>-0.61641081091423078</v>
      </c>
      <c r="M45">
        <f>VLOOKUP(A45,[82]qxzeo5ktgxzng7bo!$B$1:$N$14,7,FALSE)</f>
        <v>3</v>
      </c>
      <c r="N45">
        <f>VLOOKUP(A45,[82]qxzeo5ktgxzng7bo!$B$1:$N$14,10,FALSE)</f>
        <v>1.1499999999999999</v>
      </c>
    </row>
    <row r="46" spans="1:14" x14ac:dyDescent="0.3">
      <c r="A46" t="s">
        <v>139</v>
      </c>
      <c r="B46" t="str">
        <f>VLOOKUP(A46,'[5]Ticker List'!$H$4:$I$20,2,FALSE)</f>
        <v>SWX</v>
      </c>
      <c r="C46" t="str">
        <f>VLOOKUP(A46,[81]orbaaz2iyp1f1tmo!$B$1:$N$14,2,FALSE)</f>
        <v>SOUTHWEST GAS</v>
      </c>
      <c r="D46">
        <f>VLOOKUP(A46,[81]orbaaz2iyp1f1tmo!$B$1:$N$14,12,FALSE)</f>
        <v>1.27</v>
      </c>
      <c r="E46">
        <f>VLOOKUP(A46,[65]ieprf1wuovha0ksv!$B$1:$N$15,12,FALSE)</f>
        <v>1.1299999999999999</v>
      </c>
      <c r="F46" s="1">
        <f t="shared" si="3"/>
        <v>1.5436929375000001</v>
      </c>
      <c r="G46" s="1">
        <f t="shared" si="4"/>
        <v>1.5436929375000001</v>
      </c>
      <c r="H46" s="2">
        <f t="shared" si="0"/>
        <v>-2.8777621603963688E-2</v>
      </c>
      <c r="I46" s="2">
        <f>VLOOKUP(A46,[82]qxzeo5ktgxzng7bo!$B$1:$N$14,9,FALSE)/100</f>
        <v>0.05</v>
      </c>
      <c r="J46" s="2">
        <f>VLOOKUP(A46,[82]qxzeo5ktgxzng7bo!$B$1:$N$14,8,FALSE)/100</f>
        <v>0.05</v>
      </c>
      <c r="K46" s="2">
        <f t="shared" si="1"/>
        <v>2.7374611664611384</v>
      </c>
      <c r="L46" s="2">
        <f t="shared" si="2"/>
        <v>2.7374611664611384</v>
      </c>
      <c r="M46">
        <f>VLOOKUP(A46,[82]qxzeo5ktgxzng7bo!$B$1:$N$14,7,FALSE)</f>
        <v>3</v>
      </c>
      <c r="N46">
        <f>VLOOKUP(A46,[82]qxzeo5ktgxzng7bo!$B$1:$N$14,10,FALSE)</f>
        <v>1</v>
      </c>
    </row>
    <row r="47" spans="1:14" x14ac:dyDescent="0.3">
      <c r="A47" t="s">
        <v>148</v>
      </c>
      <c r="B47" t="str">
        <f>VLOOKUP(A47,'[5]Ticker List'!$H$4:$I$20,2,FALSE)</f>
        <v>AGLT</v>
      </c>
      <c r="C47" t="str">
        <f>VLOOKUP(A47,[81]orbaaz2iyp1f1tmo!$B$1:$N$14,2,FALSE)</f>
        <v>AGL RESOURCES</v>
      </c>
      <c r="D47">
        <f>VLOOKUP(A47,[81]orbaaz2iyp1f1tmo!$B$1:$N$14,12,FALSE)</f>
        <v>1.24</v>
      </c>
      <c r="E47">
        <f>VLOOKUP(A47,[65]ieprf1wuovha0ksv!$B$1:$N$15,12,FALSE)</f>
        <v>2.08</v>
      </c>
      <c r="F47" s="1">
        <f t="shared" si="3"/>
        <v>1.5164356819960954</v>
      </c>
      <c r="G47" s="1">
        <f t="shared" si="4"/>
        <v>1.50722775</v>
      </c>
      <c r="H47" s="2">
        <f t="shared" si="0"/>
        <v>0.13804756122293349</v>
      </c>
      <c r="I47" s="2">
        <f>VLOOKUP(A47,[82]qxzeo5ktgxzng7bo!$B$1:$N$14,9,FALSE)/100</f>
        <v>5.16E-2</v>
      </c>
      <c r="J47" s="2">
        <f>VLOOKUP(A47,[82]qxzeo5ktgxzng7bo!$B$1:$N$14,8,FALSE)/100</f>
        <v>0.05</v>
      </c>
      <c r="K47" s="2">
        <f t="shared" si="1"/>
        <v>-0.62621577996100208</v>
      </c>
      <c r="L47" s="2">
        <f t="shared" si="2"/>
        <v>-0.63780598833430435</v>
      </c>
      <c r="M47">
        <f>VLOOKUP(A47,[82]qxzeo5ktgxzng7bo!$B$1:$N$14,7,FALSE)</f>
        <v>10</v>
      </c>
      <c r="N47">
        <f>VLOOKUP(A47,[82]qxzeo5ktgxzng7bo!$B$1:$N$14,10,FALSE)</f>
        <v>1.01</v>
      </c>
    </row>
    <row r="48" spans="1:14" x14ac:dyDescent="0.3">
      <c r="A48" t="s">
        <v>143</v>
      </c>
      <c r="B48" t="str">
        <f>VLOOKUP(A48,'[5]Ticker List'!$H$4:$I$20,2,FALSE)</f>
        <v>LG</v>
      </c>
      <c r="C48" t="str">
        <f>VLOOKUP(A48,[81]orbaaz2iyp1f1tmo!$B$1:$N$14,2,FALSE)</f>
        <v>LACLEDE GAS</v>
      </c>
      <c r="D48">
        <f>VLOOKUP(A48,[81]orbaaz2iyp1f1tmo!$B$1:$N$14,12,FALSE)</f>
        <v>1.37</v>
      </c>
      <c r="E48">
        <f>VLOOKUP(A48,[65]ieprf1wuovha0ksv!$B$1:$N$15,12,FALSE)</f>
        <v>1.9</v>
      </c>
      <c r="F48" s="1">
        <f t="shared" si="3"/>
        <v>1.5721065108562498</v>
      </c>
      <c r="G48" s="1">
        <f t="shared" si="4"/>
        <v>1.5721065108562498</v>
      </c>
      <c r="H48" s="2">
        <f t="shared" si="0"/>
        <v>8.5196185290449922E-2</v>
      </c>
      <c r="I48" s="2">
        <f>VLOOKUP(A48,[82]qxzeo5ktgxzng7bo!$B$1:$N$14,9,FALSE)/100</f>
        <v>3.5000000000000003E-2</v>
      </c>
      <c r="J48" s="2">
        <f>VLOOKUP(A48,[82]qxzeo5ktgxzng7bo!$B$1:$N$14,8,FALSE)/100</f>
        <v>3.5000000000000003E-2</v>
      </c>
      <c r="K48" s="2">
        <f t="shared" si="1"/>
        <v>-0.58918348420556177</v>
      </c>
      <c r="L48" s="2">
        <f t="shared" si="2"/>
        <v>-0.58918348420556177</v>
      </c>
      <c r="M48">
        <f>VLOOKUP(A48,[82]qxzeo5ktgxzng7bo!$B$1:$N$14,7,FALSE)</f>
        <v>2</v>
      </c>
      <c r="N48">
        <f>VLOOKUP(A48,[82]qxzeo5ktgxzng7bo!$B$1:$N$14,10,FALSE)</f>
        <v>0.71</v>
      </c>
    </row>
    <row r="49" spans="1:14" x14ac:dyDescent="0.3">
      <c r="A49" t="s">
        <v>144</v>
      </c>
      <c r="B49" t="str">
        <f>VLOOKUP(A49,'[5]Ticker List'!$H$4:$I$20,2,FALSE)</f>
        <v>GAS</v>
      </c>
      <c r="C49" t="str">
        <f>VLOOKUP(A49,[81]orbaaz2iyp1f1tmo!$B$1:$N$14,2,FALSE)</f>
        <v>NICOR INC</v>
      </c>
      <c r="D49">
        <f>VLOOKUP(A49,[81]orbaaz2iyp1f1tmo!$B$1:$N$14,12,FALSE)</f>
        <v>2.63</v>
      </c>
      <c r="E49">
        <f>VLOOKUP(A49,[65]ieprf1wuovha0ksv!$B$1:$N$15,12,FALSE)</f>
        <v>1.99</v>
      </c>
      <c r="F49" s="1">
        <f t="shared" si="3"/>
        <v>3.382135918107751</v>
      </c>
      <c r="G49" s="1">
        <f t="shared" si="4"/>
        <v>3.3770571602335644</v>
      </c>
      <c r="H49" s="2">
        <f t="shared" si="0"/>
        <v>-6.7337893538490512E-2</v>
      </c>
      <c r="I49" s="2">
        <f>VLOOKUP(A49,[82]qxzeo5ktgxzng7bo!$B$1:$N$14,9,FALSE)/100</f>
        <v>6.4899999999999999E-2</v>
      </c>
      <c r="J49" s="2">
        <f>VLOOKUP(A49,[82]qxzeo5ktgxzng7bo!$B$1:$N$14,8,FALSE)/100</f>
        <v>6.4500000000000002E-2</v>
      </c>
      <c r="K49" s="2">
        <f t="shared" si="1"/>
        <v>1.9637961122574024</v>
      </c>
      <c r="L49" s="2">
        <f t="shared" si="2"/>
        <v>1.9578559205023489</v>
      </c>
      <c r="M49">
        <f>VLOOKUP(A49,[82]qxzeo5ktgxzng7bo!$B$1:$N$14,7,FALSE)</f>
        <v>8</v>
      </c>
      <c r="N49">
        <f>VLOOKUP(A49,[82]qxzeo5ktgxzng7bo!$B$1:$N$14,10,FALSE)</f>
        <v>0.92</v>
      </c>
    </row>
    <row r="50" spans="1:14" x14ac:dyDescent="0.3">
      <c r="A50" t="s">
        <v>146</v>
      </c>
      <c r="B50" t="str">
        <f>VLOOKUP(A50,'[5]Ticker List'!$H$4:$I$20,2,FALSE)</f>
        <v>PNY</v>
      </c>
      <c r="C50" t="str">
        <f>VLOOKUP(A50,[81]orbaaz2iyp1f1tmo!$B$1:$N$14,2,FALSE)</f>
        <v>PIEDMONT NAT GAS</v>
      </c>
      <c r="D50">
        <f>VLOOKUP(A50,[81]orbaaz2iyp1f1tmo!$B$1:$N$14,12,FALSE)</f>
        <v>0.92500000000000004</v>
      </c>
      <c r="E50">
        <f>VLOOKUP(A50,[65]ieprf1wuovha0ksv!$B$1:$N$15,12,FALSE)</f>
        <v>1.3</v>
      </c>
      <c r="F50" s="1">
        <f t="shared" si="3"/>
        <v>1.170878976415668</v>
      </c>
      <c r="G50" s="1">
        <f t="shared" si="4"/>
        <v>1.1677911880000003</v>
      </c>
      <c r="H50" s="2">
        <f t="shared" si="0"/>
        <v>8.8805747931024914E-2</v>
      </c>
      <c r="I50" s="2">
        <f>VLOOKUP(A50,[82]qxzeo5ktgxzng7bo!$B$1:$N$14,9,FALSE)/100</f>
        <v>6.0700000000000004E-2</v>
      </c>
      <c r="J50" s="2">
        <f>VLOOKUP(A50,[82]qxzeo5ktgxzng7bo!$B$1:$N$14,8,FALSE)/100</f>
        <v>0.06</v>
      </c>
      <c r="K50" s="2">
        <f t="shared" si="1"/>
        <v>-0.31648568460742582</v>
      </c>
      <c r="L50" s="2">
        <f t="shared" si="2"/>
        <v>-0.32436805727257917</v>
      </c>
      <c r="M50">
        <f>VLOOKUP(A50,[82]qxzeo5ktgxzng7bo!$B$1:$N$14,7,FALSE)</f>
        <v>7</v>
      </c>
      <c r="N50">
        <f>VLOOKUP(A50,[82]qxzeo5ktgxzng7bo!$B$1:$N$14,10,FALSE)</f>
        <v>1.17</v>
      </c>
    </row>
    <row r="51" spans="1:14" x14ac:dyDescent="0.3">
      <c r="A51" t="s">
        <v>145</v>
      </c>
      <c r="B51" t="str">
        <f>VLOOKUP(A51,'[5]Ticker List'!$H$4:$I$20,2,FALSE)</f>
        <v>WGL</v>
      </c>
      <c r="C51" t="str">
        <f>VLOOKUP(A51,[81]orbaaz2iyp1f1tmo!$B$1:$N$14,2,FALSE)</f>
        <v>WASH GAS LT</v>
      </c>
      <c r="D51">
        <f>VLOOKUP(A51,[81]orbaaz2iyp1f1tmo!$B$1:$N$14,12,FALSE)</f>
        <v>1.79</v>
      </c>
      <c r="E51">
        <f>VLOOKUP(A51,[65]ieprf1wuovha0ksv!$B$1:$N$15,12,FALSE)</f>
        <v>1.84</v>
      </c>
      <c r="F51" s="1">
        <f t="shared" si="3"/>
        <v>2.1452501067627212</v>
      </c>
      <c r="G51" s="1">
        <f t="shared" si="4"/>
        <v>2.1551085879136727</v>
      </c>
      <c r="H51" s="2">
        <f t="shared" si="0"/>
        <v>6.9112612352162373E-3</v>
      </c>
      <c r="I51" s="2">
        <f>VLOOKUP(A51,[82]qxzeo5ktgxzng7bo!$B$1:$N$14,9,FALSE)/100</f>
        <v>4.6300000000000001E-2</v>
      </c>
      <c r="J51" s="2">
        <f>VLOOKUP(A51,[82]qxzeo5ktgxzng7bo!$B$1:$N$14,8,FALSE)/100</f>
        <v>4.7500000000000001E-2</v>
      </c>
      <c r="K51" s="2">
        <f t="shared" si="1"/>
        <v>5.699211391992967</v>
      </c>
      <c r="L51" s="2">
        <f t="shared" si="2"/>
        <v>5.872841060899912</v>
      </c>
      <c r="M51">
        <f>VLOOKUP(A51,[82]qxzeo5ktgxzng7bo!$B$1:$N$14,7,FALSE)</f>
        <v>8</v>
      </c>
      <c r="N51">
        <f>VLOOKUP(A51,[82]qxzeo5ktgxzng7bo!$B$1:$N$14,10,FALSE)</f>
        <v>1.38</v>
      </c>
    </row>
    <row r="52" spans="1:14" x14ac:dyDescent="0.3">
      <c r="A52" t="s">
        <v>149</v>
      </c>
      <c r="B52" t="str">
        <f>VLOOKUP(A52,'[5]Ticker List'!$H$4:$I$20,2,FALSE)</f>
        <v>CGC</v>
      </c>
      <c r="C52" t="str">
        <f>VLOOKUP(A52,[81]orbaaz2iyp1f1tmo!$B$1:$N$14,2,FALSE)</f>
        <v>CASCADE NAT GAS</v>
      </c>
      <c r="D52">
        <f>VLOOKUP(A52,[81]orbaaz2iyp1f1tmo!$B$1:$N$14,12,FALSE)</f>
        <v>1.39</v>
      </c>
      <c r="E52">
        <f>VLOOKUP(A52,[65]ieprf1wuovha0ksv!$B$1:$N$15,12,FALSE)</f>
        <v>1.19</v>
      </c>
      <c r="F52" s="1">
        <f t="shared" si="3"/>
        <v>1.6386480145374405</v>
      </c>
      <c r="G52" s="1">
        <f t="shared" si="4"/>
        <v>1.6576008548687491</v>
      </c>
      <c r="H52" s="2">
        <f t="shared" si="0"/>
        <v>-3.8093099478967329E-2</v>
      </c>
      <c r="I52" s="2">
        <f>VLOOKUP(A52,[82]qxzeo5ktgxzng7bo!$B$1:$N$14,9,FALSE)/100</f>
        <v>4.2000000000000003E-2</v>
      </c>
      <c r="J52" s="2">
        <f>VLOOKUP(A52,[82]qxzeo5ktgxzng7bo!$B$1:$N$14,8,FALSE)/100</f>
        <v>4.4999999999999998E-2</v>
      </c>
      <c r="K52" s="2">
        <f t="shared" si="1"/>
        <v>2.1025618963662915</v>
      </c>
      <c r="L52" s="2">
        <f t="shared" si="2"/>
        <v>2.1813163175353121</v>
      </c>
      <c r="M52">
        <f>VLOOKUP(A52,[82]qxzeo5ktgxzng7bo!$B$1:$N$14,7,FALSE)</f>
        <v>4</v>
      </c>
      <c r="N52">
        <f>VLOOKUP(A52,[82]qxzeo5ktgxzng7bo!$B$1:$N$14,10,FALSE)</f>
        <v>1.05</v>
      </c>
    </row>
    <row r="53" spans="1:14" x14ac:dyDescent="0.3">
      <c r="A53" t="s">
        <v>150</v>
      </c>
      <c r="B53" t="str">
        <f>VLOOKUP(A53,'[5]Ticker List'!$H$4:$I$20,2,FALSE)</f>
        <v>MN</v>
      </c>
      <c r="C53" t="str">
        <f>VLOOKUP(A53,[81]orbaaz2iyp1f1tmo!$B$1:$N$14,2,FALSE)</f>
        <v>KEYSPAN CP</v>
      </c>
      <c r="D53">
        <f>VLOOKUP(A53,[81]orbaaz2iyp1f1tmo!$B$1:$N$14,12,FALSE)</f>
        <v>1.6</v>
      </c>
      <c r="E53">
        <f>VLOOKUP(A53,[65]ieprf1wuovha0ksv!$B$1:$N$15,12,FALSE)</f>
        <v>2.7</v>
      </c>
      <c r="F53" s="1">
        <f t="shared" si="3"/>
        <v>2.2651684277387676</v>
      </c>
      <c r="G53" s="1">
        <f t="shared" si="4"/>
        <v>2.3425600000000006</v>
      </c>
      <c r="H53" s="2">
        <f t="shared" si="0"/>
        <v>0.13975352847738876</v>
      </c>
      <c r="I53" s="2">
        <f>VLOOKUP(A53,[82]qxzeo5ktgxzng7bo!$B$1:$N$14,9,FALSE)/100</f>
        <v>9.0800000000000006E-2</v>
      </c>
      <c r="J53" s="2">
        <f>VLOOKUP(A53,[82]qxzeo5ktgxzng7bo!$B$1:$N$14,8,FALSE)/100</f>
        <v>0.1</v>
      </c>
      <c r="K53" s="2">
        <f t="shared" si="1"/>
        <v>-0.35028474064831305</v>
      </c>
      <c r="L53" s="2">
        <f t="shared" si="2"/>
        <v>-0.2844545601853668</v>
      </c>
      <c r="M53">
        <f>VLOOKUP(A53,[82]qxzeo5ktgxzng7bo!$B$1:$N$14,7,FALSE)</f>
        <v>6</v>
      </c>
      <c r="N53">
        <f>VLOOKUP(A53,[82]qxzeo5ktgxzng7bo!$B$1:$N$14,10,FALSE)</f>
        <v>2.65</v>
      </c>
    </row>
  </sheetData>
  <mergeCells count="3">
    <mergeCell ref="P1:Q1"/>
    <mergeCell ref="P7:Q7"/>
    <mergeCell ref="P13:Q13"/>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E8F60-608B-4804-A6FF-5A9C0026829D}">
  <dimension ref="A1:Q46"/>
  <sheetViews>
    <sheetView workbookViewId="0">
      <selection activeCell="A34" sqref="A34"/>
    </sheetView>
  </sheetViews>
  <sheetFormatPr defaultRowHeight="14.4" x14ac:dyDescent="0.3"/>
  <cols>
    <col min="1" max="1" width="13.33203125" bestFit="1" customWidth="1"/>
    <col min="2" max="2" width="10.44140625" bestFit="1" customWidth="1"/>
    <col min="3" max="3" width="15.109375" bestFit="1" customWidth="1"/>
    <col min="4" max="5" width="15.44140625" bestFit="1" customWidth="1"/>
    <col min="6" max="6" width="14.33203125" bestFit="1" customWidth="1"/>
    <col min="7" max="7" width="16" bestFit="1" customWidth="1"/>
    <col min="8" max="8" width="18.33203125" bestFit="1" customWidth="1"/>
    <col min="9" max="9" width="21.44140625" bestFit="1" customWidth="1"/>
    <col min="10" max="10" width="23.109375" bestFit="1" customWidth="1"/>
    <col min="11" max="11" width="22" bestFit="1" customWidth="1"/>
    <col min="12" max="12" width="24.109375" bestFit="1" customWidth="1"/>
    <col min="13" max="13" width="19.88671875" bestFit="1" customWidth="1"/>
    <col min="14" max="14" width="8.33203125" bestFit="1" customWidth="1"/>
    <col min="16" max="16" width="51.88671875" bestFit="1" customWidth="1"/>
    <col min="17" max="17" width="12" bestFit="1" customWidth="1"/>
  </cols>
  <sheetData>
    <row r="1" spans="1:17" x14ac:dyDescent="0.3">
      <c r="A1" t="s">
        <v>0</v>
      </c>
      <c r="B1" t="s">
        <v>1</v>
      </c>
      <c r="C1" t="s">
        <v>2</v>
      </c>
      <c r="D1" t="s">
        <v>99</v>
      </c>
      <c r="E1" t="s">
        <v>94</v>
      </c>
      <c r="F1" t="s">
        <v>5</v>
      </c>
      <c r="G1" t="s">
        <v>6</v>
      </c>
      <c r="H1" t="s">
        <v>7</v>
      </c>
      <c r="I1" t="s">
        <v>8</v>
      </c>
      <c r="J1" t="s">
        <v>9</v>
      </c>
      <c r="K1" t="s">
        <v>10</v>
      </c>
      <c r="L1" t="s">
        <v>11</v>
      </c>
      <c r="M1" t="s">
        <v>12</v>
      </c>
      <c r="N1" t="s">
        <v>13</v>
      </c>
      <c r="P1" s="111" t="s">
        <v>14</v>
      </c>
      <c r="Q1" s="111"/>
    </row>
    <row r="2" spans="1:17" x14ac:dyDescent="0.3">
      <c r="A2" t="s">
        <v>15</v>
      </c>
      <c r="B2" t="str">
        <f>VLOOKUP(A2,[83]WRDS!$A$1:$N$100,2,FALSE)</f>
        <v>UEP</v>
      </c>
      <c r="C2" t="str">
        <f>VLOOKUP(A2,[83]WRDS!$A$1:$N$100,3,FALSE)</f>
        <v>AMEREN CP</v>
      </c>
      <c r="D2">
        <f>VLOOKUP(A2,[83]WRDS!$A$1:$N$100,13,FALSE)</f>
        <v>2.82</v>
      </c>
      <c r="E2">
        <f>VLOOKUP(A2,[67]WRDS!$A$1:$N$100,13,FALSE)</f>
        <v>3.03</v>
      </c>
      <c r="F2" s="1">
        <f>D2*(1+I2)^4</f>
        <v>3.1481293808683208</v>
      </c>
      <c r="G2" s="1">
        <f>D2*(1+J2)^4</f>
        <v>3.1739348441999997</v>
      </c>
      <c r="H2" s="2">
        <f t="shared" ref="H2:H46" si="0">((E2/D2)^(1/4)-1)</f>
        <v>1.8118619704127426E-2</v>
      </c>
      <c r="I2" s="2">
        <f>VLOOKUP(A2,[84]WRDS!$A$1:$O$100,10,FALSE)/100</f>
        <v>2.7900000000000001E-2</v>
      </c>
      <c r="J2" s="2">
        <f>VLOOKUP(A2,[84]WRDS!$A$1:$O$100,9,FALSE)/100</f>
        <v>0.03</v>
      </c>
      <c r="K2" s="2">
        <f t="shared" ref="K2:K46" si="1">(I2-H2)/(ABS(H2))</f>
        <v>0.53985239800824203</v>
      </c>
      <c r="L2" s="2">
        <f t="shared" ref="L2:L46" si="2">(J2-H2)/(ABS(H2))</f>
        <v>0.65575526667552897</v>
      </c>
      <c r="M2">
        <f>VLOOKUP(A2,[84]WRDS!$A$1:$O$100,8,FALSE)</f>
        <v>9</v>
      </c>
      <c r="N2">
        <f>VLOOKUP(A2,[84]WRDS!$A$1:$O$100,11,FALSE)</f>
        <v>1.05</v>
      </c>
      <c r="P2" t="s">
        <v>16</v>
      </c>
      <c r="Q2" s="3">
        <f>AVERAGE(H2:H999)</f>
        <v>5.1878576543607439E-2</v>
      </c>
    </row>
    <row r="3" spans="1:17" x14ac:dyDescent="0.3">
      <c r="A3" t="s">
        <v>19</v>
      </c>
      <c r="B3" t="str">
        <f>VLOOKUP(A3,[83]WRDS!$A$1:$N$100,2,FALSE)</f>
        <v>BHP</v>
      </c>
      <c r="C3" t="str">
        <f>VLOOKUP(A3,[83]WRDS!$A$1:$N$100,3,FALSE)</f>
        <v>BLACK HILLS CP</v>
      </c>
      <c r="D3">
        <f>VLOOKUP(A3,[83]WRDS!$A$1:$N$100,13,FALSE)</f>
        <v>2.78</v>
      </c>
      <c r="E3">
        <f>VLOOKUP(A3,[67]WRDS!$A$1:$N$100,13,FALSE)</f>
        <v>2.29</v>
      </c>
      <c r="F3" s="1">
        <f t="shared" ref="F3:F46" si="3">D3*(1+I3)^4</f>
        <v>3.5965676619302736</v>
      </c>
      <c r="G3" s="1">
        <f t="shared" ref="G3:G46" si="4">D3*(1+J3)^4</f>
        <v>3.5965676619302736</v>
      </c>
      <c r="H3" s="2">
        <f t="shared" si="0"/>
        <v>-4.7318632023879537E-2</v>
      </c>
      <c r="I3" s="2">
        <f>VLOOKUP(A3,[84]WRDS!$A$1:$O$100,10,FALSE)/100</f>
        <v>6.6500000000000004E-2</v>
      </c>
      <c r="J3" s="2">
        <f>VLOOKUP(A3,[84]WRDS!$A$1:$O$100,9,FALSE)/100</f>
        <v>6.6500000000000004E-2</v>
      </c>
      <c r="K3" s="2">
        <f t="shared" si="1"/>
        <v>2.4053660715812857</v>
      </c>
      <c r="L3" s="2">
        <f t="shared" si="2"/>
        <v>2.4053660715812857</v>
      </c>
      <c r="M3">
        <f>VLOOKUP(A3,[84]WRDS!$A$1:$O$100,8,FALSE)</f>
        <v>2</v>
      </c>
      <c r="N3">
        <f>VLOOKUP(A3,[84]WRDS!$A$1:$O$100,11,FALSE)</f>
        <v>5.16</v>
      </c>
      <c r="P3" t="s">
        <v>18</v>
      </c>
      <c r="Q3" s="3">
        <f>AVERAGE(I2:I999)</f>
        <v>5.3746666666666658E-2</v>
      </c>
    </row>
    <row r="4" spans="1:17" x14ac:dyDescent="0.3">
      <c r="A4" t="s">
        <v>88</v>
      </c>
      <c r="B4" t="str">
        <f>VLOOKUP(A4,[83]WRDS!$A$1:$N$100,2,FALSE)</f>
        <v>CIN</v>
      </c>
      <c r="C4" t="str">
        <f>VLOOKUP(A4,[83]WRDS!$A$1:$N$100,3,FALSE)</f>
        <v>CINERGY CORP</v>
      </c>
      <c r="D4">
        <f>VLOOKUP(A4,[83]WRDS!$A$1:$N$100,13,FALSE)</f>
        <v>2.17</v>
      </c>
      <c r="E4">
        <f>VLOOKUP(A4,[67]WRDS!$A$1:$N$100,13,FALSE)</f>
        <v>2.68</v>
      </c>
      <c r="F4" s="1">
        <f t="shared" si="3"/>
        <v>2.6196082851119313</v>
      </c>
      <c r="G4" s="1">
        <f t="shared" si="4"/>
        <v>2.6276147229381697</v>
      </c>
      <c r="H4" s="2">
        <f t="shared" si="0"/>
        <v>5.4189691348689228E-2</v>
      </c>
      <c r="I4" s="2">
        <f>VLOOKUP(A4,[84]WRDS!$A$1:$O$100,10,FALSE)/100</f>
        <v>4.82E-2</v>
      </c>
      <c r="J4" s="2">
        <f>VLOOKUP(A4,[84]WRDS!$A$1:$O$100,9,FALSE)/100</f>
        <v>4.9000000000000002E-2</v>
      </c>
      <c r="K4" s="2">
        <f t="shared" si="1"/>
        <v>-0.11053193328133083</v>
      </c>
      <c r="L4" s="2">
        <f t="shared" si="2"/>
        <v>-9.5768977817120515E-2</v>
      </c>
      <c r="M4">
        <f>VLOOKUP(A4,[84]WRDS!$A$1:$O$100,8,FALSE)</f>
        <v>14</v>
      </c>
      <c r="N4">
        <f>VLOOKUP(A4,[84]WRDS!$A$1:$O$100,11,FALSE)</f>
        <v>1.1599999999999999</v>
      </c>
      <c r="P4" t="s">
        <v>20</v>
      </c>
      <c r="Q4" s="3">
        <f>(Q3-Q2)/ABS(Q2)</f>
        <v>3.6008893217973376E-2</v>
      </c>
    </row>
    <row r="5" spans="1:17" x14ac:dyDescent="0.3">
      <c r="A5" t="s">
        <v>21</v>
      </c>
      <c r="B5" t="str">
        <f>VLOOKUP(A5,[83]WRDS!$A$1:$N$100,2,FALSE)</f>
        <v>CMS</v>
      </c>
      <c r="C5" t="str">
        <f>VLOOKUP(A5,[83]WRDS!$A$1:$N$100,3,FALSE)</f>
        <v>CMS ENERGY CORP</v>
      </c>
      <c r="D5">
        <f>VLOOKUP(A5,[83]WRDS!$A$1:$N$100,13,FALSE)</f>
        <v>2.58</v>
      </c>
      <c r="E5">
        <f>VLOOKUP(A5,[67]WRDS!$A$1:$N$100,13,FALSE)</f>
        <v>1.53</v>
      </c>
      <c r="F5" s="1">
        <f t="shared" si="3"/>
        <v>3.7609218487410936</v>
      </c>
      <c r="G5" s="1">
        <f t="shared" si="4"/>
        <v>3.777378000000001</v>
      </c>
      <c r="H5" s="2">
        <f t="shared" si="0"/>
        <v>-0.12245795993374275</v>
      </c>
      <c r="I5" s="2">
        <f>VLOOKUP(A5,[84]WRDS!$A$1:$O$100,10,FALSE)/100</f>
        <v>9.8800000000000013E-2</v>
      </c>
      <c r="J5" s="2">
        <f>VLOOKUP(A5,[84]WRDS!$A$1:$O$100,9,FALSE)/100</f>
        <v>0.1</v>
      </c>
      <c r="K5" s="2">
        <f t="shared" si="1"/>
        <v>1.8068074958414859</v>
      </c>
      <c r="L5" s="2">
        <f t="shared" si="2"/>
        <v>1.8166067771674959</v>
      </c>
      <c r="M5">
        <f>VLOOKUP(A5,[84]WRDS!$A$1:$O$100,8,FALSE)</f>
        <v>12</v>
      </c>
      <c r="N5">
        <f>VLOOKUP(A5,[84]WRDS!$A$1:$O$100,11,FALSE)</f>
        <v>1.41</v>
      </c>
      <c r="P5" t="s">
        <v>22</v>
      </c>
      <c r="Q5" s="3">
        <f>AVERAGE(J2:J999)</f>
        <v>5.1822222222222228E-2</v>
      </c>
    </row>
    <row r="6" spans="1:17" x14ac:dyDescent="0.3">
      <c r="A6" t="s">
        <v>71</v>
      </c>
      <c r="B6" t="str">
        <f>VLOOKUP(A6,[83]WRDS!$A$1:$N$100,2,FALSE)</f>
        <v>CNL</v>
      </c>
      <c r="C6" t="str">
        <f>VLOOKUP(A6,[83]WRDS!$A$1:$N$100,3,FALSE)</f>
        <v>CLECO CORP</v>
      </c>
      <c r="D6">
        <f>VLOOKUP(A6,[83]WRDS!$A$1:$N$100,13,FALSE)</f>
        <v>1.1200000000000001</v>
      </c>
      <c r="E6">
        <f>VLOOKUP(A6,[67]WRDS!$A$1:$N$100,13,FALSE)</f>
        <v>1.65</v>
      </c>
      <c r="F6" s="1">
        <f t="shared" si="3"/>
        <v>1.2362704374999998</v>
      </c>
      <c r="G6" s="1">
        <f t="shared" si="4"/>
        <v>1.2362704374999998</v>
      </c>
      <c r="H6" s="2">
        <f t="shared" si="0"/>
        <v>0.10170794250065684</v>
      </c>
      <c r="I6" s="2">
        <f>VLOOKUP(A6,[84]WRDS!$A$1:$O$100,10,FALSE)/100</f>
        <v>2.5000000000000001E-2</v>
      </c>
      <c r="J6" s="2">
        <f>VLOOKUP(A6,[84]WRDS!$A$1:$O$100,9,FALSE)/100</f>
        <v>2.5000000000000001E-2</v>
      </c>
      <c r="K6" s="2">
        <f t="shared" si="1"/>
        <v>-0.75419815419195468</v>
      </c>
      <c r="L6" s="2">
        <f t="shared" si="2"/>
        <v>-0.75419815419195468</v>
      </c>
      <c r="M6">
        <f>VLOOKUP(A6,[84]WRDS!$A$1:$O$100,8,FALSE)</f>
        <v>2</v>
      </c>
      <c r="N6">
        <f>VLOOKUP(A6,[84]WRDS!$A$1:$O$100,11,FALSE)</f>
        <v>0.71</v>
      </c>
      <c r="P6" t="s">
        <v>24</v>
      </c>
      <c r="Q6" s="3">
        <f>(Q5-Q2)/ABS(Q2)</f>
        <v>-1.0862734704727686E-3</v>
      </c>
    </row>
    <row r="7" spans="1:17" x14ac:dyDescent="0.3">
      <c r="A7" t="s">
        <v>25</v>
      </c>
      <c r="B7" t="str">
        <f>VLOOKUP(A7,[83]WRDS!$A$1:$N$100,2,FALSE)</f>
        <v>D</v>
      </c>
      <c r="C7" t="str">
        <f>VLOOKUP(A7,[83]WRDS!$A$1:$N$100,3,FALSE)</f>
        <v>DOMINION RES INC</v>
      </c>
      <c r="D7">
        <f>VLOOKUP(A7,[83]WRDS!$A$1:$N$100,13,FALSE)</f>
        <v>1.375</v>
      </c>
      <c r="E7">
        <f>VLOOKUP(A7,[67]WRDS!$A$1:$N$100,13,FALSE)</f>
        <v>2.415</v>
      </c>
      <c r="F7" s="1">
        <f t="shared" si="3"/>
        <v>1.5723631266902576</v>
      </c>
      <c r="G7" s="1">
        <f t="shared" si="4"/>
        <v>1.5475746137499999</v>
      </c>
      <c r="H7" s="2">
        <f t="shared" si="0"/>
        <v>0.15120749710559989</v>
      </c>
      <c r="I7" s="2">
        <f>VLOOKUP(A7,[84]WRDS!$A$1:$O$100,10,FALSE)/100</f>
        <v>3.4099999999999998E-2</v>
      </c>
      <c r="J7" s="2">
        <f>VLOOKUP(A7,[84]WRDS!$A$1:$O$100,9,FALSE)/100</f>
        <v>0.03</v>
      </c>
      <c r="K7" s="2">
        <f t="shared" si="1"/>
        <v>-0.77448208155852671</v>
      </c>
      <c r="L7" s="2">
        <f t="shared" si="2"/>
        <v>-0.8015971392010498</v>
      </c>
      <c r="M7">
        <f>VLOOKUP(A7,[84]WRDS!$A$1:$O$100,8,FALSE)</f>
        <v>12</v>
      </c>
      <c r="N7">
        <f>VLOOKUP(A7,[84]WRDS!$A$1:$O$100,11,FALSE)</f>
        <v>1.73</v>
      </c>
      <c r="P7" s="111" t="s">
        <v>26</v>
      </c>
      <c r="Q7" s="111"/>
    </row>
    <row r="8" spans="1:17" x14ac:dyDescent="0.3">
      <c r="A8" t="s">
        <v>86</v>
      </c>
      <c r="B8" t="str">
        <f>VLOOKUP(A8,[83]WRDS!$A$1:$N$100,2,FALSE)</f>
        <v>DPL</v>
      </c>
      <c r="C8" t="str">
        <f>VLOOKUP(A8,[83]WRDS!$A$1:$N$100,3,FALSE)</f>
        <v>DPL INC</v>
      </c>
      <c r="D8">
        <f>VLOOKUP(A8,[83]WRDS!$A$1:$N$100,13,FALSE)</f>
        <v>1.24</v>
      </c>
      <c r="E8">
        <f>VLOOKUP(A8,[67]WRDS!$A$1:$N$100,13,FALSE)</f>
        <v>1.54</v>
      </c>
      <c r="F8" s="1">
        <f t="shared" si="3"/>
        <v>1.5095257907493433</v>
      </c>
      <c r="G8" s="1">
        <f t="shared" si="4"/>
        <v>1.4506246144000003</v>
      </c>
      <c r="H8" s="2">
        <f t="shared" si="0"/>
        <v>5.5661684262978461E-2</v>
      </c>
      <c r="I8" s="2">
        <f>VLOOKUP(A8,[84]WRDS!$A$1:$O$100,10,FALSE)/100</f>
        <v>5.04E-2</v>
      </c>
      <c r="J8" s="2">
        <f>VLOOKUP(A8,[84]WRDS!$A$1:$O$100,9,FALSE)/100</f>
        <v>0.04</v>
      </c>
      <c r="K8" s="2">
        <f t="shared" si="1"/>
        <v>-9.4529734999019732E-2</v>
      </c>
      <c r="L8" s="2">
        <f t="shared" si="2"/>
        <v>-0.28137280555477756</v>
      </c>
      <c r="M8">
        <f>VLOOKUP(A8,[84]WRDS!$A$1:$O$100,8,FALSE)</f>
        <v>13</v>
      </c>
      <c r="N8">
        <f>VLOOKUP(A8,[84]WRDS!$A$1:$O$100,11,FALSE)</f>
        <v>2.94</v>
      </c>
      <c r="P8" t="s">
        <v>28</v>
      </c>
      <c r="Q8" s="2">
        <f>MEDIAN(H2:H99)</f>
        <v>5.0086986470783357E-2</v>
      </c>
    </row>
    <row r="9" spans="1:17" x14ac:dyDescent="0.3">
      <c r="A9" t="s">
        <v>27</v>
      </c>
      <c r="B9" t="str">
        <f>VLOOKUP(A9,[83]WRDS!$A$1:$N$100,2,FALSE)</f>
        <v>DTE</v>
      </c>
      <c r="C9" t="str">
        <f>VLOOKUP(A9,[83]WRDS!$A$1:$N$100,3,FALSE)</f>
        <v>DTE ENERGY</v>
      </c>
      <c r="D9">
        <f>VLOOKUP(A9,[83]WRDS!$A$1:$N$100,13,FALSE)</f>
        <v>3.05</v>
      </c>
      <c r="E9">
        <f>VLOOKUP(A9,[67]WRDS!$A$1:$N$100,13,FALSE)</f>
        <v>3.83</v>
      </c>
      <c r="F9" s="1">
        <f t="shared" si="3"/>
        <v>3.4301363930982771</v>
      </c>
      <c r="G9" s="1">
        <f t="shared" si="4"/>
        <v>3.4328018704999996</v>
      </c>
      <c r="H9" s="2">
        <f t="shared" si="0"/>
        <v>5.8582557275574709E-2</v>
      </c>
      <c r="I9" s="2">
        <f>VLOOKUP(A9,[84]WRDS!$A$1:$O$100,10,FALSE)/100</f>
        <v>2.98E-2</v>
      </c>
      <c r="J9" s="2">
        <f>VLOOKUP(A9,[84]WRDS!$A$1:$O$100,9,FALSE)/100</f>
        <v>0.03</v>
      </c>
      <c r="K9" s="2">
        <f t="shared" si="1"/>
        <v>-0.491316163276731</v>
      </c>
      <c r="L9" s="2">
        <f t="shared" si="2"/>
        <v>-0.48790217779536682</v>
      </c>
      <c r="M9">
        <f>VLOOKUP(A9,[84]WRDS!$A$1:$O$100,8,FALSE)</f>
        <v>11</v>
      </c>
      <c r="N9">
        <f>VLOOKUP(A9,[84]WRDS!$A$1:$O$100,11,FALSE)</f>
        <v>1.54</v>
      </c>
      <c r="P9" t="s">
        <v>30</v>
      </c>
      <c r="Q9" s="2">
        <f>MEDIAN(I2:I100)</f>
        <v>4.3799999999999999E-2</v>
      </c>
    </row>
    <row r="10" spans="1:17" x14ac:dyDescent="0.3">
      <c r="A10" t="s">
        <v>29</v>
      </c>
      <c r="B10" t="str">
        <f>VLOOKUP(A10,[83]WRDS!$A$1:$N$100,2,FALSE)</f>
        <v>DUK</v>
      </c>
      <c r="C10" t="str">
        <f>VLOOKUP(A10,[83]WRDS!$A$1:$N$100,3,FALSE)</f>
        <v>DUKE ENERGY CORP</v>
      </c>
      <c r="D10">
        <f>VLOOKUP(A10,[83]WRDS!$A$1:$N$100,13,FALSE)</f>
        <v>5.1449999999999996</v>
      </c>
      <c r="E10">
        <f>VLOOKUP(A10,[67]WRDS!$A$1:$N$100,13,FALSE)</f>
        <v>5.64</v>
      </c>
      <c r="F10" s="1">
        <f t="shared" si="3"/>
        <v>6.8480077857286572</v>
      </c>
      <c r="G10" s="1">
        <f t="shared" si="4"/>
        <v>6.9997156992000011</v>
      </c>
      <c r="H10" s="2">
        <f t="shared" si="0"/>
        <v>2.3230392329203875E-2</v>
      </c>
      <c r="I10" s="2">
        <f>VLOOKUP(A10,[84]WRDS!$A$1:$O$100,10,FALSE)/100</f>
        <v>7.4099999999999999E-2</v>
      </c>
      <c r="J10" s="2">
        <f>VLOOKUP(A10,[84]WRDS!$A$1:$O$100,9,FALSE)/100</f>
        <v>0.08</v>
      </c>
      <c r="K10" s="2">
        <f t="shared" si="1"/>
        <v>2.1897868512037939</v>
      </c>
      <c r="L10" s="2">
        <f t="shared" si="2"/>
        <v>2.4437644817314919</v>
      </c>
      <c r="M10">
        <f>VLOOKUP(A10,[84]WRDS!$A$1:$O$100,8,FALSE)</f>
        <v>17</v>
      </c>
      <c r="N10">
        <f>VLOOKUP(A10,[84]WRDS!$A$1:$O$100,11,FALSE)</f>
        <v>2.35</v>
      </c>
      <c r="P10" t="s">
        <v>32</v>
      </c>
      <c r="Q10" s="2">
        <f>(Q9-Q8)/ABS(Q8)</f>
        <v>-0.12552135621995686</v>
      </c>
    </row>
    <row r="11" spans="1:17" x14ac:dyDescent="0.3">
      <c r="A11" t="s">
        <v>31</v>
      </c>
      <c r="B11" t="str">
        <f>VLOOKUP(A11,[83]WRDS!$A$1:$N$100,2,FALSE)</f>
        <v>ED</v>
      </c>
      <c r="C11" t="str">
        <f>VLOOKUP(A11,[83]WRDS!$A$1:$N$100,3,FALSE)</f>
        <v>CONS EDISON INC</v>
      </c>
      <c r="D11">
        <f>VLOOKUP(A11,[83]WRDS!$A$1:$N$100,13,FALSE)</f>
        <v>3.04</v>
      </c>
      <c r="E11">
        <f>VLOOKUP(A11,[67]WRDS!$A$1:$N$100,13,FALSE)</f>
        <v>3.13</v>
      </c>
      <c r="F11" s="1">
        <f t="shared" si="3"/>
        <v>3.384493049143888</v>
      </c>
      <c r="G11" s="1">
        <f t="shared" si="4"/>
        <v>3.2905937663999998</v>
      </c>
      <c r="H11" s="2">
        <f t="shared" si="0"/>
        <v>7.3205373610589763E-3</v>
      </c>
      <c r="I11" s="2">
        <f>VLOOKUP(A11,[84]WRDS!$A$1:$O$100,10,FALSE)/100</f>
        <v>2.7200000000000002E-2</v>
      </c>
      <c r="J11" s="2">
        <f>VLOOKUP(A11,[84]WRDS!$A$1:$O$100,9,FALSE)/100</f>
        <v>0.02</v>
      </c>
      <c r="K11" s="2">
        <f t="shared" si="1"/>
        <v>2.715574234302562</v>
      </c>
      <c r="L11" s="2">
        <f t="shared" si="2"/>
        <v>1.7320398781636481</v>
      </c>
      <c r="M11">
        <f>VLOOKUP(A11,[84]WRDS!$A$1:$O$100,8,FALSE)</f>
        <v>9</v>
      </c>
      <c r="N11">
        <f>VLOOKUP(A11,[84]WRDS!$A$1:$O$100,11,FALSE)</f>
        <v>1.1499999999999999</v>
      </c>
      <c r="P11" t="s">
        <v>34</v>
      </c>
      <c r="Q11" s="2">
        <f>MEDIAN(J2:J99)</f>
        <v>0.04</v>
      </c>
    </row>
    <row r="12" spans="1:17" x14ac:dyDescent="0.3">
      <c r="A12" t="s">
        <v>72</v>
      </c>
      <c r="B12" t="str">
        <f>VLOOKUP(A12,[83]WRDS!$A$1:$N$100,2,FALSE)</f>
        <v>EDE</v>
      </c>
      <c r="C12" t="str">
        <f>VLOOKUP(A12,[83]WRDS!$A$1:$N$100,3,FALSE)</f>
        <v>EMPIRE DIST ELEC</v>
      </c>
      <c r="D12">
        <f>VLOOKUP(A12,[83]WRDS!$A$1:$N$100,13,FALSE)</f>
        <v>1.53</v>
      </c>
      <c r="E12">
        <f>VLOOKUP(A12,[67]WRDS!$A$1:$N$100,13,FALSE)</f>
        <v>1.19</v>
      </c>
      <c r="F12" s="1">
        <f t="shared" si="3"/>
        <v>6.0473886632999987</v>
      </c>
      <c r="G12" s="1">
        <f t="shared" si="4"/>
        <v>6.0473886632999987</v>
      </c>
      <c r="H12" s="2">
        <f t="shared" si="0"/>
        <v>-6.0895584246247525E-2</v>
      </c>
      <c r="I12" s="2">
        <f>VLOOKUP(A12,[84]WRDS!$A$1:$O$100,10,FALSE)/100</f>
        <v>0.41</v>
      </c>
      <c r="J12" s="2">
        <f>VLOOKUP(A12,[84]WRDS!$A$1:$O$100,9,FALSE)/100</f>
        <v>0.41</v>
      </c>
      <c r="K12" s="2">
        <f t="shared" si="1"/>
        <v>7.7328362979827192</v>
      </c>
      <c r="L12" s="2">
        <f t="shared" si="2"/>
        <v>7.7328362979827192</v>
      </c>
      <c r="M12">
        <f>VLOOKUP(A12,[84]WRDS!$A$1:$O$100,8,FALSE)</f>
        <v>1</v>
      </c>
      <c r="N12">
        <f>VLOOKUP(A12,[84]WRDS!$A$1:$O$100,11,FALSE)</f>
        <v>0</v>
      </c>
      <c r="P12" t="s">
        <v>32</v>
      </c>
      <c r="Q12" s="2">
        <f>(Q11-Q8)/ABS(Q8)</f>
        <v>-0.20138936641091948</v>
      </c>
    </row>
    <row r="13" spans="1:17" x14ac:dyDescent="0.3">
      <c r="A13" t="s">
        <v>33</v>
      </c>
      <c r="B13" t="str">
        <f>VLOOKUP(A13,[83]WRDS!$A$1:$N$100,2,FALSE)</f>
        <v>SCE</v>
      </c>
      <c r="C13" t="str">
        <f>VLOOKUP(A13,[83]WRDS!$A$1:$N$100,3,FALSE)</f>
        <v>EDISON INTL</v>
      </c>
      <c r="D13">
        <f>VLOOKUP(A13,[83]WRDS!$A$1:$N$100,13,FALSE)</f>
        <v>1.85</v>
      </c>
      <c r="E13">
        <f>VLOOKUP(A13,[67]WRDS!$A$1:$N$100,13,FALSE)</f>
        <v>2.08</v>
      </c>
      <c r="F13" s="1">
        <f t="shared" si="3"/>
        <v>2.3683635328812525</v>
      </c>
      <c r="G13" s="1">
        <f t="shared" si="4"/>
        <v>2.3444083742058499</v>
      </c>
      <c r="H13" s="2">
        <f t="shared" si="0"/>
        <v>2.9728899940193676E-2</v>
      </c>
      <c r="I13" s="2">
        <f>VLOOKUP(A13,[84]WRDS!$A$1:$O$100,10,FALSE)/100</f>
        <v>6.3700000000000007E-2</v>
      </c>
      <c r="J13" s="2">
        <f>VLOOKUP(A13,[84]WRDS!$A$1:$O$100,9,FALSE)/100</f>
        <v>6.0999999999999999E-2</v>
      </c>
      <c r="K13" s="2">
        <f t="shared" si="1"/>
        <v>1.142696168648917</v>
      </c>
      <c r="L13" s="2">
        <f t="shared" si="2"/>
        <v>1.0518754519243942</v>
      </c>
      <c r="M13">
        <f>VLOOKUP(A13,[84]WRDS!$A$1:$O$100,8,FALSE)</f>
        <v>11</v>
      </c>
      <c r="N13">
        <f>VLOOKUP(A13,[84]WRDS!$A$1:$O$100,11,FALSE)</f>
        <v>2.25</v>
      </c>
      <c r="P13" s="111" t="s">
        <v>37</v>
      </c>
      <c r="Q13" s="111"/>
    </row>
    <row r="14" spans="1:17" x14ac:dyDescent="0.3">
      <c r="A14" t="s">
        <v>59</v>
      </c>
      <c r="B14" t="str">
        <f>VLOOKUP(A14,[83]WRDS!$A$1:$N$100,2,FALSE)</f>
        <v>MSU</v>
      </c>
      <c r="C14" t="str">
        <f>VLOOKUP(A14,[83]WRDS!$A$1:$N$100,3,FALSE)</f>
        <v>ENTERGY CP</v>
      </c>
      <c r="D14">
        <f>VLOOKUP(A14,[83]WRDS!$A$1:$N$100,13,FALSE)</f>
        <v>2.21</v>
      </c>
      <c r="E14">
        <f>VLOOKUP(A14,[67]WRDS!$A$1:$N$100,13,FALSE)</f>
        <v>3.81</v>
      </c>
      <c r="F14" s="1">
        <f t="shared" si="3"/>
        <v>2.5301503033959256</v>
      </c>
      <c r="G14" s="1">
        <f t="shared" si="4"/>
        <v>2.5067502264729598</v>
      </c>
      <c r="H14" s="2">
        <f t="shared" si="0"/>
        <v>0.14586426446479228</v>
      </c>
      <c r="I14" s="2">
        <f>VLOOKUP(A14,[84]WRDS!$A$1:$O$100,10,FALSE)/100</f>
        <v>3.44E-2</v>
      </c>
      <c r="J14" s="2">
        <f>VLOOKUP(A14,[84]WRDS!$A$1:$O$100,9,FALSE)/100</f>
        <v>3.2000000000000001E-2</v>
      </c>
      <c r="K14" s="2">
        <f t="shared" si="1"/>
        <v>-0.7641643062732254</v>
      </c>
      <c r="L14" s="2">
        <f t="shared" si="2"/>
        <v>-0.78061795932393063</v>
      </c>
      <c r="M14">
        <f>VLOOKUP(A14,[84]WRDS!$A$1:$O$100,8,FALSE)</f>
        <v>10</v>
      </c>
      <c r="N14">
        <f>VLOOKUP(A14,[84]WRDS!$A$1:$O$100,11,FALSE)</f>
        <v>1.64</v>
      </c>
      <c r="P14" t="s">
        <v>39</v>
      </c>
      <c r="Q14" s="1">
        <f>AVERAGE(M2:M1002)</f>
        <v>8</v>
      </c>
    </row>
    <row r="15" spans="1:17" x14ac:dyDescent="0.3">
      <c r="A15" t="s">
        <v>67</v>
      </c>
      <c r="B15" t="str">
        <f>VLOOKUP(A15,[83]WRDS!$A$1:$N$100,2,FALSE)</f>
        <v>OEC</v>
      </c>
      <c r="C15" t="str">
        <f>VLOOKUP(A15,[83]WRDS!$A$1:$N$100,3,FALSE)</f>
        <v>FIRSTENERGY CORP</v>
      </c>
      <c r="D15">
        <f>VLOOKUP(A15,[83]WRDS!$A$1:$N$100,13,FALSE)</f>
        <v>1.95</v>
      </c>
      <c r="E15">
        <f>VLOOKUP(A15,[67]WRDS!$A$1:$N$100,13,FALSE)</f>
        <v>2.95</v>
      </c>
      <c r="F15" s="1">
        <f t="shared" si="3"/>
        <v>2.3005881935070556</v>
      </c>
      <c r="G15" s="1">
        <f t="shared" si="4"/>
        <v>2.1947421794999999</v>
      </c>
      <c r="H15" s="2">
        <f t="shared" si="0"/>
        <v>0.10903908304170939</v>
      </c>
      <c r="I15" s="2">
        <f>VLOOKUP(A15,[84]WRDS!$A$1:$O$100,10,FALSE)/100</f>
        <v>4.2199999999999994E-2</v>
      </c>
      <c r="J15" s="2">
        <f>VLOOKUP(A15,[84]WRDS!$A$1:$O$100,9,FALSE)/100</f>
        <v>0.03</v>
      </c>
      <c r="K15" s="2">
        <f t="shared" si="1"/>
        <v>-0.61298280558854534</v>
      </c>
      <c r="L15" s="2">
        <f t="shared" si="2"/>
        <v>-0.72486929307242554</v>
      </c>
      <c r="M15">
        <f>VLOOKUP(A15,[84]WRDS!$A$1:$O$100,8,FALSE)</f>
        <v>13</v>
      </c>
      <c r="N15">
        <f>VLOOKUP(A15,[84]WRDS!$A$1:$O$100,11,FALSE)</f>
        <v>2.5</v>
      </c>
      <c r="P15" t="s">
        <v>41</v>
      </c>
      <c r="Q15" s="1">
        <f>COUNT(N2:N1002)</f>
        <v>45</v>
      </c>
    </row>
    <row r="16" spans="1:17" x14ac:dyDescent="0.3">
      <c r="A16" t="s">
        <v>89</v>
      </c>
      <c r="B16" t="str">
        <f>VLOOKUP(A16,[83]WRDS!$A$1:$N$100,2,FALSE)</f>
        <v>FPL</v>
      </c>
      <c r="C16" t="str">
        <f>VLOOKUP(A16,[83]WRDS!$A$1:$N$100,3,FALSE)</f>
        <v>FPL GROUP</v>
      </c>
      <c r="D16">
        <f>VLOOKUP(A16,[83]WRDS!$A$1:$N$100,13,FALSE)</f>
        <v>0.48130000000000001</v>
      </c>
      <c r="E16">
        <f>VLOOKUP(A16,[67]WRDS!$A$1:$N$100,13,FALSE)</f>
        <v>0.6</v>
      </c>
      <c r="F16" s="1">
        <f t="shared" si="3"/>
        <v>0.58257548221753641</v>
      </c>
      <c r="G16" s="1">
        <f t="shared" si="4"/>
        <v>0.58502315812500005</v>
      </c>
      <c r="H16" s="2">
        <f t="shared" si="0"/>
        <v>5.6656544382830187E-2</v>
      </c>
      <c r="I16" s="2">
        <f>VLOOKUP(A16,[84]WRDS!$A$1:$O$100,10,FALSE)/100</f>
        <v>4.8899999999999999E-2</v>
      </c>
      <c r="J16" s="2">
        <f>VLOOKUP(A16,[84]WRDS!$A$1:$O$100,9,FALSE)/100</f>
        <v>0.05</v>
      </c>
      <c r="K16" s="2">
        <f t="shared" si="1"/>
        <v>-0.13690465006864794</v>
      </c>
      <c r="L16" s="2">
        <f t="shared" si="2"/>
        <v>-0.11748941724810621</v>
      </c>
      <c r="M16">
        <f>VLOOKUP(A16,[84]WRDS!$A$1:$O$100,8,FALSE)</f>
        <v>17</v>
      </c>
      <c r="N16">
        <f>VLOOKUP(A16,[84]WRDS!$A$1:$O$100,11,FALSE)</f>
        <v>1.48</v>
      </c>
    </row>
    <row r="17" spans="1:14" x14ac:dyDescent="0.3">
      <c r="A17" t="s">
        <v>36</v>
      </c>
      <c r="B17" t="str">
        <f>VLOOKUP(A17,[83]WRDS!$A$1:$N$100,2,FALSE)</f>
        <v>HE</v>
      </c>
      <c r="C17" t="str">
        <f>VLOOKUP(A17,[83]WRDS!$A$1:$N$100,3,FALSE)</f>
        <v>HAWAIIAN ELEC</v>
      </c>
      <c r="D17">
        <f>VLOOKUP(A17,[83]WRDS!$A$1:$N$100,13,FALSE)</f>
        <v>1.32</v>
      </c>
      <c r="E17">
        <f>VLOOKUP(A17,[67]WRDS!$A$1:$N$100,13,FALSE)</f>
        <v>1.605</v>
      </c>
      <c r="F17" s="1">
        <f t="shared" si="3"/>
        <v>1.5106366948948706</v>
      </c>
      <c r="G17" s="1">
        <f t="shared" si="4"/>
        <v>1.4856716292000001</v>
      </c>
      <c r="H17" s="2">
        <f t="shared" si="0"/>
        <v>5.0086986470783357E-2</v>
      </c>
      <c r="I17" s="2">
        <f>VLOOKUP(A17,[84]WRDS!$A$1:$O$100,10,FALSE)/100</f>
        <v>3.4300000000000004E-2</v>
      </c>
      <c r="J17" s="2">
        <f>VLOOKUP(A17,[84]WRDS!$A$1:$O$100,9,FALSE)/100</f>
        <v>0.03</v>
      </c>
      <c r="K17" s="2">
        <f t="shared" si="1"/>
        <v>-0.31519138169736338</v>
      </c>
      <c r="L17" s="2">
        <f t="shared" si="2"/>
        <v>-0.40104202480818962</v>
      </c>
      <c r="M17">
        <f>VLOOKUP(A17,[84]WRDS!$A$1:$O$100,8,FALSE)</f>
        <v>6</v>
      </c>
      <c r="N17">
        <f>VLOOKUP(A17,[84]WRDS!$A$1:$O$100,11,FALSE)</f>
        <v>1.65</v>
      </c>
    </row>
    <row r="18" spans="1:14" x14ac:dyDescent="0.3">
      <c r="A18" t="s">
        <v>38</v>
      </c>
      <c r="B18" t="str">
        <f>VLOOKUP(A18,[83]WRDS!$A$1:$N$100,2,FALSE)</f>
        <v>IDA</v>
      </c>
      <c r="C18" t="str">
        <f>VLOOKUP(A18,[83]WRDS!$A$1:$N$100,3,FALSE)</f>
        <v>IDACORP INC.</v>
      </c>
      <c r="D18">
        <f>VLOOKUP(A18,[83]WRDS!$A$1:$N$100,13,FALSE)</f>
        <v>2.37</v>
      </c>
      <c r="E18">
        <f>VLOOKUP(A18,[67]WRDS!$A$1:$N$100,13,FALSE)</f>
        <v>0.94</v>
      </c>
      <c r="F18" s="1">
        <f t="shared" si="3"/>
        <v>2.7301553995699206</v>
      </c>
      <c r="G18" s="1">
        <f t="shared" si="4"/>
        <v>2.7725647872000008</v>
      </c>
      <c r="H18" s="2">
        <f t="shared" si="0"/>
        <v>-0.20641239332016381</v>
      </c>
      <c r="I18" s="2">
        <f>VLOOKUP(A18,[84]WRDS!$A$1:$O$100,10,FALSE)/100</f>
        <v>3.6000000000000004E-2</v>
      </c>
      <c r="J18" s="2">
        <f>VLOOKUP(A18,[84]WRDS!$A$1:$O$100,9,FALSE)/100</f>
        <v>0.04</v>
      </c>
      <c r="K18" s="2">
        <f t="shared" si="1"/>
        <v>1.1744081322876812</v>
      </c>
      <c r="L18" s="2">
        <f t="shared" si="2"/>
        <v>1.193786813652979</v>
      </c>
      <c r="M18">
        <f>VLOOKUP(A18,[84]WRDS!$A$1:$O$100,8,FALSE)</f>
        <v>5</v>
      </c>
      <c r="N18">
        <f>VLOOKUP(A18,[84]WRDS!$A$1:$O$100,11,FALSE)</f>
        <v>1.52</v>
      </c>
    </row>
    <row r="19" spans="1:14" x14ac:dyDescent="0.3">
      <c r="A19" t="s">
        <v>40</v>
      </c>
      <c r="B19" t="str">
        <f>VLOOKUP(A19,[83]WRDS!$A$1:$N$100,2,FALSE)</f>
        <v>WPL</v>
      </c>
      <c r="C19" t="str">
        <f>VLOOKUP(A19,[83]WRDS!$A$1:$N$100,3,FALSE)</f>
        <v>INTERSTATE ENER</v>
      </c>
      <c r="D19">
        <f>VLOOKUP(A19,[83]WRDS!$A$1:$N$100,13,FALSE)</f>
        <v>0.84</v>
      </c>
      <c r="E19">
        <f>VLOOKUP(A19,[67]WRDS!$A$1:$N$100,13,FALSE)</f>
        <v>0.71</v>
      </c>
      <c r="F19" s="1">
        <f t="shared" si="3"/>
        <v>0.91388724018699785</v>
      </c>
      <c r="G19" s="1">
        <f t="shared" si="4"/>
        <v>0.90924301439999999</v>
      </c>
      <c r="H19" s="2">
        <f t="shared" si="0"/>
        <v>-4.1163041410316015E-2</v>
      </c>
      <c r="I19" s="2">
        <f>VLOOKUP(A19,[84]WRDS!$A$1:$O$100,10,FALSE)/100</f>
        <v>2.1299999999999999E-2</v>
      </c>
      <c r="J19" s="2">
        <f>VLOOKUP(A19,[84]WRDS!$A$1:$O$100,9,FALSE)/100</f>
        <v>0.02</v>
      </c>
      <c r="K19" s="2">
        <f t="shared" si="1"/>
        <v>1.5174544754280943</v>
      </c>
      <c r="L19" s="2">
        <f t="shared" si="2"/>
        <v>1.4858727468808399</v>
      </c>
      <c r="M19">
        <f>VLOOKUP(A19,[84]WRDS!$A$1:$O$100,8,FALSE)</f>
        <v>4</v>
      </c>
      <c r="N19">
        <f>VLOOKUP(A19,[84]WRDS!$A$1:$O$100,11,FALSE)</f>
        <v>0.25</v>
      </c>
    </row>
    <row r="20" spans="1:14" x14ac:dyDescent="0.3">
      <c r="A20" t="s">
        <v>44</v>
      </c>
      <c r="B20" t="str">
        <f>VLOOKUP(A20,[83]WRDS!$A$1:$N$100,2,FALSE)</f>
        <v>OGE</v>
      </c>
      <c r="C20" t="str">
        <f>VLOOKUP(A20,[83]WRDS!$A$1:$N$100,3,FALSE)</f>
        <v>OGE ENERGY CORP</v>
      </c>
      <c r="D20">
        <f>VLOOKUP(A20,[83]WRDS!$A$1:$N$100,13,FALSE)</f>
        <v>1.0225</v>
      </c>
      <c r="E20">
        <f>VLOOKUP(A20,[67]WRDS!$A$1:$N$100,13,FALSE)</f>
        <v>0.76</v>
      </c>
      <c r="F20" s="1">
        <f t="shared" si="3"/>
        <v>1.1810701973098769</v>
      </c>
      <c r="G20" s="1">
        <f t="shared" si="4"/>
        <v>1.1733422681390622</v>
      </c>
      <c r="H20" s="2">
        <f t="shared" si="0"/>
        <v>-7.1487897359804098E-2</v>
      </c>
      <c r="I20" s="2">
        <f>VLOOKUP(A20,[84]WRDS!$A$1:$O$100,10,FALSE)/100</f>
        <v>3.6699999999999997E-2</v>
      </c>
      <c r="J20" s="2">
        <f>VLOOKUP(A20,[84]WRDS!$A$1:$O$100,9,FALSE)/100</f>
        <v>3.5000000000000003E-2</v>
      </c>
      <c r="K20" s="2">
        <f t="shared" si="1"/>
        <v>1.5133736108545208</v>
      </c>
      <c r="L20" s="2">
        <f t="shared" si="2"/>
        <v>1.4895933618503605</v>
      </c>
      <c r="M20">
        <f>VLOOKUP(A20,[84]WRDS!$A$1:$O$100,8,FALSE)</f>
        <v>6</v>
      </c>
      <c r="N20">
        <f>VLOOKUP(A20,[84]WRDS!$A$1:$O$100,11,FALSE)</f>
        <v>1.63</v>
      </c>
    </row>
    <row r="21" spans="1:14" x14ac:dyDescent="0.3">
      <c r="A21" t="s">
        <v>45</v>
      </c>
      <c r="B21" t="str">
        <f>VLOOKUP(A21,[83]WRDS!$A$1:$N$100,2,FALSE)</f>
        <v>PCG</v>
      </c>
      <c r="C21" t="str">
        <f>VLOOKUP(A21,[83]WRDS!$A$1:$N$100,3,FALSE)</f>
        <v>P G &amp; E CORP</v>
      </c>
      <c r="D21">
        <f>VLOOKUP(A21,[83]WRDS!$A$1:$N$100,13,FALSE)</f>
        <v>1.88</v>
      </c>
      <c r="E21">
        <f>VLOOKUP(A21,[67]WRDS!$A$1:$N$100,13,FALSE)</f>
        <v>2.27</v>
      </c>
      <c r="F21" s="1">
        <f t="shared" si="3"/>
        <v>2.2574217501490037</v>
      </c>
      <c r="G21" s="1">
        <f t="shared" si="4"/>
        <v>2.1993340928000005</v>
      </c>
      <c r="H21" s="2">
        <f t="shared" si="0"/>
        <v>4.825514334991321E-2</v>
      </c>
      <c r="I21" s="2">
        <f>VLOOKUP(A21,[84]WRDS!$A$1:$O$100,10,FALSE)/100</f>
        <v>4.6799999999999994E-2</v>
      </c>
      <c r="J21" s="2">
        <f>VLOOKUP(A21,[84]WRDS!$A$1:$O$100,9,FALSE)/100</f>
        <v>0.04</v>
      </c>
      <c r="K21" s="2">
        <f t="shared" si="1"/>
        <v>-3.0155196915725931E-2</v>
      </c>
      <c r="L21" s="2">
        <f t="shared" si="2"/>
        <v>-0.17107281787668871</v>
      </c>
      <c r="M21">
        <f>VLOOKUP(A21,[84]WRDS!$A$1:$O$100,8,FALSE)</f>
        <v>9</v>
      </c>
      <c r="N21">
        <f>VLOOKUP(A21,[84]WRDS!$A$1:$O$100,11,FALSE)</f>
        <v>3.34</v>
      </c>
    </row>
    <row r="22" spans="1:14" x14ac:dyDescent="0.3">
      <c r="A22" t="s">
        <v>46</v>
      </c>
      <c r="B22" t="str">
        <f>VLOOKUP(A22,[83]WRDS!$A$1:$N$100,2,FALSE)</f>
        <v>PEG</v>
      </c>
      <c r="C22" t="str">
        <f>VLOOKUP(A22,[83]WRDS!$A$1:$N$100,3,FALSE)</f>
        <v>PUB SVC ENTERS</v>
      </c>
      <c r="D22">
        <f>VLOOKUP(A22,[83]WRDS!$A$1:$N$100,13,FALSE)</f>
        <v>1.395</v>
      </c>
      <c r="E22">
        <f>VLOOKUP(A22,[67]WRDS!$A$1:$N$100,13,FALSE)</f>
        <v>1.88</v>
      </c>
      <c r="F22" s="1">
        <f t="shared" si="3"/>
        <v>1.5458368315615199</v>
      </c>
      <c r="G22" s="1">
        <f t="shared" si="4"/>
        <v>1.5159231176809942</v>
      </c>
      <c r="H22" s="2">
        <f t="shared" si="0"/>
        <v>7.7446985498821341E-2</v>
      </c>
      <c r="I22" s="2">
        <f>VLOOKUP(A22,[84]WRDS!$A$1:$O$100,10,FALSE)/100</f>
        <v>2.6000000000000002E-2</v>
      </c>
      <c r="J22" s="2">
        <f>VLOOKUP(A22,[84]WRDS!$A$1:$O$100,9,FALSE)/100</f>
        <v>2.1000000000000001E-2</v>
      </c>
      <c r="K22" s="2">
        <f t="shared" si="1"/>
        <v>-0.66428648148744673</v>
      </c>
      <c r="L22" s="2">
        <f t="shared" si="2"/>
        <v>-0.72884677350909155</v>
      </c>
      <c r="M22">
        <f>VLOOKUP(A22,[84]WRDS!$A$1:$O$100,8,FALSE)</f>
        <v>11</v>
      </c>
      <c r="N22">
        <f>VLOOKUP(A22,[84]WRDS!$A$1:$O$100,11,FALSE)</f>
        <v>1.1499999999999999</v>
      </c>
    </row>
    <row r="23" spans="1:14" x14ac:dyDescent="0.3">
      <c r="A23" t="s">
        <v>47</v>
      </c>
      <c r="B23" t="str">
        <f>VLOOKUP(A23,[83]WRDS!$A$1:$N$100,2,FALSE)</f>
        <v>PNM</v>
      </c>
      <c r="C23" t="str">
        <f>VLOOKUP(A23,[83]WRDS!$A$1:$N$100,3,FALSE)</f>
        <v>PUB SVC N MEX</v>
      </c>
      <c r="D23">
        <f>VLOOKUP(A23,[83]WRDS!$A$1:$N$100,13,FALSE)</f>
        <v>1.58</v>
      </c>
      <c r="E23">
        <f>VLOOKUP(A23,[67]WRDS!$A$1:$N$100,13,FALSE)</f>
        <v>1.2067000000000001</v>
      </c>
      <c r="F23" s="1">
        <f t="shared" si="3"/>
        <v>1.8755396811380538</v>
      </c>
      <c r="G23" s="1">
        <f t="shared" si="4"/>
        <v>1.8841793889874994</v>
      </c>
      <c r="H23" s="2">
        <f t="shared" si="0"/>
        <v>-6.5163724539154089E-2</v>
      </c>
      <c r="I23" s="2">
        <f>VLOOKUP(A23,[84]WRDS!$A$1:$O$100,10,FALSE)/100</f>
        <v>4.3799999999999999E-2</v>
      </c>
      <c r="J23" s="2">
        <f>VLOOKUP(A23,[84]WRDS!$A$1:$O$100,9,FALSE)/100</f>
        <v>4.4999999999999998E-2</v>
      </c>
      <c r="K23" s="2">
        <f t="shared" si="1"/>
        <v>1.6721531083399395</v>
      </c>
      <c r="L23" s="2">
        <f t="shared" si="2"/>
        <v>1.6905682619930884</v>
      </c>
      <c r="M23">
        <f>VLOOKUP(A23,[84]WRDS!$A$1:$O$100,8,FALSE)</f>
        <v>8</v>
      </c>
      <c r="N23">
        <f>VLOOKUP(A23,[84]WRDS!$A$1:$O$100,11,FALSE)</f>
        <v>1.85</v>
      </c>
    </row>
    <row r="24" spans="1:14" x14ac:dyDescent="0.3">
      <c r="A24" t="s">
        <v>48</v>
      </c>
      <c r="B24" t="str">
        <f>VLOOKUP(A24,[83]WRDS!$A$1:$N$100,2,FALSE)</f>
        <v>AZP</v>
      </c>
      <c r="C24" t="str">
        <f>VLOOKUP(A24,[83]WRDS!$A$1:$N$100,3,FALSE)</f>
        <v>PINNACLE WST CAP</v>
      </c>
      <c r="D24">
        <f>VLOOKUP(A24,[83]WRDS!$A$1:$N$100,13,FALSE)</f>
        <v>2.85</v>
      </c>
      <c r="E24">
        <f>VLOOKUP(A24,[67]WRDS!$A$1:$N$100,13,FALSE)</f>
        <v>3.56</v>
      </c>
      <c r="F24" s="1">
        <f t="shared" si="3"/>
        <v>4.2183917578108501</v>
      </c>
      <c r="G24" s="1">
        <f t="shared" si="4"/>
        <v>3.5980593360000008</v>
      </c>
      <c r="H24" s="2">
        <f t="shared" si="0"/>
        <v>5.7185710873371542E-2</v>
      </c>
      <c r="I24" s="2">
        <f>VLOOKUP(A24,[84]WRDS!$A$1:$O$100,10,FALSE)/100</f>
        <v>0.10300000000000001</v>
      </c>
      <c r="J24" s="2">
        <f>VLOOKUP(A24,[84]WRDS!$A$1:$O$100,9,FALSE)/100</f>
        <v>0.06</v>
      </c>
      <c r="K24" s="2">
        <f t="shared" si="1"/>
        <v>0.80114924562320755</v>
      </c>
      <c r="L24" s="2">
        <f t="shared" si="2"/>
        <v>4.9213152790217839E-2</v>
      </c>
      <c r="M24">
        <f>VLOOKUP(A24,[84]WRDS!$A$1:$O$100,8,FALSE)</f>
        <v>10</v>
      </c>
      <c r="N24">
        <f>VLOOKUP(A24,[84]WRDS!$A$1:$O$100,11,FALSE)</f>
        <v>15.11</v>
      </c>
    </row>
    <row r="25" spans="1:14" x14ac:dyDescent="0.3">
      <c r="A25" t="s">
        <v>49</v>
      </c>
      <c r="B25" t="str">
        <f>VLOOKUP(A25,[83]WRDS!$A$1:$N$100,2,FALSE)</f>
        <v>POM</v>
      </c>
      <c r="C25" t="str">
        <f>VLOOKUP(A25,[83]WRDS!$A$1:$N$100,3,FALSE)</f>
        <v>POTOMAC ELEC</v>
      </c>
      <c r="D25">
        <f>VLOOKUP(A25,[83]WRDS!$A$1:$N$100,13,FALSE)</f>
        <v>1.8</v>
      </c>
      <c r="E25">
        <f>VLOOKUP(A25,[67]WRDS!$A$1:$N$100,13,FALSE)</f>
        <v>1.69</v>
      </c>
      <c r="F25" s="1">
        <f t="shared" si="3"/>
        <v>1.9437975129291301</v>
      </c>
      <c r="G25" s="1">
        <f t="shared" si="4"/>
        <v>1.948377888</v>
      </c>
      <c r="H25" s="2">
        <f t="shared" si="0"/>
        <v>-1.5640924128847766E-2</v>
      </c>
      <c r="I25" s="2">
        <f>VLOOKUP(A25,[84]WRDS!$A$1:$O$100,10,FALSE)/100</f>
        <v>1.9400000000000001E-2</v>
      </c>
      <c r="J25" s="2">
        <f>VLOOKUP(A25,[84]WRDS!$A$1:$O$100,9,FALSE)/100</f>
        <v>0.02</v>
      </c>
      <c r="K25" s="2">
        <f t="shared" si="1"/>
        <v>2.2403359187849445</v>
      </c>
      <c r="L25" s="2">
        <f t="shared" si="2"/>
        <v>2.2786968234896334</v>
      </c>
      <c r="M25">
        <f>VLOOKUP(A25,[84]WRDS!$A$1:$O$100,8,FALSE)</f>
        <v>7</v>
      </c>
      <c r="N25">
        <f>VLOOKUP(A25,[84]WRDS!$A$1:$O$100,11,FALSE)</f>
        <v>0.73</v>
      </c>
    </row>
    <row r="26" spans="1:14" x14ac:dyDescent="0.3">
      <c r="A26" t="s">
        <v>51</v>
      </c>
      <c r="B26" t="str">
        <f>VLOOKUP(A26,[83]WRDS!$A$1:$N$100,2,FALSE)</f>
        <v>PPL</v>
      </c>
      <c r="C26" t="str">
        <f>VLOOKUP(A26,[83]WRDS!$A$1:$N$100,3,FALSE)</f>
        <v>PP&amp;L RESOURCES</v>
      </c>
      <c r="D26">
        <f>VLOOKUP(A26,[83]WRDS!$A$1:$N$100,13,FALSE)</f>
        <v>0.98</v>
      </c>
      <c r="E26">
        <f>VLOOKUP(A26,[67]WRDS!$A$1:$N$100,13,FALSE)</f>
        <v>1.77</v>
      </c>
      <c r="F26" s="1">
        <f t="shared" si="3"/>
        <v>1.0595360866637313</v>
      </c>
      <c r="G26" s="1">
        <f t="shared" si="4"/>
        <v>1.0607835167999999</v>
      </c>
      <c r="H26" s="2">
        <f t="shared" si="0"/>
        <v>0.15927587380555241</v>
      </c>
      <c r="I26" s="2">
        <f>VLOOKUP(A26,[84]WRDS!$A$1:$O$100,10,FALSE)/100</f>
        <v>1.9699999999999999E-2</v>
      </c>
      <c r="J26" s="2">
        <f>VLOOKUP(A26,[84]WRDS!$A$1:$O$100,9,FALSE)/100</f>
        <v>0.02</v>
      </c>
      <c r="K26" s="2">
        <f t="shared" si="1"/>
        <v>-0.87631522885851376</v>
      </c>
      <c r="L26" s="2">
        <f t="shared" si="2"/>
        <v>-0.87443170442488705</v>
      </c>
      <c r="M26">
        <f>VLOOKUP(A26,[84]WRDS!$A$1:$O$100,8,FALSE)</f>
        <v>7</v>
      </c>
      <c r="N26">
        <f>VLOOKUP(A26,[84]WRDS!$A$1:$O$100,11,FALSE)</f>
        <v>0.75</v>
      </c>
    </row>
    <row r="27" spans="1:14" x14ac:dyDescent="0.3">
      <c r="A27" t="s">
        <v>91</v>
      </c>
      <c r="B27" t="str">
        <f>VLOOKUP(A27,[83]WRDS!$A$1:$N$100,2,FALSE)</f>
        <v>PSD</v>
      </c>
      <c r="C27" t="str">
        <f>VLOOKUP(A27,[83]WRDS!$A$1:$N$100,3,FALSE)</f>
        <v>PUGET SOUND ENGY</v>
      </c>
      <c r="D27">
        <f>VLOOKUP(A27,[83]WRDS!$A$1:$N$100,13,FALSE)</f>
        <v>1.85</v>
      </c>
      <c r="E27">
        <f>VLOOKUP(A27,[67]WRDS!$A$1:$N$100,13,FALSE)</f>
        <v>1.24</v>
      </c>
      <c r="F27" s="1">
        <f t="shared" si="3"/>
        <v>2.0870472473829915</v>
      </c>
      <c r="G27" s="1">
        <f t="shared" si="4"/>
        <v>2.0821912984999997</v>
      </c>
      <c r="H27" s="2">
        <f t="shared" si="0"/>
        <v>-9.5179379995631974E-2</v>
      </c>
      <c r="I27" s="2">
        <f>VLOOKUP(A27,[84]WRDS!$A$1:$O$100,10,FALSE)/100</f>
        <v>3.0600000000000002E-2</v>
      </c>
      <c r="J27" s="2">
        <f>VLOOKUP(A27,[84]WRDS!$A$1:$O$100,9,FALSE)/100</f>
        <v>0.03</v>
      </c>
      <c r="K27" s="2">
        <f t="shared" si="1"/>
        <v>1.3214982068742656</v>
      </c>
      <c r="L27" s="2">
        <f t="shared" si="2"/>
        <v>1.3151943204649661</v>
      </c>
      <c r="M27">
        <f>VLOOKUP(A27,[84]WRDS!$A$1:$O$100,8,FALSE)</f>
        <v>5</v>
      </c>
      <c r="N27">
        <f>VLOOKUP(A27,[84]WRDS!$A$1:$O$100,11,FALSE)</f>
        <v>1.76</v>
      </c>
    </row>
    <row r="28" spans="1:14" x14ac:dyDescent="0.3">
      <c r="A28" t="s">
        <v>52</v>
      </c>
      <c r="B28" t="str">
        <f>VLOOKUP(A28,[83]WRDS!$A$1:$N$100,2,FALSE)</f>
        <v>SCG</v>
      </c>
      <c r="C28" t="str">
        <f>VLOOKUP(A28,[83]WRDS!$A$1:$N$100,3,FALSE)</f>
        <v>SCANA CP</v>
      </c>
      <c r="D28">
        <f>VLOOKUP(A28,[83]WRDS!$A$1:$N$100,13,FALSE)</f>
        <v>2.0699999999999998</v>
      </c>
      <c r="E28">
        <f>VLOOKUP(A28,[67]WRDS!$A$1:$N$100,13,FALSE)</f>
        <v>2.38</v>
      </c>
      <c r="F28" s="1">
        <f t="shared" si="3"/>
        <v>2.4123067701428682</v>
      </c>
      <c r="G28" s="1">
        <f t="shared" si="4"/>
        <v>2.4216072192000002</v>
      </c>
      <c r="H28" s="2">
        <f t="shared" si="0"/>
        <v>3.550369492742167E-2</v>
      </c>
      <c r="I28" s="2">
        <f>VLOOKUP(A28,[84]WRDS!$A$1:$O$100,10,FALSE)/100</f>
        <v>3.9E-2</v>
      </c>
      <c r="J28" s="2">
        <f>VLOOKUP(A28,[84]WRDS!$A$1:$O$100,9,FALSE)/100</f>
        <v>0.04</v>
      </c>
      <c r="K28" s="2">
        <f t="shared" si="1"/>
        <v>9.8477217081930274E-2</v>
      </c>
      <c r="L28" s="2">
        <f t="shared" si="2"/>
        <v>0.12664329957121057</v>
      </c>
      <c r="M28">
        <f>VLOOKUP(A28,[84]WRDS!$A$1:$O$100,8,FALSE)</f>
        <v>9</v>
      </c>
      <c r="N28">
        <f>VLOOKUP(A28,[84]WRDS!$A$1:$O$100,11,FALSE)</f>
        <v>1.07</v>
      </c>
    </row>
    <row r="29" spans="1:14" x14ac:dyDescent="0.3">
      <c r="A29" t="s">
        <v>53</v>
      </c>
      <c r="B29" t="str">
        <f>VLOOKUP(A29,[83]WRDS!$A$1:$N$100,2,FALSE)</f>
        <v>SO</v>
      </c>
      <c r="C29" t="str">
        <f>VLOOKUP(A29,[83]WRDS!$A$1:$N$100,3,FALSE)</f>
        <v>SOUTHN CO</v>
      </c>
      <c r="D29">
        <f>VLOOKUP(A29,[83]WRDS!$A$1:$N$100,13,FALSE)</f>
        <v>1.73</v>
      </c>
      <c r="E29">
        <f>VLOOKUP(A29,[67]WRDS!$A$1:$N$100,13,FALSE)</f>
        <v>1.86</v>
      </c>
      <c r="F29" s="1">
        <f t="shared" si="3"/>
        <v>2.1060319499970679</v>
      </c>
      <c r="G29" s="1">
        <f t="shared" si="4"/>
        <v>2.0828703112238292</v>
      </c>
      <c r="H29" s="2">
        <f t="shared" si="0"/>
        <v>1.8278819181491546E-2</v>
      </c>
      <c r="I29" s="2">
        <f>VLOOKUP(A29,[84]WRDS!$A$1:$O$100,10,FALSE)/100</f>
        <v>5.04E-2</v>
      </c>
      <c r="J29" s="2">
        <f>VLOOKUP(A29,[84]WRDS!$A$1:$O$100,9,FALSE)/100</f>
        <v>4.7500000000000001E-2</v>
      </c>
      <c r="K29" s="2">
        <f t="shared" si="1"/>
        <v>1.7572897078074481</v>
      </c>
      <c r="L29" s="2">
        <f t="shared" si="2"/>
        <v>1.5986361333502734</v>
      </c>
      <c r="M29">
        <f>VLOOKUP(A29,[84]WRDS!$A$1:$O$100,8,FALSE)</f>
        <v>14</v>
      </c>
      <c r="N29">
        <f>VLOOKUP(A29,[84]WRDS!$A$1:$O$100,11,FALSE)</f>
        <v>2.2400000000000002</v>
      </c>
    </row>
    <row r="30" spans="1:14" x14ac:dyDescent="0.3">
      <c r="A30" t="s">
        <v>54</v>
      </c>
      <c r="B30" t="str">
        <f>VLOOKUP(A30,[83]WRDS!$A$1:$N$100,2,FALSE)</f>
        <v>SDO</v>
      </c>
      <c r="C30" t="str">
        <f>VLOOKUP(A30,[83]WRDS!$A$1:$N$100,3,FALSE)</f>
        <v>SEMPRA ENERGY</v>
      </c>
      <c r="D30">
        <f>VLOOKUP(A30,[83]WRDS!$A$1:$N$100,13,FALSE)</f>
        <v>1.67</v>
      </c>
      <c r="E30">
        <f>VLOOKUP(A30,[67]WRDS!$A$1:$N$100,13,FALSE)</f>
        <v>2.68</v>
      </c>
      <c r="F30" s="1">
        <f t="shared" si="3"/>
        <v>2.0083296745033188</v>
      </c>
      <c r="G30" s="1">
        <f t="shared" si="4"/>
        <v>2.0298954375</v>
      </c>
      <c r="H30" s="2">
        <f t="shared" si="0"/>
        <v>0.12552353519263182</v>
      </c>
      <c r="I30" s="2">
        <f>VLOOKUP(A30,[84]WRDS!$A$1:$O$100,10,FALSE)/100</f>
        <v>4.7199999999999999E-2</v>
      </c>
      <c r="J30" s="2">
        <f>VLOOKUP(A30,[84]WRDS!$A$1:$O$100,9,FALSE)/100</f>
        <v>0.05</v>
      </c>
      <c r="K30" s="2">
        <f t="shared" si="1"/>
        <v>-0.6239748989895354</v>
      </c>
      <c r="L30" s="2">
        <f t="shared" si="2"/>
        <v>-0.60166832520077895</v>
      </c>
      <c r="M30">
        <f>VLOOKUP(A30,[84]WRDS!$A$1:$O$100,8,FALSE)</f>
        <v>8</v>
      </c>
      <c r="N30">
        <f>VLOOKUP(A30,[84]WRDS!$A$1:$O$100,11,FALSE)</f>
        <v>1.79</v>
      </c>
    </row>
    <row r="31" spans="1:14" x14ac:dyDescent="0.3">
      <c r="A31" t="s">
        <v>75</v>
      </c>
      <c r="B31" t="str">
        <f>VLOOKUP(A31,[83]WRDS!$A$1:$N$100,2,FALSE)</f>
        <v>TE</v>
      </c>
      <c r="C31" t="str">
        <f>VLOOKUP(A31,[83]WRDS!$A$1:$N$100,3,FALSE)</f>
        <v>TECO ENERGY INC</v>
      </c>
      <c r="D31">
        <f>VLOOKUP(A31,[83]WRDS!$A$1:$N$100,13,FALSE)</f>
        <v>1.68</v>
      </c>
      <c r="E31">
        <f>VLOOKUP(A31,[67]WRDS!$A$1:$N$100,13,FALSE)</f>
        <v>2.2799999999999998</v>
      </c>
      <c r="F31" s="1">
        <f t="shared" si="3"/>
        <v>2.0412726871249447</v>
      </c>
      <c r="G31" s="1">
        <f t="shared" si="4"/>
        <v>2.0420504999999998</v>
      </c>
      <c r="H31" s="2">
        <f t="shared" si="0"/>
        <v>7.9335325569136916E-2</v>
      </c>
      <c r="I31" s="2">
        <f>VLOOKUP(A31,[84]WRDS!$A$1:$O$100,10,FALSE)/100</f>
        <v>4.99E-2</v>
      </c>
      <c r="J31" s="2">
        <f>VLOOKUP(A31,[84]WRDS!$A$1:$O$100,9,FALSE)/100</f>
        <v>0.05</v>
      </c>
      <c r="K31" s="2">
        <f t="shared" si="1"/>
        <v>-0.37102419833754191</v>
      </c>
      <c r="L31" s="2">
        <f t="shared" si="2"/>
        <v>-0.36976372578912015</v>
      </c>
      <c r="M31">
        <f>VLOOKUP(A31,[84]WRDS!$A$1:$O$100,8,FALSE)</f>
        <v>15</v>
      </c>
      <c r="N31">
        <f>VLOOKUP(A31,[84]WRDS!$A$1:$O$100,11,FALSE)</f>
        <v>1.28</v>
      </c>
    </row>
    <row r="32" spans="1:14" x14ac:dyDescent="0.3">
      <c r="A32" t="s">
        <v>79</v>
      </c>
      <c r="B32" t="str">
        <f>VLOOKUP(A32,[83]WRDS!$A$1:$N$100,2,FALSE)</f>
        <v>UIL</v>
      </c>
      <c r="C32" t="str">
        <f>VLOOKUP(A32,[83]WRDS!$A$1:$N$100,3,FALSE)</f>
        <v>UTD ILLUM COO</v>
      </c>
      <c r="D32">
        <f>VLOOKUP(A32,[83]WRDS!$A$1:$N$100,13,FALSE)</f>
        <v>2.052</v>
      </c>
      <c r="E32">
        <f>VLOOKUP(A32,[67]WRDS!$A$1:$N$100,13,FALSE)</f>
        <v>1.8480000000000001</v>
      </c>
      <c r="F32" s="1">
        <f t="shared" si="3"/>
        <v>2.3275345994219521</v>
      </c>
      <c r="G32" s="1">
        <f t="shared" si="4"/>
        <v>2.3095440781200001</v>
      </c>
      <c r="H32" s="2">
        <f t="shared" si="0"/>
        <v>-2.5838071881072011E-2</v>
      </c>
      <c r="I32" s="2">
        <f>VLOOKUP(A32,[84]WRDS!$A$1:$O$100,10,FALSE)/100</f>
        <v>3.2000000000000001E-2</v>
      </c>
      <c r="J32" s="2">
        <f>VLOOKUP(A32,[84]WRDS!$A$1:$O$100,9,FALSE)/100</f>
        <v>0.03</v>
      </c>
      <c r="K32" s="2">
        <f t="shared" si="1"/>
        <v>2.238482505478359</v>
      </c>
      <c r="L32" s="2">
        <f t="shared" si="2"/>
        <v>2.1610773488859616</v>
      </c>
      <c r="M32">
        <f>VLOOKUP(A32,[84]WRDS!$A$1:$O$100,8,FALSE)</f>
        <v>3</v>
      </c>
      <c r="N32">
        <f>VLOOKUP(A32,[84]WRDS!$A$1:$O$100,11,FALSE)</f>
        <v>1.31</v>
      </c>
    </row>
    <row r="33" spans="1:14" x14ac:dyDescent="0.3">
      <c r="A33" t="s">
        <v>55</v>
      </c>
      <c r="B33" t="str">
        <f>VLOOKUP(A33,[83]WRDS!$A$1:$N$100,2,FALSE)</f>
        <v>WPC</v>
      </c>
      <c r="C33" t="str">
        <f>VLOOKUP(A33,[83]WRDS!$A$1:$N$100,3,FALSE)</f>
        <v>WISCONSIN ENERGY</v>
      </c>
      <c r="D33">
        <f>VLOOKUP(A33,[83]WRDS!$A$1:$N$100,13,FALSE)</f>
        <v>0.81499999999999995</v>
      </c>
      <c r="E33">
        <f>VLOOKUP(A33,[67]WRDS!$A$1:$N$100,13,FALSE)</f>
        <v>1.0900000000000001</v>
      </c>
      <c r="F33" s="1">
        <f t="shared" si="3"/>
        <v>0.91942892249575026</v>
      </c>
      <c r="G33" s="1">
        <f t="shared" si="4"/>
        <v>0.9172896801499999</v>
      </c>
      <c r="H33" s="2">
        <f t="shared" si="0"/>
        <v>7.5393042294350288E-2</v>
      </c>
      <c r="I33" s="2">
        <f>VLOOKUP(A33,[84]WRDS!$A$1:$O$100,10,FALSE)/100</f>
        <v>3.0600000000000002E-2</v>
      </c>
      <c r="J33" s="2">
        <f>VLOOKUP(A33,[84]WRDS!$A$1:$O$100,9,FALSE)/100</f>
        <v>0.03</v>
      </c>
      <c r="K33" s="2">
        <f t="shared" si="1"/>
        <v>-0.59412700338406332</v>
      </c>
      <c r="L33" s="2">
        <f t="shared" si="2"/>
        <v>-0.60208529743535633</v>
      </c>
      <c r="M33">
        <f>VLOOKUP(A33,[84]WRDS!$A$1:$O$100,8,FALSE)</f>
        <v>10</v>
      </c>
      <c r="N33">
        <f>VLOOKUP(A33,[84]WRDS!$A$1:$O$100,11,FALSE)</f>
        <v>1.1299999999999999</v>
      </c>
    </row>
    <row r="34" spans="1:14" x14ac:dyDescent="0.3">
      <c r="A34" t="s">
        <v>95</v>
      </c>
      <c r="B34" t="str">
        <f>VLOOKUP(A34,[83]WRDS!$A$1:$N$100,2,FALSE)</f>
        <v>WPS</v>
      </c>
      <c r="C34" t="str">
        <f>VLOOKUP(A34,[83]WRDS!$A$1:$N$100,3,FALSE)</f>
        <v>WPS RESOURCES CP</v>
      </c>
      <c r="D34">
        <f>VLOOKUP(A34,[83]WRDS!$A$1:$N$100,13,FALSE)</f>
        <v>1.82</v>
      </c>
      <c r="E34">
        <f>VLOOKUP(A34,[67]WRDS!$A$1:$N$100,13,FALSE)</f>
        <v>2.73</v>
      </c>
      <c r="F34" s="1">
        <f t="shared" si="3"/>
        <v>2.0262425491585119</v>
      </c>
      <c r="G34" s="1">
        <f t="shared" si="4"/>
        <v>1.9700265312</v>
      </c>
      <c r="H34" s="2">
        <f t="shared" si="0"/>
        <v>0.1066819197003217</v>
      </c>
      <c r="I34" s="2">
        <f>VLOOKUP(A34,[84]WRDS!$A$1:$O$100,10,FALSE)/100</f>
        <v>2.7200000000000002E-2</v>
      </c>
      <c r="J34" s="2">
        <f>VLOOKUP(A34,[84]WRDS!$A$1:$O$100,9,FALSE)/100</f>
        <v>0.02</v>
      </c>
      <c r="K34" s="2">
        <f t="shared" si="1"/>
        <v>-0.74503645907003702</v>
      </c>
      <c r="L34" s="2">
        <f t="shared" si="2"/>
        <v>-0.81252680813973299</v>
      </c>
      <c r="M34">
        <f>VLOOKUP(A34,[84]WRDS!$A$1:$O$100,8,FALSE)</f>
        <v>5</v>
      </c>
      <c r="N34">
        <f>VLOOKUP(A34,[84]WRDS!$A$1:$O$100,11,FALSE)</f>
        <v>1</v>
      </c>
    </row>
    <row r="35" spans="1:14" x14ac:dyDescent="0.3">
      <c r="A35" t="s">
        <v>132</v>
      </c>
      <c r="B35" t="str">
        <f>VLOOKUP(A35,'[5]Ticker List'!$H$4:$I$20,2,FALSE)</f>
        <v>EGAS</v>
      </c>
      <c r="C35" t="str">
        <f>VLOOKUP(A35,[85]jbv8ebbst5awwitq!$B$1:$N$13,2,FALSE)</f>
        <v>ATMOS ENERGY CP</v>
      </c>
      <c r="D35">
        <f>VLOOKUP(A35,[85]jbv8ebbst5awwitq!$B$1:$N$13,12,FALSE)</f>
        <v>0.57999999999999996</v>
      </c>
      <c r="E35">
        <f>VLOOKUP(A35,[69]difc7db5voetugfz!$B$1:$N$15,12,FALSE)</f>
        <v>1.54</v>
      </c>
      <c r="F35" s="1">
        <f t="shared" si="3"/>
        <v>0.8172161334909358</v>
      </c>
      <c r="G35" s="1">
        <f t="shared" si="4"/>
        <v>0.81871733380000011</v>
      </c>
      <c r="H35" s="2">
        <f t="shared" si="0"/>
        <v>0.27650694452022728</v>
      </c>
      <c r="I35" s="2">
        <f>VLOOKUP(A35,[86]i0ttfubq9nsmcvi0!$B$1:$N$13,9,FALSE)/100</f>
        <v>8.9499999999999996E-2</v>
      </c>
      <c r="J35" s="2">
        <f>VLOOKUP(A35,[86]i0ttfubq9nsmcvi0!$B$1:$N$13,8,FALSE)/100</f>
        <v>0.09</v>
      </c>
      <c r="K35" s="2">
        <f t="shared" si="1"/>
        <v>-0.67631916024643346</v>
      </c>
      <c r="L35" s="2">
        <f t="shared" si="2"/>
        <v>-0.67451088739864817</v>
      </c>
      <c r="M35">
        <f>VLOOKUP(A35,[86]i0ttfubq9nsmcvi0!$B$1:$N$13,7,FALSE)</f>
        <v>6</v>
      </c>
      <c r="N35">
        <f>VLOOKUP(A35,[86]i0ttfubq9nsmcvi0!$B$1:$N$13,10,FALSE)</f>
        <v>3.09</v>
      </c>
    </row>
    <row r="36" spans="1:14" x14ac:dyDescent="0.3">
      <c r="A36" t="s">
        <v>134</v>
      </c>
      <c r="B36" t="str">
        <f>VLOOKUP(A36,'[5]Ticker List'!$H$4:$I$20,2,FALSE)</f>
        <v>NJR</v>
      </c>
      <c r="C36" t="str">
        <f>VLOOKUP(A36,[85]jbv8ebbst5awwitq!$B$1:$N$13,2,FALSE)</f>
        <v>NEW JERSEY RES</v>
      </c>
      <c r="D36">
        <f>VLOOKUP(A36,[85]jbv8ebbst5awwitq!$B$1:$N$13,12,FALSE)</f>
        <v>0.55330000000000001</v>
      </c>
      <c r="E36">
        <f>VLOOKUP(A36,[69]difc7db5voetugfz!$B$1:$N$15,12,FALSE)</f>
        <v>0.79330000000000001</v>
      </c>
      <c r="F36" s="1">
        <f t="shared" si="3"/>
        <v>0.69537072136511624</v>
      </c>
      <c r="G36" s="1">
        <f t="shared" si="4"/>
        <v>0.6985285019680002</v>
      </c>
      <c r="H36" s="2">
        <f t="shared" si="0"/>
        <v>9.4256653620600206E-2</v>
      </c>
      <c r="I36" s="2">
        <f>VLOOKUP(A36,[86]i0ttfubq9nsmcvi0!$B$1:$N$13,9,FALSE)/100</f>
        <v>5.8799999999999998E-2</v>
      </c>
      <c r="J36" s="2">
        <f>VLOOKUP(A36,[86]i0ttfubq9nsmcvi0!$B$1:$N$13,8,FALSE)/100</f>
        <v>0.06</v>
      </c>
      <c r="K36" s="2">
        <f t="shared" si="1"/>
        <v>-0.37617136041471982</v>
      </c>
      <c r="L36" s="2">
        <f t="shared" si="2"/>
        <v>-0.36344016368848964</v>
      </c>
      <c r="M36">
        <f>VLOOKUP(A36,[86]i0ttfubq9nsmcvi0!$B$1:$N$13,7,FALSE)</f>
        <v>4</v>
      </c>
      <c r="N36">
        <f>VLOOKUP(A36,[86]i0ttfubq9nsmcvi0!$B$1:$N$13,10,FALSE)</f>
        <v>0.63</v>
      </c>
    </row>
    <row r="37" spans="1:14" x14ac:dyDescent="0.3">
      <c r="A37" t="s">
        <v>135</v>
      </c>
      <c r="B37" t="str">
        <f>VLOOKUP(A37,'[5]Ticker List'!$H$4:$I$20,2,FALSE)</f>
        <v>NI</v>
      </c>
      <c r="C37" t="str">
        <f>VLOOKUP(A37,[85]jbv8ebbst5awwitq!$B$1:$N$13,2,FALSE)</f>
        <v>NIPSCO IND INC</v>
      </c>
      <c r="D37">
        <f>VLOOKUP(A37,[85]jbv8ebbst5awwitq!$B$1:$N$13,12,FALSE)</f>
        <v>1.59</v>
      </c>
      <c r="E37">
        <f>VLOOKUP(A37,[69]difc7db5voetugfz!$B$1:$N$15,12,FALSE)</f>
        <v>2</v>
      </c>
      <c r="F37" s="1">
        <f t="shared" si="3"/>
        <v>2.0401090054885409</v>
      </c>
      <c r="G37" s="1">
        <f t="shared" si="4"/>
        <v>2.0301596061279894</v>
      </c>
      <c r="H37" s="2">
        <f t="shared" si="0"/>
        <v>5.9029890127794582E-2</v>
      </c>
      <c r="I37" s="2">
        <f>VLOOKUP(A37,[86]i0ttfubq9nsmcvi0!$B$1:$N$13,9,FALSE)/100</f>
        <v>6.4299999999999996E-2</v>
      </c>
      <c r="J37" s="2">
        <f>VLOOKUP(A37,[86]i0ttfubq9nsmcvi0!$B$1:$N$13,8,FALSE)/100</f>
        <v>6.3E-2</v>
      </c>
      <c r="K37" s="2">
        <f t="shared" si="1"/>
        <v>8.9278666465346351E-2</v>
      </c>
      <c r="L37" s="2">
        <f t="shared" si="2"/>
        <v>6.7255925152672244E-2</v>
      </c>
      <c r="M37">
        <f>VLOOKUP(A37,[86]i0ttfubq9nsmcvi0!$B$1:$N$13,7,FALSE)</f>
        <v>16</v>
      </c>
      <c r="N37">
        <f>VLOOKUP(A37,[86]i0ttfubq9nsmcvi0!$B$1:$N$13,10,FALSE)</f>
        <v>1.56</v>
      </c>
    </row>
    <row r="38" spans="1:14" x14ac:dyDescent="0.3">
      <c r="A38" t="s">
        <v>138</v>
      </c>
      <c r="B38" t="str">
        <f>VLOOKUP(A38,'[5]Ticker List'!$H$4:$I$20,2,FALSE)</f>
        <v>SJI</v>
      </c>
      <c r="C38" t="str">
        <f>VLOOKUP(A38,[85]jbv8ebbst5awwitq!$B$1:$N$13,2,FALSE)</f>
        <v>SO JERSEY INDS</v>
      </c>
      <c r="D38">
        <f>VLOOKUP(A38,[85]jbv8ebbst5awwitq!$B$1:$N$13,12,FALSE)</f>
        <v>0.32</v>
      </c>
      <c r="E38">
        <f>VLOOKUP(A38,[69]difc7db5voetugfz!$B$1:$N$15,12,FALSE)</f>
        <v>0.60750000000000004</v>
      </c>
      <c r="F38" s="1">
        <f t="shared" si="3"/>
        <v>0.37435473920000006</v>
      </c>
      <c r="G38" s="1">
        <f t="shared" si="4"/>
        <v>0.37435473920000006</v>
      </c>
      <c r="H38" s="2">
        <f t="shared" si="0"/>
        <v>0.17381343505496538</v>
      </c>
      <c r="I38" s="2">
        <f>VLOOKUP(A38,[86]i0ttfubq9nsmcvi0!$B$1:$N$13,9,FALSE)/100</f>
        <v>0.04</v>
      </c>
      <c r="J38" s="2">
        <f>VLOOKUP(A38,[86]i0ttfubq9nsmcvi0!$B$1:$N$13,8,FALSE)/100</f>
        <v>0.04</v>
      </c>
      <c r="K38" s="2">
        <f t="shared" si="1"/>
        <v>-0.76986819236757664</v>
      </c>
      <c r="L38" s="2">
        <f t="shared" si="2"/>
        <v>-0.76986819236757664</v>
      </c>
      <c r="M38">
        <f>VLOOKUP(A38,[86]i0ttfubq9nsmcvi0!$B$1:$N$13,7,FALSE)</f>
        <v>2</v>
      </c>
      <c r="N38">
        <f>VLOOKUP(A38,[86]i0ttfubq9nsmcvi0!$B$1:$N$13,10,FALSE)</f>
        <v>1.41</v>
      </c>
    </row>
    <row r="39" spans="1:14" x14ac:dyDescent="0.3">
      <c r="A39" t="s">
        <v>139</v>
      </c>
      <c r="B39" t="str">
        <f>VLOOKUP(A39,'[5]Ticker List'!$H$4:$I$20,2,FALSE)</f>
        <v>SWX</v>
      </c>
      <c r="C39" t="str">
        <f>VLOOKUP(A39,[85]jbv8ebbst5awwitq!$B$1:$N$13,2,FALSE)</f>
        <v>SOUTHWEST GAS</v>
      </c>
      <c r="D39">
        <f>VLOOKUP(A39,[85]jbv8ebbst5awwitq!$B$1:$N$13,12,FALSE)</f>
        <v>1.65</v>
      </c>
      <c r="E39">
        <f>VLOOKUP(A39,[69]difc7db5voetugfz!$B$1:$N$15,12,FALSE)</f>
        <v>1.43</v>
      </c>
      <c r="F39" s="1">
        <f t="shared" si="3"/>
        <v>1.9699161731392567</v>
      </c>
      <c r="G39" s="1">
        <f t="shared" si="4"/>
        <v>1.9751982054024002</v>
      </c>
      <c r="H39" s="2">
        <f t="shared" si="0"/>
        <v>-3.5142841529761548E-2</v>
      </c>
      <c r="I39" s="2">
        <f>VLOOKUP(A39,[86]i0ttfubq9nsmcvi0!$B$1:$N$13,9,FALSE)/100</f>
        <v>4.53E-2</v>
      </c>
      <c r="J39" s="2">
        <f>VLOOKUP(A39,[86]i0ttfubq9nsmcvi0!$B$1:$N$13,8,FALSE)/100</f>
        <v>4.5999999999999999E-2</v>
      </c>
      <c r="K39" s="2">
        <f t="shared" si="1"/>
        <v>2.2890249629255686</v>
      </c>
      <c r="L39" s="2">
        <f t="shared" si="2"/>
        <v>2.3089436709619457</v>
      </c>
      <c r="M39">
        <f>VLOOKUP(A39,[86]i0ttfubq9nsmcvi0!$B$1:$N$13,7,FALSE)</f>
        <v>3</v>
      </c>
      <c r="N39">
        <f>VLOOKUP(A39,[86]i0ttfubq9nsmcvi0!$B$1:$N$13,10,FALSE)</f>
        <v>0.5</v>
      </c>
    </row>
    <row r="40" spans="1:14" x14ac:dyDescent="0.3">
      <c r="A40" t="s">
        <v>148</v>
      </c>
      <c r="B40" t="str">
        <f>VLOOKUP(A40,'[5]Ticker List'!$H$4:$I$20,2,FALSE)</f>
        <v>AGLT</v>
      </c>
      <c r="C40" t="str">
        <f>VLOOKUP(A40,[85]jbv8ebbst5awwitq!$B$1:$N$13,2,FALSE)</f>
        <v>AGL RESOURCES</v>
      </c>
      <c r="D40">
        <f>VLOOKUP(A40,[85]jbv8ebbst5awwitq!$B$1:$N$13,12,FALSE)</f>
        <v>0.91</v>
      </c>
      <c r="E40">
        <f>VLOOKUP(A40,[69]difc7db5voetugfz!$B$1:$N$15,12,FALSE)</f>
        <v>1.82</v>
      </c>
      <c r="F40" s="1">
        <f t="shared" si="3"/>
        <v>1.0868544186832569</v>
      </c>
      <c r="G40" s="1">
        <f t="shared" si="4"/>
        <v>1.1061106875</v>
      </c>
      <c r="H40" s="2">
        <f t="shared" si="0"/>
        <v>0.18920711500272103</v>
      </c>
      <c r="I40" s="2">
        <f>VLOOKUP(A40,[86]i0ttfubq9nsmcvi0!$B$1:$N$13,9,FALSE)/100</f>
        <v>4.5400000000000003E-2</v>
      </c>
      <c r="J40" s="2">
        <f>VLOOKUP(A40,[86]i0ttfubq9nsmcvi0!$B$1:$N$13,8,FALSE)/100</f>
        <v>0.05</v>
      </c>
      <c r="K40" s="2">
        <f t="shared" si="1"/>
        <v>-0.76005130674210064</v>
      </c>
      <c r="L40" s="2">
        <f t="shared" si="2"/>
        <v>-0.7357393246058378</v>
      </c>
      <c r="M40">
        <f>VLOOKUP(A40,[86]i0ttfubq9nsmcvi0!$B$1:$N$13,7,FALSE)</f>
        <v>9</v>
      </c>
      <c r="N40">
        <f>VLOOKUP(A40,[86]i0ttfubq9nsmcvi0!$B$1:$N$13,10,FALSE)</f>
        <v>1.21</v>
      </c>
    </row>
    <row r="41" spans="1:14" x14ac:dyDescent="0.3">
      <c r="A41" t="s">
        <v>143</v>
      </c>
      <c r="B41" t="str">
        <f>VLOOKUP(A41,'[5]Ticker List'!$H$4:$I$20,2,FALSE)</f>
        <v>LG</v>
      </c>
      <c r="C41" t="str">
        <f>VLOOKUP(A41,[85]jbv8ebbst5awwitq!$B$1:$N$13,2,FALSE)</f>
        <v>LACLEDE GAS</v>
      </c>
      <c r="D41">
        <f>VLOOKUP(A41,[85]jbv8ebbst5awwitq!$B$1:$N$13,12,FALSE)</f>
        <v>1.6</v>
      </c>
      <c r="E41">
        <f>VLOOKUP(A41,[69]difc7db5voetugfz!$B$1:$N$15,12,FALSE)</f>
        <v>1.82</v>
      </c>
      <c r="F41" s="1">
        <f t="shared" si="3"/>
        <v>1.7116059768335994</v>
      </c>
      <c r="G41" s="1">
        <f t="shared" si="4"/>
        <v>1.7116059768335994</v>
      </c>
      <c r="H41" s="2">
        <f t="shared" si="0"/>
        <v>3.2732516378310317E-2</v>
      </c>
      <c r="I41" s="2">
        <f>VLOOKUP(A41,[86]i0ttfubq9nsmcvi0!$B$1:$N$13,9,FALSE)/100</f>
        <v>1.7000000000000001E-2</v>
      </c>
      <c r="J41" s="2">
        <f>VLOOKUP(A41,[86]i0ttfubq9nsmcvi0!$B$1:$N$13,8,FALSE)/100</f>
        <v>1.7000000000000001E-2</v>
      </c>
      <c r="K41" s="2">
        <f t="shared" si="1"/>
        <v>-0.480638768998989</v>
      </c>
      <c r="L41" s="2">
        <f t="shared" si="2"/>
        <v>-0.480638768998989</v>
      </c>
      <c r="M41">
        <f>VLOOKUP(A41,[86]i0ttfubq9nsmcvi0!$B$1:$N$13,7,FALSE)</f>
        <v>1</v>
      </c>
      <c r="N41">
        <f>VLOOKUP(A41,[86]i0ttfubq9nsmcvi0!$B$1:$N$13,10,FALSE)</f>
        <v>0</v>
      </c>
    </row>
    <row r="42" spans="1:14" x14ac:dyDescent="0.3">
      <c r="A42" t="s">
        <v>144</v>
      </c>
      <c r="B42" t="str">
        <f>VLOOKUP(A42,'[5]Ticker List'!$H$4:$I$20,2,FALSE)</f>
        <v>GAS</v>
      </c>
      <c r="C42" t="str">
        <f>VLOOKUP(A42,[85]jbv8ebbst5awwitq!$B$1:$N$13,2,FALSE)</f>
        <v>NICOR INC</v>
      </c>
      <c r="D42">
        <f>VLOOKUP(A42,[85]jbv8ebbst5awwitq!$B$1:$N$13,12,FALSE)</f>
        <v>2.42</v>
      </c>
      <c r="E42">
        <f>VLOOKUP(A42,[69]difc7db5voetugfz!$B$1:$N$15,12,FALSE)</f>
        <v>2.88</v>
      </c>
      <c r="F42" s="1">
        <f t="shared" si="3"/>
        <v>2.9956829695737244</v>
      </c>
      <c r="G42" s="1">
        <f t="shared" si="4"/>
        <v>2.9979556545124995</v>
      </c>
      <c r="H42" s="2">
        <f t="shared" si="0"/>
        <v>4.4465935734187001E-2</v>
      </c>
      <c r="I42" s="2">
        <f>VLOOKUP(A42,[86]i0ttfubq9nsmcvi0!$B$1:$N$13,9,FALSE)/100</f>
        <v>5.4800000000000001E-2</v>
      </c>
      <c r="J42" s="2">
        <f>VLOOKUP(A42,[86]i0ttfubq9nsmcvi0!$B$1:$N$13,8,FALSE)/100</f>
        <v>5.5E-2</v>
      </c>
      <c r="K42" s="2">
        <f t="shared" si="1"/>
        <v>0.23240406606056876</v>
      </c>
      <c r="L42" s="2">
        <f t="shared" si="2"/>
        <v>0.23690189111918394</v>
      </c>
      <c r="M42">
        <f>VLOOKUP(A42,[86]i0ttfubq9nsmcvi0!$B$1:$N$13,7,FALSE)</f>
        <v>6</v>
      </c>
      <c r="N42">
        <f>VLOOKUP(A42,[86]i0ttfubq9nsmcvi0!$B$1:$N$13,10,FALSE)</f>
        <v>1.36</v>
      </c>
    </row>
    <row r="43" spans="1:14" x14ac:dyDescent="0.3">
      <c r="A43" t="s">
        <v>146</v>
      </c>
      <c r="B43" t="str">
        <f>VLOOKUP(A43,'[5]Ticker List'!$H$4:$I$20,2,FALSE)</f>
        <v>PNY</v>
      </c>
      <c r="C43" t="str">
        <f>VLOOKUP(A43,[85]jbv8ebbst5awwitq!$B$1:$N$13,2,FALSE)</f>
        <v>PIEDMONT NAT GAS</v>
      </c>
      <c r="D43">
        <f>VLOOKUP(A43,[85]jbv8ebbst5awwitq!$B$1:$N$13,12,FALSE)</f>
        <v>0.93</v>
      </c>
      <c r="E43">
        <f>VLOOKUP(A43,[69]difc7db5voetugfz!$B$1:$N$15,12,FALSE)</f>
        <v>1.1100000000000001</v>
      </c>
      <c r="F43" s="1">
        <f t="shared" si="3"/>
        <v>1.2076872556300777</v>
      </c>
      <c r="G43" s="1">
        <f t="shared" si="4"/>
        <v>1.1964137060812496</v>
      </c>
      <c r="H43" s="2">
        <f t="shared" si="0"/>
        <v>4.5225526578527964E-2</v>
      </c>
      <c r="I43" s="2">
        <f>VLOOKUP(A43,[86]i0ttfubq9nsmcvi0!$B$1:$N$13,9,FALSE)/100</f>
        <v>6.7500000000000004E-2</v>
      </c>
      <c r="J43" s="2">
        <f>VLOOKUP(A43,[86]i0ttfubq9nsmcvi0!$B$1:$N$13,8,FALSE)/100</f>
        <v>6.5000000000000002E-2</v>
      </c>
      <c r="K43" s="2">
        <f t="shared" si="1"/>
        <v>0.4925199352360321</v>
      </c>
      <c r="L43" s="2">
        <f t="shared" si="2"/>
        <v>0.43724141911617903</v>
      </c>
      <c r="M43">
        <f>VLOOKUP(A43,[86]i0ttfubq9nsmcvi0!$B$1:$N$13,7,FALSE)</f>
        <v>4</v>
      </c>
      <c r="N43">
        <f>VLOOKUP(A43,[86]i0ttfubq9nsmcvi0!$B$1:$N$13,10,FALSE)</f>
        <v>2.06</v>
      </c>
    </row>
    <row r="44" spans="1:14" x14ac:dyDescent="0.3">
      <c r="A44" t="s">
        <v>145</v>
      </c>
      <c r="B44" t="str">
        <f>VLOOKUP(A44,'[5]Ticker List'!$H$4:$I$20,2,FALSE)</f>
        <v>WGL</v>
      </c>
      <c r="C44" t="str">
        <f>VLOOKUP(A44,[85]jbv8ebbst5awwitq!$B$1:$N$13,2,FALSE)</f>
        <v>WASH GAS LT</v>
      </c>
      <c r="D44">
        <f>VLOOKUP(A44,[85]jbv8ebbst5awwitq!$B$1:$N$13,12,FALSE)</f>
        <v>1.49</v>
      </c>
      <c r="E44">
        <f>VLOOKUP(A44,[69]difc7db5voetugfz!$B$1:$N$15,12,FALSE)</f>
        <v>2.2999999999999998</v>
      </c>
      <c r="F44" s="1">
        <f t="shared" si="3"/>
        <v>1.7994037101183904</v>
      </c>
      <c r="G44" s="1">
        <f t="shared" si="4"/>
        <v>1.8111043124999999</v>
      </c>
      <c r="H44" s="2">
        <f t="shared" si="0"/>
        <v>0.11464197059746706</v>
      </c>
      <c r="I44" s="2">
        <f>VLOOKUP(A44,[86]i0ttfubq9nsmcvi0!$B$1:$N$13,9,FALSE)/100</f>
        <v>4.8300000000000003E-2</v>
      </c>
      <c r="J44" s="2">
        <f>VLOOKUP(A44,[86]i0ttfubq9nsmcvi0!$B$1:$N$13,8,FALSE)/100</f>
        <v>0.05</v>
      </c>
      <c r="K44" s="2">
        <f t="shared" si="1"/>
        <v>-0.5786883307371623</v>
      </c>
      <c r="L44" s="2">
        <f t="shared" si="2"/>
        <v>-0.56385955562853241</v>
      </c>
      <c r="M44">
        <f>VLOOKUP(A44,[86]i0ttfubq9nsmcvi0!$B$1:$N$13,7,FALSE)</f>
        <v>6</v>
      </c>
      <c r="N44">
        <f>VLOOKUP(A44,[86]i0ttfubq9nsmcvi0!$B$1:$N$13,10,FALSE)</f>
        <v>1.57</v>
      </c>
    </row>
    <row r="45" spans="1:14" x14ac:dyDescent="0.3">
      <c r="A45" t="s">
        <v>149</v>
      </c>
      <c r="B45" t="str">
        <f>VLOOKUP(A45,'[5]Ticker List'!$H$4:$I$20,2,FALSE)</f>
        <v>CGC</v>
      </c>
      <c r="C45" t="str">
        <f>VLOOKUP(A45,[85]jbv8ebbst5awwitq!$B$1:$N$13,2,FALSE)</f>
        <v>CASCADE NAT GAS</v>
      </c>
      <c r="D45">
        <f>VLOOKUP(A45,[85]jbv8ebbst5awwitq!$B$1:$N$13,12,FALSE)</f>
        <v>1.25</v>
      </c>
      <c r="E45">
        <f>VLOOKUP(A45,[69]difc7db5voetugfz!$B$1:$N$15,12,FALSE)</f>
        <v>0.82</v>
      </c>
      <c r="F45" s="1">
        <f t="shared" si="3"/>
        <v>1.4277630038214424</v>
      </c>
      <c r="G45" s="1">
        <f t="shared" si="4"/>
        <v>1.4288681904199998</v>
      </c>
      <c r="H45" s="2">
        <f t="shared" si="0"/>
        <v>-0.10003429551306597</v>
      </c>
      <c r="I45" s="2">
        <f>VLOOKUP(A45,[86]i0ttfubq9nsmcvi0!$B$1:$N$13,9,FALSE)/100</f>
        <v>3.3799999999999997E-2</v>
      </c>
      <c r="J45" s="2">
        <f>VLOOKUP(A45,[86]i0ttfubq9nsmcvi0!$B$1:$N$13,8,FALSE)/100</f>
        <v>3.4000000000000002E-2</v>
      </c>
      <c r="K45" s="2">
        <f t="shared" si="1"/>
        <v>1.3378841209071664</v>
      </c>
      <c r="L45" s="2">
        <f t="shared" si="2"/>
        <v>1.339883435232061</v>
      </c>
      <c r="M45">
        <f>VLOOKUP(A45,[86]i0ttfubq9nsmcvi0!$B$1:$N$13,7,FALSE)</f>
        <v>4</v>
      </c>
      <c r="N45">
        <f>VLOOKUP(A45,[86]i0ttfubq9nsmcvi0!$B$1:$N$13,10,FALSE)</f>
        <v>0.72</v>
      </c>
    </row>
    <row r="46" spans="1:14" x14ac:dyDescent="0.3">
      <c r="A46" t="s">
        <v>150</v>
      </c>
      <c r="B46" t="str">
        <f>VLOOKUP(A46,'[5]Ticker List'!$H$4:$I$20,2,FALSE)</f>
        <v>MN</v>
      </c>
      <c r="C46" t="str">
        <f>VLOOKUP(A46,[85]jbv8ebbst5awwitq!$B$1:$N$13,2,FALSE)</f>
        <v>KEYSPAN ENRGY CP</v>
      </c>
      <c r="D46">
        <f>VLOOKUP(A46,[85]jbv8ebbst5awwitq!$B$1:$N$13,12,FALSE)</f>
        <v>0.48</v>
      </c>
      <c r="E46">
        <f>VLOOKUP(A46,[69]difc7db5voetugfz!$B$1:$N$15,12,FALSE)</f>
        <v>2.75</v>
      </c>
      <c r="F46" s="1">
        <f t="shared" si="3"/>
        <v>0.65013715806389427</v>
      </c>
      <c r="G46" s="1">
        <f t="shared" si="4"/>
        <v>0.65303470080000015</v>
      </c>
      <c r="H46" s="2">
        <f t="shared" si="0"/>
        <v>0.54711595214801045</v>
      </c>
      <c r="I46" s="2">
        <f>VLOOKUP(A46,[86]i0ttfubq9nsmcvi0!$B$1:$N$13,9,FALSE)/100</f>
        <v>7.8799999999999995E-2</v>
      </c>
      <c r="J46" s="2">
        <f>VLOOKUP(A46,[86]i0ttfubq9nsmcvi0!$B$1:$N$13,8,FALSE)/100</f>
        <v>0.08</v>
      </c>
      <c r="K46" s="2">
        <f t="shared" si="1"/>
        <v>-0.85597202989489451</v>
      </c>
      <c r="L46" s="2">
        <f t="shared" si="2"/>
        <v>-0.85377871055319232</v>
      </c>
      <c r="M46">
        <f>VLOOKUP(A46,[86]i0ttfubq9nsmcvi0!$B$1:$N$13,7,FALSE)</f>
        <v>4</v>
      </c>
      <c r="N46">
        <f>VLOOKUP(A46,[86]i0ttfubq9nsmcvi0!$B$1:$N$13,10,FALSE)</f>
        <v>4.21</v>
      </c>
    </row>
  </sheetData>
  <mergeCells count="3">
    <mergeCell ref="P1:Q1"/>
    <mergeCell ref="P7:Q7"/>
    <mergeCell ref="P13:Q13"/>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1A15D-957B-41FA-B596-4B744DE41202}">
  <dimension ref="A1:Q42"/>
  <sheetViews>
    <sheetView workbookViewId="0">
      <selection activeCell="A31" sqref="A31"/>
    </sheetView>
  </sheetViews>
  <sheetFormatPr defaultRowHeight="14.4" x14ac:dyDescent="0.3"/>
  <cols>
    <col min="1" max="1" width="13.33203125" bestFit="1" customWidth="1"/>
    <col min="2" max="2" width="10.44140625" bestFit="1" customWidth="1"/>
    <col min="3" max="3" width="17.44140625" bestFit="1" customWidth="1"/>
    <col min="4" max="5" width="15.44140625" bestFit="1" customWidth="1"/>
    <col min="6" max="6" width="14.33203125" bestFit="1" customWidth="1"/>
    <col min="7" max="7" width="16" bestFit="1" customWidth="1"/>
    <col min="8" max="8" width="18.33203125" bestFit="1" customWidth="1"/>
    <col min="9" max="9" width="21.44140625" bestFit="1" customWidth="1"/>
    <col min="10" max="10" width="23.109375" bestFit="1" customWidth="1"/>
    <col min="11" max="11" width="22" bestFit="1" customWidth="1"/>
    <col min="12" max="12" width="24.109375" bestFit="1" customWidth="1"/>
    <col min="13" max="13" width="19.88671875" bestFit="1" customWidth="1"/>
    <col min="14" max="14" width="8.33203125" bestFit="1" customWidth="1"/>
    <col min="16" max="16" width="51.88671875" bestFit="1" customWidth="1"/>
  </cols>
  <sheetData>
    <row r="1" spans="1:17" x14ac:dyDescent="0.3">
      <c r="A1" t="s">
        <v>0</v>
      </c>
      <c r="B1" t="s">
        <v>1</v>
      </c>
      <c r="C1" t="s">
        <v>2</v>
      </c>
      <c r="D1" t="s">
        <v>100</v>
      </c>
      <c r="E1" t="s">
        <v>96</v>
      </c>
      <c r="F1" t="s">
        <v>5</v>
      </c>
      <c r="G1" t="s">
        <v>6</v>
      </c>
      <c r="H1" t="s">
        <v>7</v>
      </c>
      <c r="I1" t="s">
        <v>8</v>
      </c>
      <c r="J1" t="s">
        <v>9</v>
      </c>
      <c r="K1" t="s">
        <v>10</v>
      </c>
      <c r="L1" t="s">
        <v>11</v>
      </c>
      <c r="M1" t="s">
        <v>12</v>
      </c>
      <c r="N1" t="s">
        <v>13</v>
      </c>
      <c r="P1" s="111" t="s">
        <v>14</v>
      </c>
      <c r="Q1" s="111"/>
    </row>
    <row r="2" spans="1:17" x14ac:dyDescent="0.3">
      <c r="A2" t="s">
        <v>19</v>
      </c>
      <c r="B2" t="str">
        <f>VLOOKUP(A2,[87]WRDS!$A$1:$N$100,2,FALSE)</f>
        <v>BHP</v>
      </c>
      <c r="C2" t="str">
        <f>VLOOKUP(A2,[87]WRDS!$A$1:$N$100,3,FALSE)</f>
        <v>BLACK HILLS CP</v>
      </c>
      <c r="D2">
        <f>VLOOKUP(A2,[87]WRDS!$A$1:$N$100,13,FALSE)</f>
        <v>1.4933000000000001</v>
      </c>
      <c r="E2">
        <f>VLOOKUP(A2,[71]WRDS!$A$1:$N$100,13,FALSE)</f>
        <v>3.78</v>
      </c>
      <c r="F2" s="1">
        <f>D2*(1+I2)^4</f>
        <v>1.7924042366400155</v>
      </c>
      <c r="G2" s="1">
        <f>D2*(1+J2)^4</f>
        <v>1.7469497876480005</v>
      </c>
      <c r="H2" s="2">
        <f t="shared" ref="H2:H42" si="0">((E2/D2)^(1/4)-1)</f>
        <v>0.26135166173224622</v>
      </c>
      <c r="I2" s="2">
        <f>VLOOKUP(A2,[88]WRDS!$A$1:$O$100,10,FALSE)/100</f>
        <v>4.6699999999999998E-2</v>
      </c>
      <c r="J2" s="2">
        <f>VLOOKUP(A2,[88]WRDS!$A$1:$O$100,9,FALSE)/100</f>
        <v>0.04</v>
      </c>
      <c r="K2" s="2">
        <f t="shared" ref="K2:K42" si="1">(I2-H2)/(ABS(H2))</f>
        <v>-0.82131355243555348</v>
      </c>
      <c r="L2" s="2">
        <f t="shared" ref="L2:L42" si="2">(J2-H2)/(ABS(H2))</f>
        <v>-0.84694950958077375</v>
      </c>
      <c r="M2">
        <f>VLOOKUP(A2,[88]WRDS!$A$1:$O$100,8,FALSE)</f>
        <v>3</v>
      </c>
      <c r="N2">
        <f>VLOOKUP(A2,[88]WRDS!$A$1:$O$100,11,FALSE)</f>
        <v>1.1499999999999999</v>
      </c>
      <c r="P2" t="s">
        <v>16</v>
      </c>
      <c r="Q2" s="3">
        <f>AVERAGE(H2:H999)</f>
        <v>5.4490768030683152E-2</v>
      </c>
    </row>
    <row r="3" spans="1:17" x14ac:dyDescent="0.3">
      <c r="A3" t="s">
        <v>88</v>
      </c>
      <c r="B3" t="str">
        <f>VLOOKUP(A3,[87]WRDS!$A$1:$N$100,2,FALSE)</f>
        <v>CIN</v>
      </c>
      <c r="C3" t="str">
        <f>VLOOKUP(A3,[87]WRDS!$A$1:$N$100,3,FALSE)</f>
        <v>CINERGY CORP</v>
      </c>
      <c r="D3">
        <f>VLOOKUP(A3,[87]WRDS!$A$1:$N$100,13,FALSE)</f>
        <v>2.37</v>
      </c>
      <c r="E3">
        <f>VLOOKUP(A3,[71]WRDS!$A$1:$N$100,13,FALSE)</f>
        <v>2.75</v>
      </c>
      <c r="F3" s="1">
        <f t="shared" ref="F3:F42" si="3">D3*(1+I3)^4</f>
        <v>2.8425314385653984</v>
      </c>
      <c r="G3" s="1">
        <f t="shared" ref="G3:G42" si="4">D3*(1+J3)^4</f>
        <v>2.8262690834812489</v>
      </c>
      <c r="H3" s="2">
        <f t="shared" si="0"/>
        <v>3.787747588781043E-2</v>
      </c>
      <c r="I3" s="2">
        <f>VLOOKUP(A3,[88]WRDS!$A$1:$O$100,10,FALSE)/100</f>
        <v>4.6500000000000007E-2</v>
      </c>
      <c r="J3" s="2">
        <f>VLOOKUP(A3,[88]WRDS!$A$1:$O$100,9,FALSE)/100</f>
        <v>4.4999999999999998E-2</v>
      </c>
      <c r="K3" s="2">
        <f t="shared" si="1"/>
        <v>0.22764252131606375</v>
      </c>
      <c r="L3" s="2">
        <f t="shared" si="2"/>
        <v>0.18804114966070665</v>
      </c>
      <c r="M3">
        <f>VLOOKUP(A3,[88]WRDS!$A$1:$O$100,8,FALSE)</f>
        <v>17</v>
      </c>
      <c r="N3">
        <f>VLOOKUP(A3,[88]WRDS!$A$1:$O$100,11,FALSE)</f>
        <v>1.43</v>
      </c>
      <c r="P3" t="s">
        <v>18</v>
      </c>
      <c r="Q3" s="3">
        <f>AVERAGE(I2:I999)</f>
        <v>4.1597560975609765E-2</v>
      </c>
    </row>
    <row r="4" spans="1:17" x14ac:dyDescent="0.3">
      <c r="A4" t="s">
        <v>21</v>
      </c>
      <c r="B4" t="str">
        <f>VLOOKUP(A4,[87]WRDS!$A$1:$N$100,2,FALSE)</f>
        <v>CMS</v>
      </c>
      <c r="C4" t="str">
        <f>VLOOKUP(A4,[87]WRDS!$A$1:$N$100,3,FALSE)</f>
        <v>CMS ENERGY CORP</v>
      </c>
      <c r="D4">
        <f>VLOOKUP(A4,[87]WRDS!$A$1:$N$100,13,FALSE)</f>
        <v>2.63</v>
      </c>
      <c r="E4">
        <f>VLOOKUP(A4,[71]WRDS!$A$1:$N$100,13,FALSE)</f>
        <v>1.47</v>
      </c>
      <c r="F4" s="1">
        <f t="shared" si="3"/>
        <v>3.5900278349918522</v>
      </c>
      <c r="G4" s="1">
        <f t="shared" si="4"/>
        <v>3.5780859648000005</v>
      </c>
      <c r="H4" s="2">
        <f t="shared" si="0"/>
        <v>-0.1353498989566071</v>
      </c>
      <c r="I4" s="2">
        <f>VLOOKUP(A4,[88]WRDS!$A$1:$O$100,10,FALSE)/100</f>
        <v>8.09E-2</v>
      </c>
      <c r="J4" s="2">
        <f>VLOOKUP(A4,[88]WRDS!$A$1:$O$100,9,FALSE)/100</f>
        <v>0.08</v>
      </c>
      <c r="K4" s="2">
        <f t="shared" si="1"/>
        <v>1.5977100878807184</v>
      </c>
      <c r="L4" s="2">
        <f t="shared" si="2"/>
        <v>1.5910606555062732</v>
      </c>
      <c r="M4">
        <f>VLOOKUP(A4,[88]WRDS!$A$1:$O$100,8,FALSE)</f>
        <v>11</v>
      </c>
      <c r="N4">
        <f>VLOOKUP(A4,[88]WRDS!$A$1:$O$100,11,FALSE)</f>
        <v>1.97</v>
      </c>
      <c r="P4" t="s">
        <v>20</v>
      </c>
      <c r="Q4" s="3">
        <f>(Q3-Q2)/ABS(Q2)</f>
        <v>-0.23661268726866475</v>
      </c>
    </row>
    <row r="5" spans="1:17" x14ac:dyDescent="0.3">
      <c r="A5" t="s">
        <v>71</v>
      </c>
      <c r="B5" t="str">
        <f>VLOOKUP(A5,[87]WRDS!$A$1:$N$100,2,FALSE)</f>
        <v>CNL</v>
      </c>
      <c r="C5" t="str">
        <f>VLOOKUP(A5,[87]WRDS!$A$1:$N$100,3,FALSE)</f>
        <v>CENT LA ELEC INC</v>
      </c>
      <c r="D5">
        <f>VLOOKUP(A5,[87]WRDS!$A$1:$N$100,13,FALSE)</f>
        <v>1.1200000000000001</v>
      </c>
      <c r="E5">
        <f>VLOOKUP(A5,[71]WRDS!$A$1:$N$100,13,FALSE)</f>
        <v>1.51</v>
      </c>
      <c r="F5" s="1">
        <f t="shared" si="3"/>
        <v>1.2444924630478502</v>
      </c>
      <c r="G5" s="1">
        <f t="shared" si="4"/>
        <v>1.2605698672000001</v>
      </c>
      <c r="H5" s="2">
        <f t="shared" si="0"/>
        <v>7.7555706448920736E-2</v>
      </c>
      <c r="I5" s="2">
        <f>VLOOKUP(A5,[88]WRDS!$A$1:$O$100,10,FALSE)/100</f>
        <v>2.6699999999999998E-2</v>
      </c>
      <c r="J5" s="2">
        <f>VLOOKUP(A5,[88]WRDS!$A$1:$O$100,9,FALSE)/100</f>
        <v>0.03</v>
      </c>
      <c r="K5" s="2">
        <f t="shared" si="1"/>
        <v>-0.65573132884058005</v>
      </c>
      <c r="L5" s="2">
        <f t="shared" si="2"/>
        <v>-0.61318126836020226</v>
      </c>
      <c r="M5">
        <f>VLOOKUP(A5,[88]WRDS!$A$1:$O$100,8,FALSE)</f>
        <v>3</v>
      </c>
      <c r="N5">
        <f>VLOOKUP(A5,[88]WRDS!$A$1:$O$100,11,FALSE)</f>
        <v>1.53</v>
      </c>
      <c r="P5" t="s">
        <v>22</v>
      </c>
      <c r="Q5" s="3">
        <f>AVERAGE(J2:J999)</f>
        <v>4.0231707317073186E-2</v>
      </c>
    </row>
    <row r="6" spans="1:17" x14ac:dyDescent="0.3">
      <c r="A6" t="s">
        <v>25</v>
      </c>
      <c r="B6" t="str">
        <f>VLOOKUP(A6,[87]WRDS!$A$1:$N$100,2,FALSE)</f>
        <v>D</v>
      </c>
      <c r="C6" t="str">
        <f>VLOOKUP(A6,[87]WRDS!$A$1:$N$100,3,FALSE)</f>
        <v>DOMINION RES INC</v>
      </c>
      <c r="D6">
        <f>VLOOKUP(A6,[87]WRDS!$A$1:$N$100,13,FALSE)</f>
        <v>1.52</v>
      </c>
      <c r="E6">
        <f>VLOOKUP(A6,[71]WRDS!$A$1:$N$100,13,FALSE)</f>
        <v>2.085</v>
      </c>
      <c r="F6" s="1">
        <f t="shared" si="3"/>
        <v>1.73548815162174</v>
      </c>
      <c r="G6" s="1">
        <f t="shared" si="4"/>
        <v>1.7107733911999998</v>
      </c>
      <c r="H6" s="2">
        <f t="shared" si="0"/>
        <v>8.2220154941577306E-2</v>
      </c>
      <c r="I6" s="2">
        <f>VLOOKUP(A6,[88]WRDS!$A$1:$O$100,10,FALSE)/100</f>
        <v>3.3700000000000001E-2</v>
      </c>
      <c r="J6" s="2">
        <f>VLOOKUP(A6,[88]WRDS!$A$1:$O$100,9,FALSE)/100</f>
        <v>0.03</v>
      </c>
      <c r="K6" s="2">
        <f t="shared" si="1"/>
        <v>-0.59012482980668168</v>
      </c>
      <c r="L6" s="2">
        <f t="shared" si="2"/>
        <v>-0.63512596125223886</v>
      </c>
      <c r="M6">
        <f>VLOOKUP(A6,[88]WRDS!$A$1:$O$100,8,FALSE)</f>
        <v>12</v>
      </c>
      <c r="N6">
        <f>VLOOKUP(A6,[88]WRDS!$A$1:$O$100,11,FALSE)</f>
        <v>0.69</v>
      </c>
      <c r="P6" t="s">
        <v>24</v>
      </c>
      <c r="Q6" s="3">
        <f>(Q5-Q2)/ABS(Q2)</f>
        <v>-0.26167846827889901</v>
      </c>
    </row>
    <row r="7" spans="1:17" x14ac:dyDescent="0.3">
      <c r="A7" t="s">
        <v>86</v>
      </c>
      <c r="B7" t="str">
        <f>VLOOKUP(A7,[87]WRDS!$A$1:$N$100,2,FALSE)</f>
        <v>DPL</v>
      </c>
      <c r="C7" t="str">
        <f>VLOOKUP(A7,[87]WRDS!$A$1:$N$100,3,FALSE)</f>
        <v>DPL INC</v>
      </c>
      <c r="D7">
        <f>VLOOKUP(A7,[87]WRDS!$A$1:$N$100,13,FALSE)</f>
        <v>1.1970000000000001</v>
      </c>
      <c r="E7">
        <f>VLOOKUP(A7,[71]WRDS!$A$1:$N$100,13,FALSE)</f>
        <v>1.37</v>
      </c>
      <c r="F7" s="1">
        <f t="shared" si="3"/>
        <v>1.4165482898207966</v>
      </c>
      <c r="G7" s="1">
        <f t="shared" si="4"/>
        <v>1.4003206963200003</v>
      </c>
      <c r="H7" s="2">
        <f t="shared" si="0"/>
        <v>3.4324005258760337E-2</v>
      </c>
      <c r="I7" s="2">
        <f>VLOOKUP(A7,[88]WRDS!$A$1:$O$100,10,FALSE)/100</f>
        <v>4.2999999999999997E-2</v>
      </c>
      <c r="J7" s="2">
        <f>VLOOKUP(A7,[88]WRDS!$A$1:$O$100,9,FALSE)/100</f>
        <v>0.04</v>
      </c>
      <c r="K7" s="2">
        <f t="shared" si="1"/>
        <v>0.25276755075153506</v>
      </c>
      <c r="L7" s="2">
        <f t="shared" si="2"/>
        <v>0.16536516348980015</v>
      </c>
      <c r="M7">
        <f>VLOOKUP(A7,[88]WRDS!$A$1:$O$100,8,FALSE)</f>
        <v>13</v>
      </c>
      <c r="N7">
        <f>VLOOKUP(A7,[88]WRDS!$A$1:$O$100,11,FALSE)</f>
        <v>0.73</v>
      </c>
      <c r="P7" s="111" t="s">
        <v>26</v>
      </c>
      <c r="Q7" s="111"/>
    </row>
    <row r="8" spans="1:17" x14ac:dyDescent="0.3">
      <c r="A8" t="s">
        <v>27</v>
      </c>
      <c r="B8" t="str">
        <f>VLOOKUP(A8,[87]WRDS!$A$1:$N$100,2,FALSE)</f>
        <v>DTE</v>
      </c>
      <c r="C8" t="str">
        <f>VLOOKUP(A8,[87]WRDS!$A$1:$N$100,3,FALSE)</f>
        <v>DTE ENERGY</v>
      </c>
      <c r="D8">
        <f>VLOOKUP(A8,[87]WRDS!$A$1:$N$100,13,FALSE)</f>
        <v>2.88</v>
      </c>
      <c r="E8">
        <f>VLOOKUP(A8,[71]WRDS!$A$1:$N$100,13,FALSE)</f>
        <v>3.39</v>
      </c>
      <c r="F8" s="1">
        <f t="shared" si="3"/>
        <v>3.1876740709028359</v>
      </c>
      <c r="G8" s="1">
        <f t="shared" si="4"/>
        <v>3.1789811249999991</v>
      </c>
      <c r="H8" s="2">
        <f t="shared" si="0"/>
        <v>4.1601993977367524E-2</v>
      </c>
      <c r="I8" s="2">
        <f>VLOOKUP(A8,[88]WRDS!$A$1:$O$100,10,FALSE)/100</f>
        <v>2.5699999999999997E-2</v>
      </c>
      <c r="J8" s="2">
        <f>VLOOKUP(A8,[88]WRDS!$A$1:$O$100,9,FALSE)/100</f>
        <v>2.5000000000000001E-2</v>
      </c>
      <c r="K8" s="2">
        <f t="shared" si="1"/>
        <v>-0.38224114897037365</v>
      </c>
      <c r="L8" s="2">
        <f t="shared" si="2"/>
        <v>-0.3990672655353828</v>
      </c>
      <c r="M8">
        <f>VLOOKUP(A8,[88]WRDS!$A$1:$O$100,8,FALSE)</f>
        <v>11</v>
      </c>
      <c r="N8">
        <f>VLOOKUP(A8,[88]WRDS!$A$1:$O$100,11,FALSE)</f>
        <v>0.97</v>
      </c>
      <c r="P8" t="s">
        <v>28</v>
      </c>
      <c r="Q8" s="2">
        <f>MEDIAN(H2:H99)</f>
        <v>6.2317977970623328E-2</v>
      </c>
    </row>
    <row r="9" spans="1:17" x14ac:dyDescent="0.3">
      <c r="A9" t="s">
        <v>29</v>
      </c>
      <c r="B9" t="str">
        <f>VLOOKUP(A9,[87]WRDS!$A$1:$N$100,2,FALSE)</f>
        <v>DUK</v>
      </c>
      <c r="C9" t="str">
        <f>VLOOKUP(A9,[87]WRDS!$A$1:$N$100,3,FALSE)</f>
        <v>DUKE ENERGY CORP</v>
      </c>
      <c r="D9">
        <f>VLOOKUP(A9,[87]WRDS!$A$1:$N$100,13,FALSE)</f>
        <v>4.2300000000000004</v>
      </c>
      <c r="E9">
        <f>VLOOKUP(A9,[71]WRDS!$A$1:$N$100,13,FALSE)</f>
        <v>7.92</v>
      </c>
      <c r="F9" s="1">
        <f t="shared" si="3"/>
        <v>5.220388338806881</v>
      </c>
      <c r="G9" s="1">
        <f t="shared" si="4"/>
        <v>5.1415914375000007</v>
      </c>
      <c r="H9" s="2">
        <f t="shared" si="0"/>
        <v>0.16975848355823864</v>
      </c>
      <c r="I9" s="2">
        <f>VLOOKUP(A9,[88]WRDS!$A$1:$O$100,10,FALSE)/100</f>
        <v>5.4000000000000006E-2</v>
      </c>
      <c r="J9" s="2">
        <f>VLOOKUP(A9,[88]WRDS!$A$1:$O$100,9,FALSE)/100</f>
        <v>0.05</v>
      </c>
      <c r="K9" s="2">
        <f t="shared" si="1"/>
        <v>-0.68190102274638686</v>
      </c>
      <c r="L9" s="2">
        <f t="shared" si="2"/>
        <v>-0.70546390995035824</v>
      </c>
      <c r="M9">
        <f>VLOOKUP(A9,[88]WRDS!$A$1:$O$100,8,FALSE)</f>
        <v>15</v>
      </c>
      <c r="N9">
        <f>VLOOKUP(A9,[88]WRDS!$A$1:$O$100,11,FALSE)</f>
        <v>2.75</v>
      </c>
      <c r="P9" t="s">
        <v>30</v>
      </c>
      <c r="Q9" s="2">
        <f>MEDIAN(I2:I100)</f>
        <v>0.04</v>
      </c>
    </row>
    <row r="10" spans="1:17" x14ac:dyDescent="0.3">
      <c r="A10" t="s">
        <v>31</v>
      </c>
      <c r="B10" t="str">
        <f>VLOOKUP(A10,[87]WRDS!$A$1:$N$100,2,FALSE)</f>
        <v>ED</v>
      </c>
      <c r="C10" t="str">
        <f>VLOOKUP(A10,[87]WRDS!$A$1:$N$100,3,FALSE)</f>
        <v>CONS EDISON CO</v>
      </c>
      <c r="D10">
        <f>VLOOKUP(A10,[87]WRDS!$A$1:$N$100,13,FALSE)</f>
        <v>2.95</v>
      </c>
      <c r="E10">
        <f>VLOOKUP(A10,[71]WRDS!$A$1:$N$100,13,FALSE)</f>
        <v>3.21</v>
      </c>
      <c r="F10" s="1">
        <f t="shared" si="3"/>
        <v>3.2422924721727489</v>
      </c>
      <c r="G10" s="1">
        <f t="shared" si="4"/>
        <v>3.1931748720000002</v>
      </c>
      <c r="H10" s="2">
        <f t="shared" si="0"/>
        <v>2.1340971390270358E-2</v>
      </c>
      <c r="I10" s="2">
        <f>VLOOKUP(A10,[88]WRDS!$A$1:$O$100,10,FALSE)/100</f>
        <v>2.3900000000000001E-2</v>
      </c>
      <c r="J10" s="2">
        <f>VLOOKUP(A10,[88]WRDS!$A$1:$O$100,9,FALSE)/100</f>
        <v>0.02</v>
      </c>
      <c r="K10" s="2">
        <f t="shared" si="1"/>
        <v>0.1199115336847478</v>
      </c>
      <c r="L10" s="2">
        <f t="shared" si="2"/>
        <v>-6.2835536665483041E-2</v>
      </c>
      <c r="M10">
        <f>VLOOKUP(A10,[88]WRDS!$A$1:$O$100,8,FALSE)</f>
        <v>9</v>
      </c>
      <c r="N10">
        <f>VLOOKUP(A10,[88]WRDS!$A$1:$O$100,11,FALSE)</f>
        <v>0.93</v>
      </c>
      <c r="P10" t="s">
        <v>32</v>
      </c>
      <c r="Q10" s="2">
        <f>(Q9-Q8)/ABS(Q8)</f>
        <v>-0.35813065021371543</v>
      </c>
    </row>
    <row r="11" spans="1:17" x14ac:dyDescent="0.3">
      <c r="A11" t="s">
        <v>33</v>
      </c>
      <c r="B11" t="str">
        <f>VLOOKUP(A11,[87]WRDS!$A$1:$N$100,2,FALSE)</f>
        <v>SCE</v>
      </c>
      <c r="C11" t="str">
        <f>VLOOKUP(A11,[87]WRDS!$A$1:$N$100,3,FALSE)</f>
        <v>EDISON INTL</v>
      </c>
      <c r="D11">
        <f>VLOOKUP(A11,[87]WRDS!$A$1:$N$100,13,FALSE)</f>
        <v>1.76</v>
      </c>
      <c r="E11">
        <f>VLOOKUP(A11,[71]WRDS!$A$1:$N$100,13,FALSE)</f>
        <v>1.3</v>
      </c>
      <c r="F11" s="1">
        <f t="shared" si="3"/>
        <v>2.0940166012413992</v>
      </c>
      <c r="G11" s="1">
        <f t="shared" si="4"/>
        <v>2.0589510656000005</v>
      </c>
      <c r="H11" s="2">
        <f t="shared" si="0"/>
        <v>-7.2940366702114012E-2</v>
      </c>
      <c r="I11" s="2">
        <f>VLOOKUP(A11,[88]WRDS!$A$1:$O$100,10,FALSE)/100</f>
        <v>4.4400000000000002E-2</v>
      </c>
      <c r="J11" s="2">
        <f>VLOOKUP(A11,[88]WRDS!$A$1:$O$100,9,FALSE)/100</f>
        <v>0.04</v>
      </c>
      <c r="K11" s="2">
        <f t="shared" si="1"/>
        <v>1.608716435185034</v>
      </c>
      <c r="L11" s="2">
        <f t="shared" si="2"/>
        <v>1.5483931848513821</v>
      </c>
      <c r="M11">
        <f>VLOOKUP(A11,[88]WRDS!$A$1:$O$100,8,FALSE)</f>
        <v>9</v>
      </c>
      <c r="N11">
        <f>VLOOKUP(A11,[88]WRDS!$A$1:$O$100,11,FALSE)</f>
        <v>2.74</v>
      </c>
      <c r="P11" t="s">
        <v>34</v>
      </c>
      <c r="Q11" s="2">
        <f>MEDIAN(J2:J99)</f>
        <v>0.04</v>
      </c>
    </row>
    <row r="12" spans="1:17" x14ac:dyDescent="0.3">
      <c r="A12" t="s">
        <v>59</v>
      </c>
      <c r="B12" t="str">
        <f>VLOOKUP(A12,[87]WRDS!$A$1:$N$100,2,FALSE)</f>
        <v>MSU</v>
      </c>
      <c r="C12" t="str">
        <f>VLOOKUP(A12,[87]WRDS!$A$1:$N$100,3,FALSE)</f>
        <v>ENTERGY CP</v>
      </c>
      <c r="D12">
        <f>VLOOKUP(A12,[87]WRDS!$A$1:$N$100,13,FALSE)</f>
        <v>2.2400000000000002</v>
      </c>
      <c r="E12">
        <f>VLOOKUP(A12,[71]WRDS!$A$1:$N$100,13,FALSE)</f>
        <v>3.23</v>
      </c>
      <c r="F12" s="1">
        <f t="shared" si="3"/>
        <v>2.6053976783857404</v>
      </c>
      <c r="G12" s="1">
        <f t="shared" si="4"/>
        <v>2.6204831744000008</v>
      </c>
      <c r="H12" s="2">
        <f t="shared" si="0"/>
        <v>9.5818494761349848E-2</v>
      </c>
      <c r="I12" s="2">
        <f>VLOOKUP(A12,[88]WRDS!$A$1:$O$100,10,FALSE)/100</f>
        <v>3.85E-2</v>
      </c>
      <c r="J12" s="2">
        <f>VLOOKUP(A12,[88]WRDS!$A$1:$O$100,9,FALSE)/100</f>
        <v>0.04</v>
      </c>
      <c r="K12" s="2">
        <f t="shared" si="1"/>
        <v>-0.5981986557408363</v>
      </c>
      <c r="L12" s="2">
        <f t="shared" si="2"/>
        <v>-0.58254405791255726</v>
      </c>
      <c r="M12">
        <f>VLOOKUP(A12,[88]WRDS!$A$1:$O$100,8,FALSE)</f>
        <v>10</v>
      </c>
      <c r="N12">
        <f>VLOOKUP(A12,[88]WRDS!$A$1:$O$100,11,FALSE)</f>
        <v>0.75</v>
      </c>
      <c r="P12" t="s">
        <v>32</v>
      </c>
      <c r="Q12" s="2">
        <f>(Q11-Q8)/ABS(Q8)</f>
        <v>-0.35813065021371543</v>
      </c>
    </row>
    <row r="13" spans="1:17" x14ac:dyDescent="0.3">
      <c r="A13" t="s">
        <v>67</v>
      </c>
      <c r="B13" t="str">
        <f>VLOOKUP(A13,[87]WRDS!$A$1:$N$100,2,FALSE)</f>
        <v>OEC</v>
      </c>
      <c r="C13" t="str">
        <f>VLOOKUP(A13,[87]WRDS!$A$1:$N$100,3,FALSE)</f>
        <v>FIRSTENERGY CORP</v>
      </c>
      <c r="D13">
        <f>VLOOKUP(A13,[87]WRDS!$A$1:$N$100,13,FALSE)</f>
        <v>2.16</v>
      </c>
      <c r="E13">
        <f>VLOOKUP(A13,[71]WRDS!$A$1:$N$100,13,FALSE)</f>
        <v>2.85</v>
      </c>
      <c r="F13" s="1">
        <f t="shared" si="3"/>
        <v>2.424496950791454</v>
      </c>
      <c r="G13" s="1">
        <f t="shared" si="4"/>
        <v>2.4310990295999999</v>
      </c>
      <c r="H13" s="2">
        <f t="shared" si="0"/>
        <v>7.1760574634489815E-2</v>
      </c>
      <c r="I13" s="2">
        <f>VLOOKUP(A13,[88]WRDS!$A$1:$O$100,10,FALSE)/100</f>
        <v>2.9300000000000003E-2</v>
      </c>
      <c r="J13" s="2">
        <f>VLOOKUP(A13,[88]WRDS!$A$1:$O$100,9,FALSE)/100</f>
        <v>0.03</v>
      </c>
      <c r="K13" s="2">
        <f t="shared" si="1"/>
        <v>-0.59169780691920859</v>
      </c>
      <c r="L13" s="2">
        <f t="shared" si="2"/>
        <v>-0.5819431470162546</v>
      </c>
      <c r="M13">
        <f>VLOOKUP(A13,[88]WRDS!$A$1:$O$100,8,FALSE)</f>
        <v>11</v>
      </c>
      <c r="N13">
        <f>VLOOKUP(A13,[88]WRDS!$A$1:$O$100,11,FALSE)</f>
        <v>1.32</v>
      </c>
      <c r="P13" s="111" t="s">
        <v>37</v>
      </c>
      <c r="Q13" s="111"/>
    </row>
    <row r="14" spans="1:17" x14ac:dyDescent="0.3">
      <c r="A14" t="s">
        <v>89</v>
      </c>
      <c r="B14" t="str">
        <f>VLOOKUP(A14,[87]WRDS!$A$1:$N$100,2,FALSE)</f>
        <v>FPL</v>
      </c>
      <c r="C14" t="str">
        <f>VLOOKUP(A14,[87]WRDS!$A$1:$N$100,3,FALSE)</f>
        <v>FPL GROUP</v>
      </c>
      <c r="D14">
        <f>VLOOKUP(A14,[87]WRDS!$A$1:$N$100,13,FALSE)</f>
        <v>0.44629999999999997</v>
      </c>
      <c r="E14">
        <f>VLOOKUP(A14,[71]WRDS!$A$1:$N$100,13,FALSE)</f>
        <v>0.58630000000000004</v>
      </c>
      <c r="F14" s="1">
        <f t="shared" si="3"/>
        <v>0.54995852012228719</v>
      </c>
      <c r="G14" s="1">
        <f t="shared" si="4"/>
        <v>0.54248043937500001</v>
      </c>
      <c r="H14" s="2">
        <f t="shared" si="0"/>
        <v>7.0590170980637579E-2</v>
      </c>
      <c r="I14" s="2">
        <f>VLOOKUP(A14,[88]WRDS!$A$1:$O$100,10,FALSE)/100</f>
        <v>5.3600000000000002E-2</v>
      </c>
      <c r="J14" s="2">
        <f>VLOOKUP(A14,[88]WRDS!$A$1:$O$100,9,FALSE)/100</f>
        <v>0.05</v>
      </c>
      <c r="K14" s="2">
        <f t="shared" si="1"/>
        <v>-0.24068748870572745</v>
      </c>
      <c r="L14" s="2">
        <f t="shared" si="2"/>
        <v>-0.29168609021056663</v>
      </c>
      <c r="M14">
        <f>VLOOKUP(A14,[88]WRDS!$A$1:$O$100,8,FALSE)</f>
        <v>15</v>
      </c>
      <c r="N14">
        <f>VLOOKUP(A14,[88]WRDS!$A$1:$O$100,11,FALSE)</f>
        <v>0.73</v>
      </c>
      <c r="P14" t="s">
        <v>39</v>
      </c>
      <c r="Q14" s="1">
        <f>AVERAGE(M2:M1002)</f>
        <v>8</v>
      </c>
    </row>
    <row r="15" spans="1:17" x14ac:dyDescent="0.3">
      <c r="A15" t="s">
        <v>36</v>
      </c>
      <c r="B15" t="str">
        <f>VLOOKUP(A15,[87]WRDS!$A$1:$N$100,2,FALSE)</f>
        <v>HE</v>
      </c>
      <c r="C15" t="str">
        <f>VLOOKUP(A15,[87]WRDS!$A$1:$N$100,3,FALSE)</f>
        <v>HAWAIIAN ELEC</v>
      </c>
      <c r="D15">
        <f>VLOOKUP(A15,[87]WRDS!$A$1:$N$100,13,FALSE)</f>
        <v>1.42</v>
      </c>
      <c r="E15">
        <f>VLOOKUP(A15,[71]WRDS!$A$1:$N$100,13,FALSE)</f>
        <v>1.595</v>
      </c>
      <c r="F15" s="1">
        <f t="shared" si="3"/>
        <v>1.6106720912179198</v>
      </c>
      <c r="G15" s="1">
        <f t="shared" si="4"/>
        <v>1.5982225101999998</v>
      </c>
      <c r="H15" s="2">
        <f t="shared" si="0"/>
        <v>2.9480407432410427E-2</v>
      </c>
      <c r="I15" s="2">
        <f>VLOOKUP(A15,[88]WRDS!$A$1:$O$100,10,FALSE)/100</f>
        <v>3.2000000000000001E-2</v>
      </c>
      <c r="J15" s="2">
        <f>VLOOKUP(A15,[88]WRDS!$A$1:$O$100,9,FALSE)/100</f>
        <v>0.03</v>
      </c>
      <c r="K15" s="2">
        <f t="shared" si="1"/>
        <v>8.5466680654472979E-2</v>
      </c>
      <c r="L15" s="2">
        <f t="shared" si="2"/>
        <v>1.7625013113568358E-2</v>
      </c>
      <c r="M15">
        <f>VLOOKUP(A15,[88]WRDS!$A$1:$O$100,8,FALSE)</f>
        <v>5</v>
      </c>
      <c r="N15">
        <f>VLOOKUP(A15,[88]WRDS!$A$1:$O$100,11,FALSE)</f>
        <v>1.3</v>
      </c>
      <c r="P15" t="s">
        <v>41</v>
      </c>
      <c r="Q15" s="1">
        <f>COUNT(N2:N1002)</f>
        <v>41</v>
      </c>
    </row>
    <row r="16" spans="1:17" x14ac:dyDescent="0.3">
      <c r="A16" t="s">
        <v>38</v>
      </c>
      <c r="B16" t="str">
        <f>VLOOKUP(A16,[87]WRDS!$A$1:$N$100,2,FALSE)</f>
        <v>IDA</v>
      </c>
      <c r="C16" t="str">
        <f>VLOOKUP(A16,[87]WRDS!$A$1:$N$100,3,FALSE)</f>
        <v>IDAHO POWER CO</v>
      </c>
      <c r="D16">
        <f>VLOOKUP(A16,[87]WRDS!$A$1:$N$100,13,FALSE)</f>
        <v>2.3199999999999998</v>
      </c>
      <c r="E16">
        <f>VLOOKUP(A16,[71]WRDS!$A$1:$N$100,13,FALSE)</f>
        <v>3.35</v>
      </c>
      <c r="F16" s="1">
        <f t="shared" si="3"/>
        <v>2.662253361449999</v>
      </c>
      <c r="G16" s="1">
        <f t="shared" si="4"/>
        <v>2.662253361449999</v>
      </c>
      <c r="H16" s="2">
        <f t="shared" si="0"/>
        <v>9.619850523345308E-2</v>
      </c>
      <c r="I16" s="2">
        <f>VLOOKUP(A16,[88]WRDS!$A$1:$O$100,10,FALSE)/100</f>
        <v>3.5000000000000003E-2</v>
      </c>
      <c r="J16" s="2">
        <f>VLOOKUP(A16,[88]WRDS!$A$1:$O$100,9,FALSE)/100</f>
        <v>3.5000000000000003E-2</v>
      </c>
      <c r="K16" s="2">
        <f t="shared" si="1"/>
        <v>-0.63616898292689128</v>
      </c>
      <c r="L16" s="2">
        <f t="shared" si="2"/>
        <v>-0.63616898292689128</v>
      </c>
      <c r="M16">
        <f>VLOOKUP(A16,[88]WRDS!$A$1:$O$100,8,FALSE)</f>
        <v>4</v>
      </c>
      <c r="N16">
        <f>VLOOKUP(A16,[88]WRDS!$A$1:$O$100,11,FALSE)</f>
        <v>1.29</v>
      </c>
    </row>
    <row r="17" spans="1:14" x14ac:dyDescent="0.3">
      <c r="A17" t="s">
        <v>44</v>
      </c>
      <c r="B17" t="str">
        <f>VLOOKUP(A17,[87]WRDS!$A$1:$N$100,2,FALSE)</f>
        <v>OGE</v>
      </c>
      <c r="C17" t="str">
        <f>VLOOKUP(A17,[87]WRDS!$A$1:$N$100,3,FALSE)</f>
        <v>OGE ENERGY CORP</v>
      </c>
      <c r="D17">
        <f>VLOOKUP(A17,[87]WRDS!$A$1:$N$100,13,FALSE)</f>
        <v>0.8075</v>
      </c>
      <c r="E17">
        <f>VLOOKUP(A17,[71]WRDS!$A$1:$N$100,13,FALSE)</f>
        <v>0.67500000000000004</v>
      </c>
      <c r="F17" s="1">
        <f t="shared" si="3"/>
        <v>0.91238301567320723</v>
      </c>
      <c r="G17" s="1">
        <f t="shared" si="4"/>
        <v>0.90884836407499991</v>
      </c>
      <c r="H17" s="2">
        <f t="shared" si="0"/>
        <v>-4.3818558003798413E-2</v>
      </c>
      <c r="I17" s="2">
        <f>VLOOKUP(A17,[88]WRDS!$A$1:$O$100,10,FALSE)/100</f>
        <v>3.1E-2</v>
      </c>
      <c r="J17" s="2">
        <f>VLOOKUP(A17,[88]WRDS!$A$1:$O$100,9,FALSE)/100</f>
        <v>0.03</v>
      </c>
      <c r="K17" s="2">
        <f t="shared" si="1"/>
        <v>1.7074628059945005</v>
      </c>
      <c r="L17" s="2">
        <f t="shared" si="2"/>
        <v>1.684641425155968</v>
      </c>
      <c r="M17">
        <f>VLOOKUP(A17,[88]WRDS!$A$1:$O$100,8,FALSE)</f>
        <v>6</v>
      </c>
      <c r="N17">
        <f>VLOOKUP(A17,[88]WRDS!$A$1:$O$100,11,FALSE)</f>
        <v>1.52</v>
      </c>
    </row>
    <row r="18" spans="1:14" x14ac:dyDescent="0.3">
      <c r="A18" t="s">
        <v>69</v>
      </c>
      <c r="B18" t="str">
        <f>VLOOKUP(A18,[87]WRDS!$A$1:$N$100,2,FALSE)</f>
        <v>OTTR</v>
      </c>
      <c r="C18" t="str">
        <f>VLOOKUP(A18,[87]WRDS!$A$1:$N$100,3,FALSE)</f>
        <v>OTTER TAIL PWR</v>
      </c>
      <c r="D18">
        <f>VLOOKUP(A18,[87]WRDS!$A$1:$N$100,13,FALSE)</f>
        <v>1.2749999999999999</v>
      </c>
      <c r="E18">
        <f>VLOOKUP(A18,[71]WRDS!$A$1:$N$100,13,FALSE)</f>
        <v>1.68</v>
      </c>
      <c r="F18" s="1">
        <f t="shared" si="3"/>
        <v>1.5497704687499998</v>
      </c>
      <c r="G18" s="1">
        <f t="shared" si="4"/>
        <v>1.5497704687499998</v>
      </c>
      <c r="H18" s="2">
        <f t="shared" si="0"/>
        <v>7.1395392171864192E-2</v>
      </c>
      <c r="I18" s="2">
        <f>VLOOKUP(A18,[88]WRDS!$A$1:$O$100,10,FALSE)/100</f>
        <v>0.05</v>
      </c>
      <c r="J18" s="2">
        <f>VLOOKUP(A18,[88]WRDS!$A$1:$O$100,9,FALSE)/100</f>
        <v>0.05</v>
      </c>
      <c r="K18" s="2">
        <f t="shared" si="1"/>
        <v>-0.29967469217566367</v>
      </c>
      <c r="L18" s="2">
        <f t="shared" si="2"/>
        <v>-0.29967469217566367</v>
      </c>
      <c r="M18">
        <f>VLOOKUP(A18,[88]WRDS!$A$1:$O$100,8,FALSE)</f>
        <v>1</v>
      </c>
      <c r="N18">
        <f>VLOOKUP(A18,[88]WRDS!$A$1:$O$100,11,FALSE)</f>
        <v>0</v>
      </c>
    </row>
    <row r="19" spans="1:14" x14ac:dyDescent="0.3">
      <c r="A19" t="s">
        <v>45</v>
      </c>
      <c r="B19" t="str">
        <f>VLOOKUP(A19,[87]WRDS!$A$1:$N$100,2,FALSE)</f>
        <v>PCG</v>
      </c>
      <c r="C19" t="str">
        <f>VLOOKUP(A19,[87]WRDS!$A$1:$N$100,3,FALSE)</f>
        <v>P G &amp; E CORP</v>
      </c>
      <c r="D19">
        <f>VLOOKUP(A19,[87]WRDS!$A$1:$N$100,13,FALSE)</f>
        <v>1.75</v>
      </c>
      <c r="E19">
        <f>VLOOKUP(A19,[71]WRDS!$A$1:$N$100,13,FALSE)</f>
        <v>3.02</v>
      </c>
      <c r="F19" s="1">
        <f t="shared" si="3"/>
        <v>1.9811391391051099</v>
      </c>
      <c r="G19" s="1">
        <f t="shared" si="4"/>
        <v>1.9316725585937495</v>
      </c>
      <c r="H19" s="2">
        <f t="shared" si="0"/>
        <v>0.14615201846739079</v>
      </c>
      <c r="I19" s="2">
        <f>VLOOKUP(A19,[88]WRDS!$A$1:$O$100,10,FALSE)/100</f>
        <v>3.15E-2</v>
      </c>
      <c r="J19" s="2">
        <f>VLOOKUP(A19,[88]WRDS!$A$1:$O$100,9,FALSE)/100</f>
        <v>2.5000000000000001E-2</v>
      </c>
      <c r="K19" s="2">
        <f t="shared" si="1"/>
        <v>-0.7844709889721555</v>
      </c>
      <c r="L19" s="2">
        <f t="shared" si="2"/>
        <v>-0.82894522934298065</v>
      </c>
      <c r="M19">
        <f>VLOOKUP(A19,[88]WRDS!$A$1:$O$100,8,FALSE)</f>
        <v>8</v>
      </c>
      <c r="N19">
        <f>VLOOKUP(A19,[88]WRDS!$A$1:$O$100,11,FALSE)</f>
        <v>2.73</v>
      </c>
    </row>
    <row r="20" spans="1:14" x14ac:dyDescent="0.3">
      <c r="A20" t="s">
        <v>46</v>
      </c>
      <c r="B20" t="str">
        <f>VLOOKUP(A20,[87]WRDS!$A$1:$N$100,2,FALSE)</f>
        <v>PEG</v>
      </c>
      <c r="C20" t="str">
        <f>VLOOKUP(A20,[87]WRDS!$A$1:$N$100,3,FALSE)</f>
        <v>PUB SVC ENTERS</v>
      </c>
      <c r="D20">
        <f>VLOOKUP(A20,[87]WRDS!$A$1:$N$100,13,FALSE)</f>
        <v>1.32</v>
      </c>
      <c r="E20">
        <f>VLOOKUP(A20,[71]WRDS!$A$1:$N$100,13,FALSE)</f>
        <v>1.83</v>
      </c>
      <c r="F20" s="1">
        <f t="shared" si="3"/>
        <v>1.4193088352510919</v>
      </c>
      <c r="G20" s="1">
        <f t="shared" si="4"/>
        <v>1.4288104511999999</v>
      </c>
      <c r="H20" s="2">
        <f t="shared" si="0"/>
        <v>8.5098816069453243E-2</v>
      </c>
      <c r="I20" s="2">
        <f>VLOOKUP(A20,[88]WRDS!$A$1:$O$100,10,FALSE)/100</f>
        <v>1.83E-2</v>
      </c>
      <c r="J20" s="2">
        <f>VLOOKUP(A20,[88]WRDS!$A$1:$O$100,9,FALSE)/100</f>
        <v>0.02</v>
      </c>
      <c r="K20" s="2">
        <f t="shared" si="1"/>
        <v>-0.78495588017271023</v>
      </c>
      <c r="L20" s="2">
        <f t="shared" si="2"/>
        <v>-0.76497910401389091</v>
      </c>
      <c r="M20">
        <f>VLOOKUP(A20,[88]WRDS!$A$1:$O$100,8,FALSE)</f>
        <v>9</v>
      </c>
      <c r="N20">
        <f>VLOOKUP(A20,[88]WRDS!$A$1:$O$100,11,FALSE)</f>
        <v>0.79</v>
      </c>
    </row>
    <row r="21" spans="1:14" x14ac:dyDescent="0.3">
      <c r="A21" t="s">
        <v>47</v>
      </c>
      <c r="B21" t="str">
        <f>VLOOKUP(A21,[87]WRDS!$A$1:$N$100,2,FALSE)</f>
        <v>PNM</v>
      </c>
      <c r="C21" t="str">
        <f>VLOOKUP(A21,[87]WRDS!$A$1:$N$100,3,FALSE)</f>
        <v>PUB SVC N MEX</v>
      </c>
      <c r="D21">
        <f>VLOOKUP(A21,[87]WRDS!$A$1:$N$100,13,FALSE)</f>
        <v>1.3067</v>
      </c>
      <c r="E21">
        <f>VLOOKUP(A21,[71]WRDS!$A$1:$N$100,13,FALSE)</f>
        <v>3.0133000000000001</v>
      </c>
      <c r="F21" s="1">
        <f t="shared" si="3"/>
        <v>1.5398557647053106</v>
      </c>
      <c r="G21" s="1">
        <f t="shared" si="4"/>
        <v>1.5286541803520002</v>
      </c>
      <c r="H21" s="2">
        <f t="shared" si="0"/>
        <v>0.2323004870257479</v>
      </c>
      <c r="I21" s="2">
        <f>VLOOKUP(A21,[88]WRDS!$A$1:$O$100,10,FALSE)/100</f>
        <v>4.1900000000000007E-2</v>
      </c>
      <c r="J21" s="2">
        <f>VLOOKUP(A21,[88]WRDS!$A$1:$O$100,9,FALSE)/100</f>
        <v>0.04</v>
      </c>
      <c r="K21" s="2">
        <f t="shared" si="1"/>
        <v>-0.81963016721804871</v>
      </c>
      <c r="L21" s="2">
        <f t="shared" si="2"/>
        <v>-0.82780922884777919</v>
      </c>
      <c r="M21">
        <f>VLOOKUP(A21,[88]WRDS!$A$1:$O$100,8,FALSE)</f>
        <v>8</v>
      </c>
      <c r="N21">
        <f>VLOOKUP(A21,[88]WRDS!$A$1:$O$100,11,FALSE)</f>
        <v>0.92</v>
      </c>
    </row>
    <row r="22" spans="1:14" x14ac:dyDescent="0.3">
      <c r="A22" t="s">
        <v>48</v>
      </c>
      <c r="B22" t="str">
        <f>VLOOKUP(A22,[87]WRDS!$A$1:$N$100,2,FALSE)</f>
        <v>AZP</v>
      </c>
      <c r="C22" t="str">
        <f>VLOOKUP(A22,[87]WRDS!$A$1:$N$100,3,FALSE)</f>
        <v>PINNACLE WST CAP</v>
      </c>
      <c r="D22">
        <f>VLOOKUP(A22,[87]WRDS!$A$1:$N$100,13,FALSE)</f>
        <v>2.76</v>
      </c>
      <c r="E22">
        <f>VLOOKUP(A22,[71]WRDS!$A$1:$N$100,13,FALSE)</f>
        <v>4</v>
      </c>
      <c r="F22" s="1">
        <f t="shared" si="3"/>
        <v>3.4087969262229247</v>
      </c>
      <c r="G22" s="1">
        <f t="shared" si="4"/>
        <v>3.3547972499999998</v>
      </c>
      <c r="H22" s="2">
        <f t="shared" si="0"/>
        <v>9.7204871871106935E-2</v>
      </c>
      <c r="I22" s="2">
        <f>VLOOKUP(A22,[88]WRDS!$A$1:$O$100,10,FALSE)/100</f>
        <v>5.4199999999999998E-2</v>
      </c>
      <c r="J22" s="2">
        <f>VLOOKUP(A22,[88]WRDS!$A$1:$O$100,9,FALSE)/100</f>
        <v>0.05</v>
      </c>
      <c r="K22" s="2">
        <f t="shared" si="1"/>
        <v>-0.44241477863507844</v>
      </c>
      <c r="L22" s="2">
        <f t="shared" si="2"/>
        <v>-0.48562248951575498</v>
      </c>
      <c r="M22">
        <f>VLOOKUP(A22,[88]WRDS!$A$1:$O$100,8,FALSE)</f>
        <v>9</v>
      </c>
      <c r="N22">
        <f>VLOOKUP(A22,[88]WRDS!$A$1:$O$100,11,FALSE)</f>
        <v>1.57</v>
      </c>
    </row>
    <row r="23" spans="1:14" x14ac:dyDescent="0.3">
      <c r="A23" t="s">
        <v>49</v>
      </c>
      <c r="B23" t="str">
        <f>VLOOKUP(A23,[87]WRDS!$A$1:$N$100,2,FALSE)</f>
        <v>POM</v>
      </c>
      <c r="C23" t="str">
        <f>VLOOKUP(A23,[87]WRDS!$A$1:$N$100,3,FALSE)</f>
        <v>POTOMAC ELEC</v>
      </c>
      <c r="D23">
        <f>VLOOKUP(A23,[87]WRDS!$A$1:$N$100,13,FALSE)</f>
        <v>1.68</v>
      </c>
      <c r="E23">
        <f>VLOOKUP(A23,[71]WRDS!$A$1:$N$100,13,FALSE)</f>
        <v>1.83</v>
      </c>
      <c r="F23" s="1">
        <f t="shared" si="3"/>
        <v>1.8049743369710844</v>
      </c>
      <c r="G23" s="1">
        <f t="shared" si="4"/>
        <v>1.8184860288</v>
      </c>
      <c r="H23" s="2">
        <f t="shared" si="0"/>
        <v>2.1610744860517395E-2</v>
      </c>
      <c r="I23" s="2">
        <f>VLOOKUP(A23,[88]WRDS!$A$1:$O$100,10,FALSE)/100</f>
        <v>1.8100000000000002E-2</v>
      </c>
      <c r="J23" s="2">
        <f>VLOOKUP(A23,[88]WRDS!$A$1:$O$100,9,FALSE)/100</f>
        <v>0.02</v>
      </c>
      <c r="K23" s="2">
        <f t="shared" si="1"/>
        <v>-0.16245367215136983</v>
      </c>
      <c r="L23" s="2">
        <f t="shared" si="2"/>
        <v>-7.4534444366154556E-2</v>
      </c>
      <c r="M23">
        <f>VLOOKUP(A23,[88]WRDS!$A$1:$O$100,8,FALSE)</f>
        <v>8</v>
      </c>
      <c r="N23">
        <f>VLOOKUP(A23,[88]WRDS!$A$1:$O$100,11,FALSE)</f>
        <v>0.75</v>
      </c>
    </row>
    <row r="24" spans="1:14" x14ac:dyDescent="0.3">
      <c r="A24" t="s">
        <v>51</v>
      </c>
      <c r="B24" t="str">
        <f>VLOOKUP(A24,[87]WRDS!$A$1:$N$100,2,FALSE)</f>
        <v>PPL</v>
      </c>
      <c r="C24" t="str">
        <f>VLOOKUP(A24,[87]WRDS!$A$1:$N$100,3,FALSE)</f>
        <v>PP&amp;L RESOURCES</v>
      </c>
      <c r="D24">
        <f>VLOOKUP(A24,[87]WRDS!$A$1:$N$100,13,FALSE)</f>
        <v>1.0149999999999999</v>
      </c>
      <c r="E24">
        <f>VLOOKUP(A24,[71]WRDS!$A$1:$N$100,13,FALSE)</f>
        <v>2.12</v>
      </c>
      <c r="F24" s="1">
        <f t="shared" si="3"/>
        <v>1.1060114315142333</v>
      </c>
      <c r="G24" s="1">
        <f t="shared" si="4"/>
        <v>1.0986686423999998</v>
      </c>
      <c r="H24" s="2">
        <f t="shared" si="0"/>
        <v>0.20217434222967823</v>
      </c>
      <c r="I24" s="2">
        <f>VLOOKUP(A24,[88]WRDS!$A$1:$O$100,10,FALSE)/100</f>
        <v>2.1700000000000001E-2</v>
      </c>
      <c r="J24" s="2">
        <f>VLOOKUP(A24,[88]WRDS!$A$1:$O$100,9,FALSE)/100</f>
        <v>0.02</v>
      </c>
      <c r="K24" s="2">
        <f t="shared" si="1"/>
        <v>-0.89266689451944436</v>
      </c>
      <c r="L24" s="2">
        <f t="shared" si="2"/>
        <v>-0.90107547881976446</v>
      </c>
      <c r="M24">
        <f>VLOOKUP(A24,[88]WRDS!$A$1:$O$100,8,FALSE)</f>
        <v>9</v>
      </c>
      <c r="N24">
        <f>VLOOKUP(A24,[88]WRDS!$A$1:$O$100,11,FALSE)</f>
        <v>1.27</v>
      </c>
    </row>
    <row r="25" spans="1:14" x14ac:dyDescent="0.3">
      <c r="A25" t="s">
        <v>91</v>
      </c>
      <c r="B25" t="str">
        <f>VLOOKUP(A25,[87]WRDS!$A$1:$N$100,2,FALSE)</f>
        <v>PSD</v>
      </c>
      <c r="C25" t="str">
        <f>VLOOKUP(A25,[87]WRDS!$A$1:$N$100,3,FALSE)</f>
        <v>PUGET SOUND ENGY</v>
      </c>
      <c r="D25">
        <f>VLOOKUP(A25,[87]WRDS!$A$1:$N$100,13,FALSE)</f>
        <v>1.55</v>
      </c>
      <c r="E25">
        <f>VLOOKUP(A25,[71]WRDS!$A$1:$N$100,13,FALSE)</f>
        <v>1.35</v>
      </c>
      <c r="F25" s="1">
        <f t="shared" si="3"/>
        <v>1.7581279868927999</v>
      </c>
      <c r="G25" s="1">
        <f t="shared" si="4"/>
        <v>1.7109099804687498</v>
      </c>
      <c r="H25" s="2">
        <f t="shared" si="0"/>
        <v>-3.394796969449787E-2</v>
      </c>
      <c r="I25" s="2">
        <f>VLOOKUP(A25,[88]WRDS!$A$1:$O$100,10,FALSE)/100</f>
        <v>3.2000000000000001E-2</v>
      </c>
      <c r="J25" s="2">
        <f>VLOOKUP(A25,[88]WRDS!$A$1:$O$100,9,FALSE)/100</f>
        <v>2.5000000000000001E-2</v>
      </c>
      <c r="K25" s="2">
        <f t="shared" si="1"/>
        <v>1.9426189633127431</v>
      </c>
      <c r="L25" s="2">
        <f t="shared" si="2"/>
        <v>1.7364210650880805</v>
      </c>
      <c r="M25">
        <f>VLOOKUP(A25,[88]WRDS!$A$1:$O$100,8,FALSE)</f>
        <v>6</v>
      </c>
      <c r="N25">
        <f>VLOOKUP(A25,[88]WRDS!$A$1:$O$100,11,FALSE)</f>
        <v>2.21</v>
      </c>
    </row>
    <row r="26" spans="1:14" x14ac:dyDescent="0.3">
      <c r="A26" t="s">
        <v>52</v>
      </c>
      <c r="B26" t="str">
        <f>VLOOKUP(A26,[87]WRDS!$A$1:$N$100,2,FALSE)</f>
        <v>SCG</v>
      </c>
      <c r="C26" t="str">
        <f>VLOOKUP(A26,[87]WRDS!$A$1:$N$100,3,FALSE)</f>
        <v>SCANA CP</v>
      </c>
      <c r="D26">
        <f>VLOOKUP(A26,[87]WRDS!$A$1:$N$100,13,FALSE)</f>
        <v>1.9</v>
      </c>
      <c r="E26">
        <f>VLOOKUP(A26,[71]WRDS!$A$1:$N$100,13,FALSE)</f>
        <v>2.15</v>
      </c>
      <c r="F26" s="1">
        <f t="shared" si="3"/>
        <v>2.1701997658085923</v>
      </c>
      <c r="G26" s="1">
        <f t="shared" si="4"/>
        <v>2.1802937011874994</v>
      </c>
      <c r="H26" s="2">
        <f t="shared" si="0"/>
        <v>3.1385958984259554E-2</v>
      </c>
      <c r="I26" s="2">
        <f>VLOOKUP(A26,[88]WRDS!$A$1:$O$100,10,FALSE)/100</f>
        <v>3.3799999999999997E-2</v>
      </c>
      <c r="J26" s="2">
        <f>VLOOKUP(A26,[88]WRDS!$A$1:$O$100,9,FALSE)/100</f>
        <v>3.5000000000000003E-2</v>
      </c>
      <c r="K26" s="2">
        <f t="shared" si="1"/>
        <v>7.6914680763812693E-2</v>
      </c>
      <c r="L26" s="2">
        <f t="shared" si="2"/>
        <v>0.11514833806903703</v>
      </c>
      <c r="M26">
        <f>VLOOKUP(A26,[88]WRDS!$A$1:$O$100,8,FALSE)</f>
        <v>8</v>
      </c>
      <c r="N26">
        <f>VLOOKUP(A26,[88]WRDS!$A$1:$O$100,11,FALSE)</f>
        <v>1.06</v>
      </c>
    </row>
    <row r="27" spans="1:14" x14ac:dyDescent="0.3">
      <c r="A27" t="s">
        <v>53</v>
      </c>
      <c r="B27" t="str">
        <f>VLOOKUP(A27,[87]WRDS!$A$1:$N$100,2,FALSE)</f>
        <v>SO</v>
      </c>
      <c r="C27" t="str">
        <f>VLOOKUP(A27,[87]WRDS!$A$1:$N$100,3,FALSE)</f>
        <v>SOUTHN CO</v>
      </c>
      <c r="D27">
        <f>VLOOKUP(A27,[87]WRDS!$A$1:$N$100,13,FALSE)</f>
        <v>1.59</v>
      </c>
      <c r="E27">
        <f>VLOOKUP(A27,[71]WRDS!$A$1:$N$100,13,FALSE)</f>
        <v>1.62</v>
      </c>
      <c r="F27" s="1">
        <f t="shared" si="3"/>
        <v>1.8429645292719274</v>
      </c>
      <c r="G27" s="1">
        <f t="shared" si="4"/>
        <v>1.8600751104000004</v>
      </c>
      <c r="H27" s="2">
        <f t="shared" si="0"/>
        <v>4.6839689005093721E-3</v>
      </c>
      <c r="I27" s="2">
        <f>VLOOKUP(A27,[88]WRDS!$A$1:$O$100,10,FALSE)/100</f>
        <v>3.7599999999999995E-2</v>
      </c>
      <c r="J27" s="2">
        <f>VLOOKUP(A27,[88]WRDS!$A$1:$O$100,9,FALSE)/100</f>
        <v>0.04</v>
      </c>
      <c r="K27" s="2">
        <f t="shared" si="1"/>
        <v>7.0273803687960159</v>
      </c>
      <c r="L27" s="2">
        <f t="shared" si="2"/>
        <v>7.5397663497829974</v>
      </c>
      <c r="M27">
        <f>VLOOKUP(A27,[88]WRDS!$A$1:$O$100,8,FALSE)</f>
        <v>13</v>
      </c>
      <c r="N27">
        <f>VLOOKUP(A27,[88]WRDS!$A$1:$O$100,11,FALSE)</f>
        <v>0.64</v>
      </c>
    </row>
    <row r="28" spans="1:14" x14ac:dyDescent="0.3">
      <c r="A28" t="s">
        <v>75</v>
      </c>
      <c r="B28" t="str">
        <f>VLOOKUP(A28,[87]WRDS!$A$1:$N$100,2,FALSE)</f>
        <v>TE</v>
      </c>
      <c r="C28" t="str">
        <f>VLOOKUP(A28,[87]WRDS!$A$1:$N$100,3,FALSE)</f>
        <v>TECO ENERGY INC</v>
      </c>
      <c r="D28">
        <f>VLOOKUP(A28,[87]WRDS!$A$1:$N$100,13,FALSE)</f>
        <v>1.54</v>
      </c>
      <c r="E28">
        <f>VLOOKUP(A28,[71]WRDS!$A$1:$N$100,13,FALSE)</f>
        <v>2.2400000000000002</v>
      </c>
      <c r="F28" s="1">
        <f t="shared" si="3"/>
        <v>1.8576583816806407</v>
      </c>
      <c r="G28" s="1">
        <f t="shared" si="4"/>
        <v>1.871879625</v>
      </c>
      <c r="H28" s="2">
        <f t="shared" si="0"/>
        <v>9.8200973552224902E-2</v>
      </c>
      <c r="I28" s="2">
        <f>VLOOKUP(A28,[88]WRDS!$A$1:$O$100,10,FALSE)/100</f>
        <v>4.8000000000000001E-2</v>
      </c>
      <c r="J28" s="2">
        <f>VLOOKUP(A28,[88]WRDS!$A$1:$O$100,9,FALSE)/100</f>
        <v>0.05</v>
      </c>
      <c r="K28" s="2">
        <f t="shared" si="1"/>
        <v>-0.51120647521408935</v>
      </c>
      <c r="L28" s="2">
        <f t="shared" si="2"/>
        <v>-0.49084007834800969</v>
      </c>
      <c r="M28">
        <f>VLOOKUP(A28,[88]WRDS!$A$1:$O$100,8,FALSE)</f>
        <v>14</v>
      </c>
      <c r="N28">
        <f>VLOOKUP(A28,[88]WRDS!$A$1:$O$100,11,FALSE)</f>
        <v>1.07</v>
      </c>
    </row>
    <row r="29" spans="1:14" x14ac:dyDescent="0.3">
      <c r="A29" t="s">
        <v>79</v>
      </c>
      <c r="B29" t="str">
        <f>VLOOKUP(A29,[87]WRDS!$A$1:$N$100,2,FALSE)</f>
        <v>UIL</v>
      </c>
      <c r="C29" t="str">
        <f>VLOOKUP(A29,[87]WRDS!$A$1:$N$100,3,FALSE)</f>
        <v>UTD ILLUM COO</v>
      </c>
      <c r="D29">
        <f>VLOOKUP(A29,[87]WRDS!$A$1:$N$100,13,FALSE)</f>
        <v>1.974</v>
      </c>
      <c r="E29">
        <f>VLOOKUP(A29,[71]WRDS!$A$1:$N$100,13,FALSE)</f>
        <v>2.5139999999999998</v>
      </c>
      <c r="F29" s="1">
        <f t="shared" si="3"/>
        <v>2.1934179661218356</v>
      </c>
      <c r="G29" s="1">
        <f t="shared" si="4"/>
        <v>2.2217543909399997</v>
      </c>
      <c r="H29" s="2">
        <f t="shared" si="0"/>
        <v>6.2317977970623328E-2</v>
      </c>
      <c r="I29" s="2">
        <f>VLOOKUP(A29,[88]WRDS!$A$1:$O$100,10,FALSE)/100</f>
        <v>2.6699999999999998E-2</v>
      </c>
      <c r="J29" s="2">
        <f>VLOOKUP(A29,[88]WRDS!$A$1:$O$100,9,FALSE)/100</f>
        <v>0.03</v>
      </c>
      <c r="K29" s="2">
        <f t="shared" si="1"/>
        <v>-0.57155220901765502</v>
      </c>
      <c r="L29" s="2">
        <f t="shared" si="2"/>
        <v>-0.51859798766028664</v>
      </c>
      <c r="M29">
        <f>VLOOKUP(A29,[88]WRDS!$A$1:$O$100,8,FALSE)</f>
        <v>3</v>
      </c>
      <c r="N29">
        <f>VLOOKUP(A29,[88]WRDS!$A$1:$O$100,11,FALSE)</f>
        <v>0.57999999999999996</v>
      </c>
    </row>
    <row r="30" spans="1:14" x14ac:dyDescent="0.3">
      <c r="A30" t="s">
        <v>55</v>
      </c>
      <c r="B30" t="str">
        <f>VLOOKUP(A30,[87]WRDS!$A$1:$N$100,2,FALSE)</f>
        <v>WPC</v>
      </c>
      <c r="C30" t="str">
        <f>VLOOKUP(A30,[87]WRDS!$A$1:$N$100,3,FALSE)</f>
        <v>WISCONSIN ENERGY</v>
      </c>
      <c r="D30">
        <f>VLOOKUP(A30,[87]WRDS!$A$1:$N$100,13,FALSE)</f>
        <v>0.52</v>
      </c>
      <c r="E30">
        <f>VLOOKUP(A30,[71]WRDS!$A$1:$N$100,13,FALSE)</f>
        <v>0.92</v>
      </c>
      <c r="F30" s="1">
        <f t="shared" si="3"/>
        <v>0.58526458120000002</v>
      </c>
      <c r="G30" s="1">
        <f t="shared" si="4"/>
        <v>0.58526458120000002</v>
      </c>
      <c r="H30" s="2">
        <f t="shared" si="0"/>
        <v>0.15331016796105312</v>
      </c>
      <c r="I30" s="2">
        <f>VLOOKUP(A30,[88]WRDS!$A$1:$O$100,10,FALSE)/100</f>
        <v>0.03</v>
      </c>
      <c r="J30" s="2">
        <f>VLOOKUP(A30,[88]WRDS!$A$1:$O$100,9,FALSE)/100</f>
        <v>0.03</v>
      </c>
      <c r="K30" s="2">
        <f t="shared" si="1"/>
        <v>-0.80431826278071006</v>
      </c>
      <c r="L30" s="2">
        <f t="shared" si="2"/>
        <v>-0.80431826278071006</v>
      </c>
      <c r="M30">
        <f>VLOOKUP(A30,[88]WRDS!$A$1:$O$100,8,FALSE)</f>
        <v>12</v>
      </c>
      <c r="N30">
        <f>VLOOKUP(A30,[88]WRDS!$A$1:$O$100,11,FALSE)</f>
        <v>0.95</v>
      </c>
    </row>
    <row r="31" spans="1:14" x14ac:dyDescent="0.3">
      <c r="A31" t="s">
        <v>95</v>
      </c>
      <c r="B31" t="str">
        <f>VLOOKUP(A31,[87]WRDS!$A$1:$N$100,2,FALSE)</f>
        <v>WPS</v>
      </c>
      <c r="C31" t="str">
        <f>VLOOKUP(A31,[87]WRDS!$A$1:$N$100,3,FALSE)</f>
        <v>WPS RESOURCES CP</v>
      </c>
      <c r="D31">
        <f>VLOOKUP(A31,[87]WRDS!$A$1:$N$100,13,FALSE)</f>
        <v>2.2000000000000002</v>
      </c>
      <c r="E31">
        <f>VLOOKUP(A31,[71]WRDS!$A$1:$N$100,13,FALSE)</f>
        <v>2.74</v>
      </c>
      <c r="F31" s="1">
        <f t="shared" si="3"/>
        <v>2.4302842416771626</v>
      </c>
      <c r="G31" s="1">
        <f t="shared" si="4"/>
        <v>2.3813507520000003</v>
      </c>
      <c r="H31" s="2">
        <f t="shared" si="0"/>
        <v>5.6408703259178239E-2</v>
      </c>
      <c r="I31" s="2">
        <f>VLOOKUP(A31,[88]WRDS!$A$1:$O$100,10,FALSE)/100</f>
        <v>2.52E-2</v>
      </c>
      <c r="J31" s="2">
        <f>VLOOKUP(A31,[88]WRDS!$A$1:$O$100,9,FALSE)/100</f>
        <v>0.02</v>
      </c>
      <c r="K31" s="2">
        <f t="shared" si="1"/>
        <v>-0.55326042713276313</v>
      </c>
      <c r="L31" s="2">
        <f t="shared" si="2"/>
        <v>-0.64544478343870082</v>
      </c>
      <c r="M31">
        <f>VLOOKUP(A31,[88]WRDS!$A$1:$O$100,8,FALSE)</f>
        <v>5</v>
      </c>
      <c r="N31">
        <f>VLOOKUP(A31,[88]WRDS!$A$1:$O$100,11,FALSE)</f>
        <v>0.74</v>
      </c>
    </row>
    <row r="32" spans="1:14" x14ac:dyDescent="0.3">
      <c r="A32" t="s">
        <v>132</v>
      </c>
      <c r="B32" t="str">
        <f>VLOOKUP(A32,'[5]Ticker List'!$H$4:$I$20,2,FALSE)</f>
        <v>EGAS</v>
      </c>
      <c r="C32" t="str">
        <f>VLOOKUP(A32,[89]rh1hoozgudibeavg!$B$1:$N$13,2,FALSE)</f>
        <v>ATMOS ENERGY CP</v>
      </c>
      <c r="D32">
        <f>VLOOKUP(A32,[89]rh1hoozgudibeavg!$B$1:$N$13,12,FALSE)</f>
        <v>1.84</v>
      </c>
      <c r="E32">
        <f>VLOOKUP(A32,[73]rcpduh2lqkohgbf3!$B$1:$N$15,12,FALSE)</f>
        <v>1.45</v>
      </c>
      <c r="F32" s="1">
        <f t="shared" si="3"/>
        <v>2.6385384050357765</v>
      </c>
      <c r="G32" s="1">
        <f t="shared" si="4"/>
        <v>2.64529614915</v>
      </c>
      <c r="H32" s="2">
        <f t="shared" si="0"/>
        <v>-5.7812051679352994E-2</v>
      </c>
      <c r="I32" s="2">
        <f>VLOOKUP(A32,[90]nyltcqtrvv5lhko4!$B$1:$N$13,9,FALSE)/100</f>
        <v>9.4299999999999995E-2</v>
      </c>
      <c r="J32" s="2">
        <f>VLOOKUP(A32,[90]nyltcqtrvv5lhko4!$B$1:$N$13,8,FALSE)/100</f>
        <v>9.5000000000000001E-2</v>
      </c>
      <c r="K32" s="2">
        <f t="shared" si="1"/>
        <v>2.631147784254789</v>
      </c>
      <c r="L32" s="2">
        <f t="shared" si="2"/>
        <v>2.6432559862588016</v>
      </c>
      <c r="M32">
        <f>VLOOKUP(A32,[90]nyltcqtrvv5lhko4!$B$1:$N$13,7,FALSE)</f>
        <v>8</v>
      </c>
      <c r="N32">
        <f>VLOOKUP(A32,[90]nyltcqtrvv5lhko4!$B$1:$N$13,10,FALSE)</f>
        <v>2.83</v>
      </c>
    </row>
    <row r="33" spans="1:14" x14ac:dyDescent="0.3">
      <c r="A33" t="s">
        <v>134</v>
      </c>
      <c r="B33" t="str">
        <f>VLOOKUP(A33,'[5]Ticker List'!$H$4:$I$20,2,FALSE)</f>
        <v>NJR</v>
      </c>
      <c r="C33" t="str">
        <f>VLOOKUP(A33,[89]rh1hoozgudibeavg!$B$1:$N$13,2,FALSE)</f>
        <v>NEW JERSEY RES</v>
      </c>
      <c r="D33">
        <f>VLOOKUP(A33,[89]rh1hoozgudibeavg!$B$1:$N$13,12,FALSE)</f>
        <v>0.51780000000000004</v>
      </c>
      <c r="E33">
        <f>VLOOKUP(A33,[73]rcpduh2lqkohgbf3!$B$1:$N$15,12,FALSE)</f>
        <v>0.69669999999999999</v>
      </c>
      <c r="F33" s="1">
        <f t="shared" si="3"/>
        <v>0.64756527225897687</v>
      </c>
      <c r="G33" s="1">
        <f t="shared" si="4"/>
        <v>0.64756527225897687</v>
      </c>
      <c r="H33" s="2">
        <f t="shared" si="0"/>
        <v>7.7012989242652097E-2</v>
      </c>
      <c r="I33" s="2">
        <f>VLOOKUP(A33,[90]nyltcqtrvv5lhko4!$B$1:$N$13,9,FALSE)/100</f>
        <v>5.7500000000000002E-2</v>
      </c>
      <c r="J33" s="2">
        <f>VLOOKUP(A33,[90]nyltcqtrvv5lhko4!$B$1:$N$13,8,FALSE)/100</f>
        <v>5.7500000000000002E-2</v>
      </c>
      <c r="K33" s="2">
        <f t="shared" si="1"/>
        <v>-0.25337270289782776</v>
      </c>
      <c r="L33" s="2">
        <f t="shared" si="2"/>
        <v>-0.25337270289782776</v>
      </c>
      <c r="M33">
        <f>VLOOKUP(A33,[90]nyltcqtrvv5lhko4!$B$1:$N$13,7,FALSE)</f>
        <v>2</v>
      </c>
      <c r="N33">
        <f>VLOOKUP(A33,[90]nyltcqtrvv5lhko4!$B$1:$N$13,10,FALSE)</f>
        <v>1.06</v>
      </c>
    </row>
    <row r="34" spans="1:14" x14ac:dyDescent="0.3">
      <c r="A34" t="s">
        <v>135</v>
      </c>
      <c r="B34" t="str">
        <f>VLOOKUP(A34,'[5]Ticker List'!$H$4:$I$20,2,FALSE)</f>
        <v>NI</v>
      </c>
      <c r="C34" t="str">
        <f>VLOOKUP(A34,[89]rh1hoozgudibeavg!$B$1:$N$13,2,FALSE)</f>
        <v>NIPSCO IND INC</v>
      </c>
      <c r="D34">
        <f>VLOOKUP(A34,[89]rh1hoozgudibeavg!$B$1:$N$13,12,FALSE)</f>
        <v>1.5349999999999999</v>
      </c>
      <c r="E34">
        <f>VLOOKUP(A34,[73]rcpduh2lqkohgbf3!$B$1:$N$15,12,FALSE)</f>
        <v>1.44</v>
      </c>
      <c r="F34" s="1">
        <f t="shared" si="3"/>
        <v>1.9298705243863266</v>
      </c>
      <c r="G34" s="1">
        <f t="shared" si="4"/>
        <v>1.9379021336000004</v>
      </c>
      <c r="H34" s="2">
        <f t="shared" si="0"/>
        <v>-1.5844943758599572E-2</v>
      </c>
      <c r="I34" s="2">
        <f>VLOOKUP(A34,[90]nyltcqtrvv5lhko4!$B$1:$N$13,9,FALSE)/100</f>
        <v>5.8899999999999994E-2</v>
      </c>
      <c r="J34" s="2">
        <f>VLOOKUP(A34,[90]nyltcqtrvv5lhko4!$B$1:$N$13,8,FALSE)/100</f>
        <v>0.06</v>
      </c>
      <c r="K34" s="2">
        <f t="shared" si="1"/>
        <v>4.7172741599687296</v>
      </c>
      <c r="L34" s="2">
        <f t="shared" si="2"/>
        <v>4.7866969371498103</v>
      </c>
      <c r="M34">
        <f>VLOOKUP(A34,[90]nyltcqtrvv5lhko4!$B$1:$N$13,7,FALSE)</f>
        <v>16</v>
      </c>
      <c r="N34">
        <f>VLOOKUP(A34,[90]nyltcqtrvv5lhko4!$B$1:$N$13,10,FALSE)</f>
        <v>1.19</v>
      </c>
    </row>
    <row r="35" spans="1:14" x14ac:dyDescent="0.3">
      <c r="A35" t="s">
        <v>138</v>
      </c>
      <c r="B35" t="str">
        <f>VLOOKUP(A35,'[5]Ticker List'!$H$4:$I$20,2,FALSE)</f>
        <v>SJI</v>
      </c>
      <c r="C35" t="str">
        <f>VLOOKUP(A35,[89]rh1hoozgudibeavg!$B$1:$N$13,2,FALSE)</f>
        <v>SO JERSEY INDS</v>
      </c>
      <c r="D35">
        <f>VLOOKUP(A35,[89]rh1hoozgudibeavg!$B$1:$N$13,12,FALSE)</f>
        <v>0.42249999999999999</v>
      </c>
      <c r="E35">
        <f>VLOOKUP(A35,[73]rcpduh2lqkohgbf3!$B$1:$N$15,12,FALSE)</f>
        <v>0.57250000000000001</v>
      </c>
      <c r="F35" s="1">
        <f t="shared" si="3"/>
        <v>0.49426524160000007</v>
      </c>
      <c r="G35" s="1">
        <f t="shared" si="4"/>
        <v>0.49426524160000007</v>
      </c>
      <c r="H35" s="2">
        <f t="shared" si="0"/>
        <v>7.8914908971814191E-2</v>
      </c>
      <c r="I35" s="2">
        <f>VLOOKUP(A35,[90]nyltcqtrvv5lhko4!$B$1:$N$13,9,FALSE)/100</f>
        <v>0.04</v>
      </c>
      <c r="J35" s="2">
        <f>VLOOKUP(A35,[90]nyltcqtrvv5lhko4!$B$1:$N$13,8,FALSE)/100</f>
        <v>0.04</v>
      </c>
      <c r="K35" s="2">
        <f t="shared" si="1"/>
        <v>-0.4931249301157189</v>
      </c>
      <c r="L35" s="2">
        <f t="shared" si="2"/>
        <v>-0.4931249301157189</v>
      </c>
      <c r="M35">
        <f>VLOOKUP(A35,[90]nyltcqtrvv5lhko4!$B$1:$N$13,7,FALSE)</f>
        <v>2</v>
      </c>
      <c r="N35">
        <f>VLOOKUP(A35,[90]nyltcqtrvv5lhko4!$B$1:$N$13,10,FALSE)</f>
        <v>1.41</v>
      </c>
    </row>
    <row r="36" spans="1:14" x14ac:dyDescent="0.3">
      <c r="A36" t="s">
        <v>139</v>
      </c>
      <c r="B36" t="str">
        <f>VLOOKUP(A36,'[5]Ticker List'!$H$4:$I$20,2,FALSE)</f>
        <v>SWX</v>
      </c>
      <c r="C36" t="str">
        <f>VLOOKUP(A36,[89]rh1hoozgudibeavg!$B$1:$N$13,2,FALSE)</f>
        <v>SOUTHWEST GAS</v>
      </c>
      <c r="D36">
        <f>VLOOKUP(A36,[89]rh1hoozgudibeavg!$B$1:$N$13,12,FALSE)</f>
        <v>0.76</v>
      </c>
      <c r="E36">
        <f>VLOOKUP(A36,[73]rcpduh2lqkohgbf3!$B$1:$N$15,12,FALSE)</f>
        <v>1.1499999999999999</v>
      </c>
      <c r="F36" s="1">
        <f t="shared" si="3"/>
        <v>0.91781665751005148</v>
      </c>
      <c r="G36" s="1">
        <f t="shared" si="4"/>
        <v>0.88909250560000019</v>
      </c>
      <c r="H36" s="2">
        <f t="shared" si="0"/>
        <v>0.10910091100476715</v>
      </c>
      <c r="I36" s="2">
        <f>VLOOKUP(A36,[90]nyltcqtrvv5lhko4!$B$1:$N$13,9,FALSE)/100</f>
        <v>4.8300000000000003E-2</v>
      </c>
      <c r="J36" s="2">
        <f>VLOOKUP(A36,[90]nyltcqtrvv5lhko4!$B$1:$N$13,8,FALSE)/100</f>
        <v>0.04</v>
      </c>
      <c r="K36" s="2">
        <f t="shared" si="1"/>
        <v>-0.55729058946272647</v>
      </c>
      <c r="L36" s="2">
        <f t="shared" si="2"/>
        <v>-0.63336694779521863</v>
      </c>
      <c r="M36">
        <f>VLOOKUP(A36,[90]nyltcqtrvv5lhko4!$B$1:$N$13,7,FALSE)</f>
        <v>3</v>
      </c>
      <c r="N36">
        <f>VLOOKUP(A36,[90]nyltcqtrvv5lhko4!$B$1:$N$13,10,FALSE)</f>
        <v>2.36</v>
      </c>
    </row>
    <row r="37" spans="1:14" x14ac:dyDescent="0.3">
      <c r="A37" t="s">
        <v>148</v>
      </c>
      <c r="B37" t="str">
        <f>VLOOKUP(A37,'[5]Ticker List'!$H$4:$I$20,2,FALSE)</f>
        <v>AGLT</v>
      </c>
      <c r="C37" t="str">
        <f>VLOOKUP(A37,[89]rh1hoozgudibeavg!$B$1:$N$13,2,FALSE)</f>
        <v>AGL RESOURCES</v>
      </c>
      <c r="D37">
        <f>VLOOKUP(A37,[89]rh1hoozgudibeavg!$B$1:$N$13,12,FALSE)</f>
        <v>1.41</v>
      </c>
      <c r="E37">
        <f>VLOOKUP(A37,[73]rcpduh2lqkohgbf3!$B$1:$N$15,12,FALSE)</f>
        <v>1.5</v>
      </c>
      <c r="F37" s="1">
        <f t="shared" si="3"/>
        <v>1.6904799983039942</v>
      </c>
      <c r="G37" s="1">
        <f t="shared" si="4"/>
        <v>1.7138638124999999</v>
      </c>
      <c r="H37" s="2">
        <f t="shared" si="0"/>
        <v>1.5589112908755753E-2</v>
      </c>
      <c r="I37" s="2">
        <f>VLOOKUP(A37,[90]nyltcqtrvv5lhko4!$B$1:$N$13,9,FALSE)/100</f>
        <v>4.6399999999999997E-2</v>
      </c>
      <c r="J37" s="2">
        <f>VLOOKUP(A37,[90]nyltcqtrvv5lhko4!$B$1:$N$13,8,FALSE)/100</f>
        <v>0.05</v>
      </c>
      <c r="K37" s="2">
        <f t="shared" si="1"/>
        <v>1.9764362008013334</v>
      </c>
      <c r="L37" s="2">
        <f t="shared" si="2"/>
        <v>2.2073665956910924</v>
      </c>
      <c r="M37">
        <f>VLOOKUP(A37,[90]nyltcqtrvv5lhko4!$B$1:$N$13,7,FALSE)</f>
        <v>9</v>
      </c>
      <c r="N37">
        <f>VLOOKUP(A37,[90]nyltcqtrvv5lhko4!$B$1:$N$13,10,FALSE)</f>
        <v>0.54</v>
      </c>
    </row>
    <row r="38" spans="1:14" x14ac:dyDescent="0.3">
      <c r="A38" t="s">
        <v>143</v>
      </c>
      <c r="B38" t="str">
        <f>VLOOKUP(A38,'[5]Ticker List'!$H$4:$I$20,2,FALSE)</f>
        <v>LG</v>
      </c>
      <c r="C38" t="str">
        <f>VLOOKUP(A38,[89]rh1hoozgudibeavg!$B$1:$N$13,2,FALSE)</f>
        <v>LACLEDE GAS</v>
      </c>
      <c r="D38">
        <f>VLOOKUP(A38,[89]rh1hoozgudibeavg!$B$1:$N$13,12,FALSE)</f>
        <v>1.59</v>
      </c>
      <c r="E38">
        <f>VLOOKUP(A38,[73]rcpduh2lqkohgbf3!$B$1:$N$15,12,FALSE)</f>
        <v>1.18</v>
      </c>
      <c r="F38" s="1">
        <f t="shared" si="3"/>
        <v>1.7009084394783895</v>
      </c>
      <c r="G38" s="1">
        <f t="shared" si="4"/>
        <v>1.7009084394783895</v>
      </c>
      <c r="H38" s="2">
        <f t="shared" si="0"/>
        <v>-7.1843477970743752E-2</v>
      </c>
      <c r="I38" s="2">
        <f>VLOOKUP(A38,[90]nyltcqtrvv5lhko4!$B$1:$N$13,9,FALSE)/100</f>
        <v>1.7000000000000001E-2</v>
      </c>
      <c r="J38" s="2">
        <f>VLOOKUP(A38,[90]nyltcqtrvv5lhko4!$B$1:$N$13,8,FALSE)/100</f>
        <v>1.7000000000000001E-2</v>
      </c>
      <c r="K38" s="2">
        <f t="shared" si="1"/>
        <v>1.2366255153588579</v>
      </c>
      <c r="L38" s="2">
        <f t="shared" si="2"/>
        <v>1.2366255153588579</v>
      </c>
      <c r="M38">
        <f>VLOOKUP(A38,[90]nyltcqtrvv5lhko4!$B$1:$N$13,7,FALSE)</f>
        <v>1</v>
      </c>
      <c r="N38">
        <f>VLOOKUP(A38,[90]nyltcqtrvv5lhko4!$B$1:$N$13,10,FALSE)</f>
        <v>0</v>
      </c>
    </row>
    <row r="39" spans="1:14" x14ac:dyDescent="0.3">
      <c r="A39" t="s">
        <v>144</v>
      </c>
      <c r="B39" t="str">
        <f>VLOOKUP(A39,'[5]Ticker List'!$H$4:$I$20,2,FALSE)</f>
        <v>GAS</v>
      </c>
      <c r="C39" t="str">
        <f>VLOOKUP(A39,[89]rh1hoozgudibeavg!$B$1:$N$13,2,FALSE)</f>
        <v>NICOR INC</v>
      </c>
      <c r="D39">
        <f>VLOOKUP(A39,[89]rh1hoozgudibeavg!$B$1:$N$13,12,FALSE)</f>
        <v>2.62</v>
      </c>
      <c r="E39">
        <f>VLOOKUP(A39,[73]rcpduh2lqkohgbf3!$B$1:$N$15,12,FALSE)</f>
        <v>3.17</v>
      </c>
      <c r="F39" s="1">
        <f t="shared" si="3"/>
        <v>3.3051939720948145</v>
      </c>
      <c r="G39" s="1">
        <f t="shared" si="4"/>
        <v>3.2457205846374997</v>
      </c>
      <c r="H39" s="2">
        <f t="shared" si="0"/>
        <v>4.8792306096124616E-2</v>
      </c>
      <c r="I39" s="2">
        <f>VLOOKUP(A39,[90]nyltcqtrvv5lhko4!$B$1:$N$13,9,FALSE)/100</f>
        <v>5.9800000000000006E-2</v>
      </c>
      <c r="J39" s="2">
        <f>VLOOKUP(A39,[90]nyltcqtrvv5lhko4!$B$1:$N$13,8,FALSE)/100</f>
        <v>5.5E-2</v>
      </c>
      <c r="K39" s="2">
        <f t="shared" si="1"/>
        <v>0.22560306705301819</v>
      </c>
      <c r="L39" s="2">
        <f t="shared" si="2"/>
        <v>0.12722690113571897</v>
      </c>
      <c r="M39">
        <f>VLOOKUP(A39,[90]nyltcqtrvv5lhko4!$B$1:$N$13,7,FALSE)</f>
        <v>6</v>
      </c>
      <c r="N39">
        <f>VLOOKUP(A39,[90]nyltcqtrvv5lhko4!$B$1:$N$13,10,FALSE)</f>
        <v>2.27</v>
      </c>
    </row>
    <row r="40" spans="1:14" x14ac:dyDescent="0.3">
      <c r="A40" t="s">
        <v>146</v>
      </c>
      <c r="B40" t="str">
        <f>VLOOKUP(A40,'[5]Ticker List'!$H$4:$I$20,2,FALSE)</f>
        <v>PNY</v>
      </c>
      <c r="C40" t="str">
        <f>VLOOKUP(A40,[89]rh1hoozgudibeavg!$B$1:$N$13,2,FALSE)</f>
        <v>PIEDMONT NAT GAS</v>
      </c>
      <c r="D40">
        <f>VLOOKUP(A40,[89]rh1hoozgudibeavg!$B$1:$N$13,12,FALSE)</f>
        <v>0.99</v>
      </c>
      <c r="E40">
        <f>VLOOKUP(A40,[73]rcpduh2lqkohgbf3!$B$1:$N$15,12,FALSE)</f>
        <v>0.94499999999999995</v>
      </c>
      <c r="F40" s="1">
        <f t="shared" si="3"/>
        <v>1.2736016871187497</v>
      </c>
      <c r="G40" s="1">
        <f t="shared" si="4"/>
        <v>1.2736016871187497</v>
      </c>
      <c r="H40" s="2">
        <f t="shared" si="0"/>
        <v>-1.1562636825987682E-2</v>
      </c>
      <c r="I40" s="2">
        <f>VLOOKUP(A40,[90]nyltcqtrvv5lhko4!$B$1:$N$13,9,FALSE)/100</f>
        <v>6.5000000000000002E-2</v>
      </c>
      <c r="J40" s="2">
        <f>VLOOKUP(A40,[90]nyltcqtrvv5lhko4!$B$1:$N$13,8,FALSE)/100</f>
        <v>6.5000000000000002E-2</v>
      </c>
      <c r="K40" s="2">
        <f t="shared" si="1"/>
        <v>6.6215550983931983</v>
      </c>
      <c r="L40" s="2">
        <f t="shared" si="2"/>
        <v>6.6215550983931983</v>
      </c>
      <c r="M40">
        <f>VLOOKUP(A40,[90]nyltcqtrvv5lhko4!$B$1:$N$13,7,FALSE)</f>
        <v>4</v>
      </c>
      <c r="N40">
        <f>VLOOKUP(A40,[90]nyltcqtrvv5lhko4!$B$1:$N$13,10,FALSE)</f>
        <v>1.73</v>
      </c>
    </row>
    <row r="41" spans="1:14" x14ac:dyDescent="0.3">
      <c r="A41" t="s">
        <v>145</v>
      </c>
      <c r="B41" t="str">
        <f>VLOOKUP(A41,'[5]Ticker List'!$H$4:$I$20,2,FALSE)</f>
        <v>WGL</v>
      </c>
      <c r="C41" t="str">
        <f>VLOOKUP(A41,[89]rh1hoozgudibeavg!$B$1:$N$13,2,FALSE)</f>
        <v>WASH GAS LT</v>
      </c>
      <c r="D41">
        <f>VLOOKUP(A41,[89]rh1hoozgudibeavg!$B$1:$N$13,12,FALSE)</f>
        <v>1.6</v>
      </c>
      <c r="E41">
        <f>VLOOKUP(A41,[73]rcpduh2lqkohgbf3!$B$1:$N$15,12,FALSE)</f>
        <v>1.1399999999999999</v>
      </c>
      <c r="F41" s="1">
        <f t="shared" si="3"/>
        <v>1.918275175380419</v>
      </c>
      <c r="G41" s="1">
        <f t="shared" si="4"/>
        <v>1.9448100000000001</v>
      </c>
      <c r="H41" s="2">
        <f t="shared" si="0"/>
        <v>-8.1252400924657353E-2</v>
      </c>
      <c r="I41" s="2">
        <f>VLOOKUP(A41,[90]nyltcqtrvv5lhko4!$B$1:$N$13,9,FALSE)/100</f>
        <v>4.6399999999999997E-2</v>
      </c>
      <c r="J41" s="2">
        <f>VLOOKUP(A41,[90]nyltcqtrvv5lhko4!$B$1:$N$13,8,FALSE)/100</f>
        <v>0.05</v>
      </c>
      <c r="K41" s="2">
        <f t="shared" si="1"/>
        <v>1.5710600483427581</v>
      </c>
      <c r="L41" s="2">
        <f t="shared" si="2"/>
        <v>1.6153664314038341</v>
      </c>
      <c r="M41">
        <f>VLOOKUP(A41,[90]nyltcqtrvv5lhko4!$B$1:$N$13,7,FALSE)</f>
        <v>7</v>
      </c>
      <c r="N41">
        <f>VLOOKUP(A41,[90]nyltcqtrvv5lhko4!$B$1:$N$13,10,FALSE)</f>
        <v>1.49</v>
      </c>
    </row>
    <row r="42" spans="1:14" x14ac:dyDescent="0.3">
      <c r="A42" t="s">
        <v>149</v>
      </c>
      <c r="B42" t="str">
        <f>VLOOKUP(A42,'[5]Ticker List'!$H$4:$I$20,2,FALSE)</f>
        <v>CGC</v>
      </c>
      <c r="C42" t="str">
        <f>VLOOKUP(A42,[89]rh1hoozgudibeavg!$B$1:$N$13,2,FALSE)</f>
        <v>CASCADE NAT GAS</v>
      </c>
      <c r="D42">
        <f>VLOOKUP(A42,[89]rh1hoozgudibeavg!$B$1:$N$13,12,FALSE)</f>
        <v>0.84</v>
      </c>
      <c r="E42">
        <f>VLOOKUP(A42,[73]rcpduh2lqkohgbf3!$B$1:$N$15,12,FALSE)</f>
        <v>1.1299999999999999</v>
      </c>
      <c r="F42" s="1">
        <f t="shared" si="3"/>
        <v>1.0524996421766399</v>
      </c>
      <c r="G42" s="1">
        <f t="shared" si="4"/>
        <v>1.0210252499999999</v>
      </c>
      <c r="H42" s="2">
        <f t="shared" si="0"/>
        <v>7.6960535989115009E-2</v>
      </c>
      <c r="I42" s="2">
        <f>VLOOKUP(A42,[90]nyltcqtrvv5lhko4!$B$1:$N$13,9,FALSE)/100</f>
        <v>5.7999999999999996E-2</v>
      </c>
      <c r="J42" s="2">
        <f>VLOOKUP(A42,[90]nyltcqtrvv5lhko4!$B$1:$N$13,8,FALSE)/100</f>
        <v>0.05</v>
      </c>
      <c r="K42" s="2">
        <f t="shared" si="1"/>
        <v>-0.24636699505051154</v>
      </c>
      <c r="L42" s="2">
        <f t="shared" si="2"/>
        <v>-0.35031637504354435</v>
      </c>
      <c r="M42">
        <f>VLOOKUP(A42,[90]nyltcqtrvv5lhko4!$B$1:$N$13,7,FALSE)</f>
        <v>3</v>
      </c>
      <c r="N42">
        <f>VLOOKUP(A42,[90]nyltcqtrvv5lhko4!$B$1:$N$13,10,FALSE)</f>
        <v>2.31</v>
      </c>
    </row>
  </sheetData>
  <mergeCells count="3">
    <mergeCell ref="P1:Q1"/>
    <mergeCell ref="P7:Q7"/>
    <mergeCell ref="P13:Q13"/>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D73EF0-82EA-4E59-AE21-F28B27DA1E1C}">
  <dimension ref="A1:Q44"/>
  <sheetViews>
    <sheetView workbookViewId="0">
      <selection activeCell="A34" sqref="A34:N44"/>
    </sheetView>
  </sheetViews>
  <sheetFormatPr defaultRowHeight="14.4" x14ac:dyDescent="0.3"/>
  <cols>
    <col min="1" max="1" width="13.33203125" bestFit="1" customWidth="1"/>
    <col min="2" max="2" width="10.44140625" bestFit="1" customWidth="1"/>
    <col min="3" max="3" width="15.109375" bestFit="1" customWidth="1"/>
    <col min="4" max="5" width="15.44140625" bestFit="1" customWidth="1"/>
    <col min="6" max="6" width="14.33203125" bestFit="1" customWidth="1"/>
    <col min="7" max="7" width="16" bestFit="1" customWidth="1"/>
    <col min="8" max="8" width="18.33203125" bestFit="1" customWidth="1"/>
    <col min="9" max="9" width="21.44140625" bestFit="1" customWidth="1"/>
    <col min="10" max="10" width="23.109375" bestFit="1" customWidth="1"/>
    <col min="11" max="11" width="22" bestFit="1" customWidth="1"/>
    <col min="12" max="12" width="24.109375" bestFit="1" customWidth="1"/>
    <col min="13" max="13" width="19.88671875" bestFit="1" customWidth="1"/>
    <col min="14" max="14" width="8.33203125" bestFit="1" customWidth="1"/>
    <col min="16" max="16" width="51.88671875" bestFit="1" customWidth="1"/>
  </cols>
  <sheetData>
    <row r="1" spans="1:17" x14ac:dyDescent="0.3">
      <c r="A1" t="s">
        <v>0</v>
      </c>
      <c r="B1" t="s">
        <v>1</v>
      </c>
      <c r="C1" t="s">
        <v>2</v>
      </c>
      <c r="D1" t="s">
        <v>101</v>
      </c>
      <c r="E1" t="s">
        <v>97</v>
      </c>
      <c r="F1" t="s">
        <v>5</v>
      </c>
      <c r="G1" t="s">
        <v>6</v>
      </c>
      <c r="H1" t="s">
        <v>7</v>
      </c>
      <c r="I1" t="s">
        <v>8</v>
      </c>
      <c r="J1" t="s">
        <v>9</v>
      </c>
      <c r="K1" t="s">
        <v>10</v>
      </c>
      <c r="L1" t="s">
        <v>11</v>
      </c>
      <c r="M1" t="s">
        <v>12</v>
      </c>
      <c r="N1" t="s">
        <v>13</v>
      </c>
      <c r="P1" s="111" t="s">
        <v>14</v>
      </c>
      <c r="Q1" s="111"/>
    </row>
    <row r="2" spans="1:17" x14ac:dyDescent="0.3">
      <c r="A2" t="s">
        <v>19</v>
      </c>
      <c r="B2" t="str">
        <f>VLOOKUP(A2,[91]WRDS!$A$1:$N$100,2,FALSE)</f>
        <v>BHP</v>
      </c>
      <c r="C2" t="str">
        <f>VLOOKUP(A2,[91]WRDS!$A$1:$N$100,3,FALSE)</f>
        <v>BLACK HILLS CP</v>
      </c>
      <c r="D2">
        <f>VLOOKUP(A2,[91]WRDS!$A$1:$N$100,13,FALSE)</f>
        <v>1.4</v>
      </c>
      <c r="E2">
        <f>VLOOKUP(A2,[75]WRDS!$A$1:$N$100,13,FALSE)</f>
        <v>2.34</v>
      </c>
      <c r="F2" s="1">
        <f>D2*(1+I2)^4</f>
        <v>1.6586886206247164</v>
      </c>
      <c r="G2" s="1">
        <f>D2*(1+J2)^4</f>
        <v>1.6378019840000002</v>
      </c>
      <c r="H2" s="2">
        <f t="shared" ref="H2:H44" si="0">((E2/D2)^(1/4)-1)</f>
        <v>0.1370300836200431</v>
      </c>
      <c r="I2" s="2">
        <f>VLOOKUP(A2,[92]WRDS!$A$1:$O$100,10,FALSE)/100</f>
        <v>4.3299999999999998E-2</v>
      </c>
      <c r="J2" s="2">
        <f>VLOOKUP(A2,[92]WRDS!$A$1:$O$100,9,FALSE)/100</f>
        <v>0.04</v>
      </c>
      <c r="K2" s="2">
        <f t="shared" ref="K2:K44" si="1">(I2-H2)/(ABS(H2))</f>
        <v>-0.68401099338111615</v>
      </c>
      <c r="L2" s="2">
        <f t="shared" ref="L2:L44" si="2">(J2-H2)/(ABS(H2))</f>
        <v>-0.7080932964259733</v>
      </c>
      <c r="M2">
        <f>VLOOKUP(A2,[92]WRDS!$A$1:$O$100,8,FALSE)</f>
        <v>3</v>
      </c>
      <c r="N2">
        <f>VLOOKUP(A2,[92]WRDS!$A$1:$O$100,11,FALSE)</f>
        <v>0.57999999999999996</v>
      </c>
      <c r="P2" t="s">
        <v>16</v>
      </c>
      <c r="Q2" s="3">
        <f>AVERAGE(H2:H999)</f>
        <v>5.3921912051085714E-2</v>
      </c>
    </row>
    <row r="3" spans="1:17" x14ac:dyDescent="0.3">
      <c r="A3" t="s">
        <v>88</v>
      </c>
      <c r="B3" t="str">
        <f>VLOOKUP(A3,[91]WRDS!$A$1:$N$100,2,FALSE)</f>
        <v>CIN</v>
      </c>
      <c r="C3" t="str">
        <f>VLOOKUP(A3,[91]WRDS!$A$1:$N$100,3,FALSE)</f>
        <v>CINERGY CORP</v>
      </c>
      <c r="D3">
        <f>VLOOKUP(A3,[91]WRDS!$A$1:$N$100,13,FALSE)</f>
        <v>2.2599999999999998</v>
      </c>
      <c r="E3">
        <f>VLOOKUP(A3,[75]WRDS!$A$1:$N$100,13,FALSE)</f>
        <v>2.52</v>
      </c>
      <c r="F3" s="1">
        <f t="shared" ref="F3:F44" si="3">D3*(1+I3)^4</f>
        <v>2.7168213253184561</v>
      </c>
      <c r="G3" s="1">
        <f t="shared" ref="G3:G44" si="4">D3*(1+J3)^4</f>
        <v>2.6950920374124987</v>
      </c>
      <c r="H3" s="2">
        <f t="shared" si="0"/>
        <v>2.759746779756389E-2</v>
      </c>
      <c r="I3" s="2">
        <f>VLOOKUP(A3,[92]WRDS!$A$1:$O$100,10,FALSE)/100</f>
        <v>4.7100000000000003E-2</v>
      </c>
      <c r="J3" s="2">
        <f>VLOOKUP(A3,[92]WRDS!$A$1:$O$100,9,FALSE)/100</f>
        <v>4.4999999999999998E-2</v>
      </c>
      <c r="K3" s="2">
        <f t="shared" si="1"/>
        <v>0.70667832083339399</v>
      </c>
      <c r="L3" s="2">
        <f t="shared" si="2"/>
        <v>0.63058438296184116</v>
      </c>
      <c r="M3">
        <f>VLOOKUP(A3,[92]WRDS!$A$1:$O$100,8,FALSE)</f>
        <v>16</v>
      </c>
      <c r="N3">
        <f>VLOOKUP(A3,[92]WRDS!$A$1:$O$100,11,FALSE)</f>
        <v>1.67</v>
      </c>
      <c r="P3" t="s">
        <v>18</v>
      </c>
      <c r="Q3" s="3">
        <f>AVERAGE(I2:I999)</f>
        <v>3.9339534883720932E-2</v>
      </c>
    </row>
    <row r="4" spans="1:17" x14ac:dyDescent="0.3">
      <c r="A4" t="s">
        <v>21</v>
      </c>
      <c r="B4" t="str">
        <f>VLOOKUP(A4,[91]WRDS!$A$1:$N$100,2,FALSE)</f>
        <v>CMS</v>
      </c>
      <c r="C4" t="str">
        <f>VLOOKUP(A4,[91]WRDS!$A$1:$N$100,3,FALSE)</f>
        <v>CMS ENERGY CORP</v>
      </c>
      <c r="D4">
        <f>VLOOKUP(A4,[91]WRDS!$A$1:$N$100,13,FALSE)</f>
        <v>2.4500000000000002</v>
      </c>
      <c r="E4">
        <f>VLOOKUP(A4,[75]WRDS!$A$1:$N$100,13,FALSE)</f>
        <v>2.5299999999999998</v>
      </c>
      <c r="F4" s="1">
        <f t="shared" si="3"/>
        <v>3.3233327779931949</v>
      </c>
      <c r="G4" s="1">
        <f t="shared" si="4"/>
        <v>3.3331979520000008</v>
      </c>
      <c r="H4" s="2">
        <f t="shared" si="0"/>
        <v>8.0651692022619681E-3</v>
      </c>
      <c r="I4" s="2">
        <f>VLOOKUP(A4,[92]WRDS!$A$1:$O$100,10,FALSE)/100</f>
        <v>7.9199999999999993E-2</v>
      </c>
      <c r="J4" s="2">
        <f>VLOOKUP(A4,[92]WRDS!$A$1:$O$100,9,FALSE)/100</f>
        <v>0.08</v>
      </c>
      <c r="K4" s="2">
        <f t="shared" si="1"/>
        <v>8.8200047654037377</v>
      </c>
      <c r="L4" s="2">
        <f t="shared" si="2"/>
        <v>8.9191967327310504</v>
      </c>
      <c r="M4">
        <f>VLOOKUP(A4,[92]WRDS!$A$1:$O$100,8,FALSE)</f>
        <v>12</v>
      </c>
      <c r="N4">
        <f>VLOOKUP(A4,[92]WRDS!$A$1:$O$100,11,FALSE)</f>
        <v>1.62</v>
      </c>
      <c r="P4" t="s">
        <v>20</v>
      </c>
      <c r="Q4" s="3">
        <f>(Q3-Q2)/ABS(Q2)</f>
        <v>-0.27043509053516895</v>
      </c>
    </row>
    <row r="5" spans="1:17" x14ac:dyDescent="0.3">
      <c r="A5" t="s">
        <v>71</v>
      </c>
      <c r="B5" t="str">
        <f>VLOOKUP(A5,[91]WRDS!$A$1:$N$100,2,FALSE)</f>
        <v>CNL</v>
      </c>
      <c r="C5" t="str">
        <f>VLOOKUP(A5,[91]WRDS!$A$1:$N$100,3,FALSE)</f>
        <v>CENT LA ELEC INC</v>
      </c>
      <c r="D5">
        <f>VLOOKUP(A5,[91]WRDS!$A$1:$N$100,13,FALSE)</f>
        <v>1.115</v>
      </c>
      <c r="E5">
        <f>VLOOKUP(A5,[75]WRDS!$A$1:$N$100,13,FALSE)</f>
        <v>1.38</v>
      </c>
      <c r="F5" s="1">
        <f t="shared" si="3"/>
        <v>1.2461928796587032</v>
      </c>
      <c r="G5" s="1">
        <f t="shared" si="4"/>
        <v>1.2549423231499999</v>
      </c>
      <c r="H5" s="2">
        <f t="shared" si="0"/>
        <v>5.4753693257834524E-2</v>
      </c>
      <c r="I5" s="2">
        <f>VLOOKUP(A5,[92]WRDS!$A$1:$O$100,10,FALSE)/100</f>
        <v>2.8199999999999999E-2</v>
      </c>
      <c r="J5" s="2">
        <f>VLOOKUP(A5,[92]WRDS!$A$1:$O$100,9,FALSE)/100</f>
        <v>0.03</v>
      </c>
      <c r="K5" s="2">
        <f t="shared" si="1"/>
        <v>-0.48496624935953603</v>
      </c>
      <c r="L5" s="2">
        <f t="shared" si="2"/>
        <v>-0.45209175463780432</v>
      </c>
      <c r="M5">
        <f>VLOOKUP(A5,[92]WRDS!$A$1:$O$100,8,FALSE)</f>
        <v>5</v>
      </c>
      <c r="N5">
        <f>VLOOKUP(A5,[92]WRDS!$A$1:$O$100,11,FALSE)</f>
        <v>1.4</v>
      </c>
      <c r="P5" t="s">
        <v>22</v>
      </c>
      <c r="Q5" s="3">
        <f>AVERAGE(J2:J999)</f>
        <v>3.7813953488372104E-2</v>
      </c>
    </row>
    <row r="6" spans="1:17" x14ac:dyDescent="0.3">
      <c r="A6" t="s">
        <v>25</v>
      </c>
      <c r="B6" t="str">
        <f>VLOOKUP(A6,[91]WRDS!$A$1:$N$100,2,FALSE)</f>
        <v>D</v>
      </c>
      <c r="C6" t="str">
        <f>VLOOKUP(A6,[91]WRDS!$A$1:$N$100,3,FALSE)</f>
        <v>DOMINION RES INC</v>
      </c>
      <c r="D6">
        <f>VLOOKUP(A6,[91]WRDS!$A$1:$N$100,13,FALSE)</f>
        <v>1.4950000000000001</v>
      </c>
      <c r="E6">
        <f>VLOOKUP(A6,[75]WRDS!$A$1:$N$100,13,FALSE)</f>
        <v>1.665</v>
      </c>
      <c r="F6" s="1">
        <f t="shared" si="3"/>
        <v>1.6950856311363385</v>
      </c>
      <c r="G6" s="1">
        <f t="shared" si="4"/>
        <v>1.6826356709499999</v>
      </c>
      <c r="H6" s="2">
        <f t="shared" si="0"/>
        <v>2.7290474823388422E-2</v>
      </c>
      <c r="I6" s="2">
        <f>VLOOKUP(A6,[92]WRDS!$A$1:$O$100,10,FALSE)/100</f>
        <v>3.1899999999999998E-2</v>
      </c>
      <c r="J6" s="2">
        <f>VLOOKUP(A6,[92]WRDS!$A$1:$O$100,9,FALSE)/100</f>
        <v>0.03</v>
      </c>
      <c r="K6" s="2">
        <f t="shared" si="1"/>
        <v>0.16890600865108915</v>
      </c>
      <c r="L6" s="2">
        <f t="shared" si="2"/>
        <v>9.9284647634253168E-2</v>
      </c>
      <c r="M6">
        <f>VLOOKUP(A6,[92]WRDS!$A$1:$O$100,8,FALSE)</f>
        <v>15</v>
      </c>
      <c r="N6">
        <f>VLOOKUP(A6,[92]WRDS!$A$1:$O$100,11,FALSE)</f>
        <v>0.98</v>
      </c>
      <c r="P6" t="s">
        <v>24</v>
      </c>
      <c r="Q6" s="3">
        <f>(Q5-Q2)/ABS(Q2)</f>
        <v>-0.29872751076506526</v>
      </c>
    </row>
    <row r="7" spans="1:17" x14ac:dyDescent="0.3">
      <c r="A7" t="s">
        <v>86</v>
      </c>
      <c r="B7" t="str">
        <f>VLOOKUP(A7,[91]WRDS!$A$1:$N$100,2,FALSE)</f>
        <v>DPL</v>
      </c>
      <c r="C7" t="str">
        <f>VLOOKUP(A7,[91]WRDS!$A$1:$N$100,3,FALSE)</f>
        <v>DPL INC</v>
      </c>
      <c r="D7">
        <f>VLOOKUP(A7,[91]WRDS!$A$1:$N$100,13,FALSE)</f>
        <v>1.1467000000000001</v>
      </c>
      <c r="E7">
        <f>VLOOKUP(A7,[75]WRDS!$A$1:$N$100,13,FALSE)</f>
        <v>1.52</v>
      </c>
      <c r="F7" s="1">
        <f t="shared" si="3"/>
        <v>1.3627562909530859</v>
      </c>
      <c r="G7" s="1">
        <f t="shared" si="4"/>
        <v>1.3414768107520003</v>
      </c>
      <c r="H7" s="2">
        <f t="shared" si="0"/>
        <v>7.2996842219784197E-2</v>
      </c>
      <c r="I7" s="2">
        <f>VLOOKUP(A7,[92]WRDS!$A$1:$O$100,10,FALSE)/100</f>
        <v>4.41E-2</v>
      </c>
      <c r="J7" s="2">
        <f>VLOOKUP(A7,[92]WRDS!$A$1:$O$100,9,FALSE)/100</f>
        <v>0.04</v>
      </c>
      <c r="K7" s="2">
        <f t="shared" si="1"/>
        <v>-0.39586427770093785</v>
      </c>
      <c r="L7" s="2">
        <f t="shared" si="2"/>
        <v>-0.45203109088520438</v>
      </c>
      <c r="M7">
        <f>VLOOKUP(A7,[92]WRDS!$A$1:$O$100,8,FALSE)</f>
        <v>13</v>
      </c>
      <c r="N7">
        <f>VLOOKUP(A7,[92]WRDS!$A$1:$O$100,11,FALSE)</f>
        <v>1.08</v>
      </c>
      <c r="P7" s="111" t="s">
        <v>26</v>
      </c>
      <c r="Q7" s="111"/>
    </row>
    <row r="8" spans="1:17" x14ac:dyDescent="0.3">
      <c r="A8" t="s">
        <v>27</v>
      </c>
      <c r="B8" t="str">
        <f>VLOOKUP(A8,[91]WRDS!$A$1:$N$100,2,FALSE)</f>
        <v>DTE</v>
      </c>
      <c r="C8" t="str">
        <f>VLOOKUP(A8,[91]WRDS!$A$1:$N$100,3,FALSE)</f>
        <v>DTE ENERGY</v>
      </c>
      <c r="D8">
        <f>VLOOKUP(A8,[91]WRDS!$A$1:$N$100,13,FALSE)</f>
        <v>2.81</v>
      </c>
      <c r="E8">
        <f>VLOOKUP(A8,[75]WRDS!$A$1:$N$100,13,FALSE)</f>
        <v>3.39</v>
      </c>
      <c r="F8" s="1">
        <f t="shared" si="3"/>
        <v>3.1235593328627203</v>
      </c>
      <c r="G8" s="1">
        <f t="shared" si="4"/>
        <v>3.0416343696000001</v>
      </c>
      <c r="H8" s="2">
        <f t="shared" si="0"/>
        <v>4.8029107150444839E-2</v>
      </c>
      <c r="I8" s="2">
        <f>VLOOKUP(A8,[92]WRDS!$A$1:$O$100,10,FALSE)/100</f>
        <v>2.6800000000000001E-2</v>
      </c>
      <c r="J8" s="2">
        <f>VLOOKUP(A8,[92]WRDS!$A$1:$O$100,9,FALSE)/100</f>
        <v>0.02</v>
      </c>
      <c r="K8" s="2">
        <f t="shared" si="1"/>
        <v>-0.44200503423783127</v>
      </c>
      <c r="L8" s="2">
        <f t="shared" si="2"/>
        <v>-0.58358584644614275</v>
      </c>
      <c r="M8">
        <f>VLOOKUP(A8,[92]WRDS!$A$1:$O$100,8,FALSE)</f>
        <v>14</v>
      </c>
      <c r="N8">
        <f>VLOOKUP(A8,[92]WRDS!$A$1:$O$100,11,FALSE)</f>
        <v>1.26</v>
      </c>
      <c r="P8" t="s">
        <v>28</v>
      </c>
      <c r="Q8" s="2">
        <f>MEDIAN(H2:H99)</f>
        <v>4.0104688033748559E-2</v>
      </c>
    </row>
    <row r="9" spans="1:17" x14ac:dyDescent="0.3">
      <c r="A9" t="s">
        <v>29</v>
      </c>
      <c r="B9" t="str">
        <f>VLOOKUP(A9,[91]WRDS!$A$1:$N$100,2,FALSE)</f>
        <v>DUK</v>
      </c>
      <c r="C9" t="str">
        <f>VLOOKUP(A9,[91]WRDS!$A$1:$N$100,3,FALSE)</f>
        <v>DUKE POWER CO</v>
      </c>
      <c r="D9">
        <f>VLOOKUP(A9,[91]WRDS!$A$1:$N$100,13,FALSE)</f>
        <v>5.0549999999999997</v>
      </c>
      <c r="E9">
        <f>VLOOKUP(A9,[75]WRDS!$A$1:$N$100,13,FALSE)</f>
        <v>6.4349999999999996</v>
      </c>
      <c r="F9" s="1">
        <f t="shared" si="3"/>
        <v>6.1070181262129521</v>
      </c>
      <c r="G9" s="1">
        <f t="shared" si="4"/>
        <v>5.913635020800001</v>
      </c>
      <c r="H9" s="2">
        <f t="shared" si="0"/>
        <v>6.2201347016774378E-2</v>
      </c>
      <c r="I9" s="2">
        <f>VLOOKUP(A9,[92]WRDS!$A$1:$O$100,10,FALSE)/100</f>
        <v>4.8399999999999999E-2</v>
      </c>
      <c r="J9" s="2">
        <f>VLOOKUP(A9,[92]WRDS!$A$1:$O$100,9,FALSE)/100</f>
        <v>0.04</v>
      </c>
      <c r="K9" s="2">
        <f t="shared" si="1"/>
        <v>-0.22188180286598053</v>
      </c>
      <c r="L9" s="2">
        <f t="shared" si="2"/>
        <v>-0.35692710980659548</v>
      </c>
      <c r="M9">
        <f>VLOOKUP(A9,[92]WRDS!$A$1:$O$100,8,FALSE)</f>
        <v>14</v>
      </c>
      <c r="N9">
        <f>VLOOKUP(A9,[92]WRDS!$A$1:$O$100,11,FALSE)</f>
        <v>2.2599999999999998</v>
      </c>
      <c r="P9" t="s">
        <v>30</v>
      </c>
      <c r="Q9" s="2">
        <f>MEDIAN(I2:I100)</f>
        <v>3.8199999999999998E-2</v>
      </c>
    </row>
    <row r="10" spans="1:17" x14ac:dyDescent="0.3">
      <c r="A10" t="s">
        <v>31</v>
      </c>
      <c r="B10" t="str">
        <f>VLOOKUP(A10,[91]WRDS!$A$1:$N$100,2,FALSE)</f>
        <v>ED</v>
      </c>
      <c r="C10" t="str">
        <f>VLOOKUP(A10,[91]WRDS!$A$1:$N$100,3,FALSE)</f>
        <v>CONS EDISON CO</v>
      </c>
      <c r="D10">
        <f>VLOOKUP(A10,[91]WRDS!$A$1:$N$100,13,FALSE)</f>
        <v>2.93</v>
      </c>
      <c r="E10">
        <f>VLOOKUP(A10,[75]WRDS!$A$1:$N$100,13,FALSE)</f>
        <v>3.14</v>
      </c>
      <c r="F10" s="1">
        <f t="shared" si="3"/>
        <v>3.0890133907855533</v>
      </c>
      <c r="G10" s="1">
        <f t="shared" si="4"/>
        <v>3.0489697493000003</v>
      </c>
      <c r="H10" s="2">
        <f t="shared" si="0"/>
        <v>1.7455694830848412E-2</v>
      </c>
      <c r="I10" s="2">
        <f>VLOOKUP(A10,[92]WRDS!$A$1:$O$100,10,FALSE)/100</f>
        <v>1.3300000000000001E-2</v>
      </c>
      <c r="J10" s="2">
        <f>VLOOKUP(A10,[92]WRDS!$A$1:$O$100,9,FALSE)/100</f>
        <v>0.01</v>
      </c>
      <c r="K10" s="2">
        <f t="shared" si="1"/>
        <v>-0.23807100611682888</v>
      </c>
      <c r="L10" s="2">
        <f t="shared" si="2"/>
        <v>-0.42712105723069843</v>
      </c>
      <c r="M10">
        <f>VLOOKUP(A10,[92]WRDS!$A$1:$O$100,8,FALSE)</f>
        <v>9</v>
      </c>
      <c r="N10">
        <f>VLOOKUP(A10,[92]WRDS!$A$1:$O$100,11,FALSE)</f>
        <v>1.1200000000000001</v>
      </c>
      <c r="P10" t="s">
        <v>32</v>
      </c>
      <c r="Q10" s="2">
        <f>(Q9-Q8)/ABS(Q8)</f>
        <v>-4.7492902379535878E-2</v>
      </c>
    </row>
    <row r="11" spans="1:17" x14ac:dyDescent="0.3">
      <c r="A11" t="s">
        <v>72</v>
      </c>
      <c r="B11" t="str">
        <f>VLOOKUP(A11,[91]WRDS!$A$1:$N$100,2,FALSE)</f>
        <v>EDE</v>
      </c>
      <c r="C11" t="str">
        <f>VLOOKUP(A11,[91]WRDS!$A$1:$N$100,3,FALSE)</f>
        <v>EMPIRE DIST ELEC</v>
      </c>
      <c r="D11">
        <f>VLOOKUP(A11,[91]WRDS!$A$1:$N$100,13,FALSE)</f>
        <v>1.21</v>
      </c>
      <c r="E11">
        <f>VLOOKUP(A11,[75]WRDS!$A$1:$N$100,13,FALSE)</f>
        <v>1.37</v>
      </c>
      <c r="F11" s="1">
        <f t="shared" si="3"/>
        <v>1.3097429135999998</v>
      </c>
      <c r="G11" s="1">
        <f t="shared" si="4"/>
        <v>1.3097429135999998</v>
      </c>
      <c r="H11" s="2">
        <f t="shared" si="0"/>
        <v>3.1534598667072755E-2</v>
      </c>
      <c r="I11" s="2">
        <f>VLOOKUP(A11,[92]WRDS!$A$1:$O$100,10,FALSE)/100</f>
        <v>0.02</v>
      </c>
      <c r="J11" s="2">
        <f>VLOOKUP(A11,[92]WRDS!$A$1:$O$100,9,FALSE)/100</f>
        <v>0.02</v>
      </c>
      <c r="K11" s="2">
        <f t="shared" si="1"/>
        <v>-0.3657759779615255</v>
      </c>
      <c r="L11" s="2">
        <f t="shared" si="2"/>
        <v>-0.3657759779615255</v>
      </c>
      <c r="M11">
        <f>VLOOKUP(A11,[92]WRDS!$A$1:$O$100,8,FALSE)</f>
        <v>1</v>
      </c>
      <c r="N11">
        <f>VLOOKUP(A11,[92]WRDS!$A$1:$O$100,11,FALSE)</f>
        <v>0</v>
      </c>
      <c r="P11" t="s">
        <v>34</v>
      </c>
      <c r="Q11" s="2">
        <f>MEDIAN(J2:J99)</f>
        <v>3.7499999999999999E-2</v>
      </c>
    </row>
    <row r="12" spans="1:17" x14ac:dyDescent="0.3">
      <c r="A12" t="s">
        <v>33</v>
      </c>
      <c r="B12" t="str">
        <f>VLOOKUP(A12,[91]WRDS!$A$1:$N$100,2,FALSE)</f>
        <v>SCE</v>
      </c>
      <c r="C12" t="str">
        <f>VLOOKUP(A12,[91]WRDS!$A$1:$N$100,3,FALSE)</f>
        <v>EDISON INTL</v>
      </c>
      <c r="D12">
        <f>VLOOKUP(A12,[91]WRDS!$A$1:$N$100,13,FALSE)</f>
        <v>1.69</v>
      </c>
      <c r="E12">
        <f>VLOOKUP(A12,[75]WRDS!$A$1:$N$100,13,FALSE)</f>
        <v>1.64</v>
      </c>
      <c r="F12" s="1">
        <f t="shared" si="3"/>
        <v>1.913214368621506</v>
      </c>
      <c r="G12" s="1">
        <f t="shared" si="4"/>
        <v>1.8947338049448896</v>
      </c>
      <c r="H12" s="2">
        <f t="shared" si="0"/>
        <v>-7.4799566113888938E-3</v>
      </c>
      <c r="I12" s="2">
        <f>VLOOKUP(A12,[92]WRDS!$A$1:$O$100,10,FALSE)/100</f>
        <v>3.15E-2</v>
      </c>
      <c r="J12" s="2">
        <f>VLOOKUP(A12,[92]WRDS!$A$1:$O$100,9,FALSE)/100</f>
        <v>2.8999999999999998E-2</v>
      </c>
      <c r="K12" s="2">
        <f t="shared" si="1"/>
        <v>5.2112543743954971</v>
      </c>
      <c r="L12" s="2">
        <f t="shared" si="2"/>
        <v>4.8770278367450608</v>
      </c>
      <c r="M12">
        <f>VLOOKUP(A12,[92]WRDS!$A$1:$O$100,8,FALSE)</f>
        <v>14</v>
      </c>
      <c r="N12">
        <f>VLOOKUP(A12,[92]WRDS!$A$1:$O$100,11,FALSE)</f>
        <v>1.98</v>
      </c>
      <c r="P12" t="s">
        <v>32</v>
      </c>
      <c r="Q12" s="2">
        <f>(Q11-Q8)/ABS(Q8)</f>
        <v>-6.4947220922319235E-2</v>
      </c>
    </row>
    <row r="13" spans="1:17" x14ac:dyDescent="0.3">
      <c r="A13" t="s">
        <v>59</v>
      </c>
      <c r="B13" t="str">
        <f>VLOOKUP(A13,[91]WRDS!$A$1:$N$100,2,FALSE)</f>
        <v>MSU</v>
      </c>
      <c r="C13" t="str">
        <f>VLOOKUP(A13,[91]WRDS!$A$1:$N$100,3,FALSE)</f>
        <v>ENTERGY CP</v>
      </c>
      <c r="D13">
        <f>VLOOKUP(A13,[91]WRDS!$A$1:$N$100,13,FALSE)</f>
        <v>2.48</v>
      </c>
      <c r="E13">
        <f>VLOOKUP(A13,[75]WRDS!$A$1:$N$100,13,FALSE)</f>
        <v>3.14</v>
      </c>
      <c r="F13" s="1">
        <f t="shared" si="3"/>
        <v>2.9023652548403973</v>
      </c>
      <c r="G13" s="1">
        <f t="shared" si="4"/>
        <v>2.9012492288000007</v>
      </c>
      <c r="H13" s="2">
        <f t="shared" si="0"/>
        <v>6.0765757383814956E-2</v>
      </c>
      <c r="I13" s="2">
        <f>VLOOKUP(A13,[92]WRDS!$A$1:$O$100,10,FALSE)/100</f>
        <v>4.0099999999999997E-2</v>
      </c>
      <c r="J13" s="2">
        <f>VLOOKUP(A13,[92]WRDS!$A$1:$O$100,9,FALSE)/100</f>
        <v>0.04</v>
      </c>
      <c r="K13" s="2">
        <f t="shared" si="1"/>
        <v>-0.34008886375403447</v>
      </c>
      <c r="L13" s="2">
        <f t="shared" si="2"/>
        <v>-0.3417345274354458</v>
      </c>
      <c r="M13">
        <f>VLOOKUP(A13,[92]WRDS!$A$1:$O$100,8,FALSE)</f>
        <v>13</v>
      </c>
      <c r="N13">
        <f>VLOOKUP(A13,[92]WRDS!$A$1:$O$100,11,FALSE)</f>
        <v>0.9</v>
      </c>
      <c r="P13" s="111" t="s">
        <v>37</v>
      </c>
      <c r="Q13" s="111"/>
    </row>
    <row r="14" spans="1:17" x14ac:dyDescent="0.3">
      <c r="A14" t="s">
        <v>89</v>
      </c>
      <c r="B14" t="str">
        <f>VLOOKUP(A14,[91]WRDS!$A$1:$N$100,2,FALSE)</f>
        <v>FPL</v>
      </c>
      <c r="C14" t="str">
        <f>VLOOKUP(A14,[91]WRDS!$A$1:$N$100,3,FALSE)</f>
        <v>FPL GROUP</v>
      </c>
      <c r="D14">
        <f>VLOOKUP(A14,[91]WRDS!$A$1:$N$100,13,FALSE)</f>
        <v>0.4163</v>
      </c>
      <c r="E14">
        <f>VLOOKUP(A14,[75]WRDS!$A$1:$N$100,13,FALSE)</f>
        <v>0.54749999999999999</v>
      </c>
      <c r="F14" s="1">
        <f t="shared" si="3"/>
        <v>0.50485963658420685</v>
      </c>
      <c r="G14" s="1">
        <f t="shared" si="4"/>
        <v>0.50601525187499996</v>
      </c>
      <c r="H14" s="2">
        <f t="shared" si="0"/>
        <v>7.0888927430726723E-2</v>
      </c>
      <c r="I14" s="2">
        <f>VLOOKUP(A14,[92]WRDS!$A$1:$O$100,10,FALSE)/100</f>
        <v>4.9400000000000006E-2</v>
      </c>
      <c r="J14" s="2">
        <f>VLOOKUP(A14,[92]WRDS!$A$1:$O$100,9,FALSE)/100</f>
        <v>0.05</v>
      </c>
      <c r="K14" s="2">
        <f t="shared" si="1"/>
        <v>-0.30313517511921567</v>
      </c>
      <c r="L14" s="2">
        <f t="shared" si="2"/>
        <v>-0.29467122987774869</v>
      </c>
      <c r="M14">
        <f>VLOOKUP(A14,[92]WRDS!$A$1:$O$100,8,FALSE)</f>
        <v>17</v>
      </c>
      <c r="N14">
        <f>VLOOKUP(A14,[92]WRDS!$A$1:$O$100,11,FALSE)</f>
        <v>1.1100000000000001</v>
      </c>
      <c r="P14" t="s">
        <v>39</v>
      </c>
      <c r="Q14" s="1">
        <f>AVERAGE(M2:M1002)</f>
        <v>9.2558139534883725</v>
      </c>
    </row>
    <row r="15" spans="1:17" x14ac:dyDescent="0.3">
      <c r="A15" t="s">
        <v>36</v>
      </c>
      <c r="B15" t="str">
        <f>VLOOKUP(A15,[91]WRDS!$A$1:$N$100,2,FALSE)</f>
        <v>HE</v>
      </c>
      <c r="C15" t="str">
        <f>VLOOKUP(A15,[91]WRDS!$A$1:$N$100,3,FALSE)</f>
        <v>HAWAIIAN ELEC</v>
      </c>
      <c r="D15">
        <f>VLOOKUP(A15,[91]WRDS!$A$1:$N$100,13,FALSE)</f>
        <v>1.4350000000000001</v>
      </c>
      <c r="E15">
        <f>VLOOKUP(A15,[75]WRDS!$A$1:$N$100,13,FALSE)</f>
        <v>1.27</v>
      </c>
      <c r="F15" s="1">
        <f t="shared" si="3"/>
        <v>1.6466955058968746</v>
      </c>
      <c r="G15" s="1">
        <f t="shared" si="4"/>
        <v>1.6594605276410346</v>
      </c>
      <c r="H15" s="2">
        <f t="shared" si="0"/>
        <v>-3.0075443375526145E-2</v>
      </c>
      <c r="I15" s="2">
        <f>VLOOKUP(A15,[92]WRDS!$A$1:$O$100,10,FALSE)/100</f>
        <v>3.5000000000000003E-2</v>
      </c>
      <c r="J15" s="2">
        <f>VLOOKUP(A15,[92]WRDS!$A$1:$O$100,9,FALSE)/100</f>
        <v>3.7000000000000005E-2</v>
      </c>
      <c r="K15" s="2">
        <f t="shared" si="1"/>
        <v>2.1637401172439974</v>
      </c>
      <c r="L15" s="2">
        <f t="shared" si="2"/>
        <v>2.2302395525150831</v>
      </c>
      <c r="M15">
        <f>VLOOKUP(A15,[92]WRDS!$A$1:$O$100,8,FALSE)</f>
        <v>9</v>
      </c>
      <c r="N15">
        <f>VLOOKUP(A15,[92]WRDS!$A$1:$O$100,11,FALSE)</f>
        <v>1.1100000000000001</v>
      </c>
      <c r="P15" t="s">
        <v>41</v>
      </c>
      <c r="Q15" s="1">
        <f>COUNT(N2:N1002)</f>
        <v>43</v>
      </c>
    </row>
    <row r="16" spans="1:17" x14ac:dyDescent="0.3">
      <c r="A16" t="s">
        <v>38</v>
      </c>
      <c r="B16" t="str">
        <f>VLOOKUP(A16,[91]WRDS!$A$1:$N$100,2,FALSE)</f>
        <v>IDA</v>
      </c>
      <c r="C16" t="str">
        <f>VLOOKUP(A16,[91]WRDS!$A$1:$N$100,3,FALSE)</f>
        <v>IDAHO POWER CO</v>
      </c>
      <c r="D16">
        <f>VLOOKUP(A16,[91]WRDS!$A$1:$N$100,13,FALSE)</f>
        <v>2.21</v>
      </c>
      <c r="E16">
        <f>VLOOKUP(A16,[75]WRDS!$A$1:$N$100,13,FALSE)</f>
        <v>3.72</v>
      </c>
      <c r="F16" s="1">
        <f t="shared" si="3"/>
        <v>2.4902736484279187</v>
      </c>
      <c r="G16" s="1">
        <f t="shared" si="4"/>
        <v>2.44896014175696</v>
      </c>
      <c r="H16" s="2">
        <f t="shared" si="0"/>
        <v>0.13903656672837283</v>
      </c>
      <c r="I16" s="2">
        <f>VLOOKUP(A16,[92]WRDS!$A$1:$O$100,10,FALSE)/100</f>
        <v>3.0299999999999997E-2</v>
      </c>
      <c r="J16" s="2">
        <f>VLOOKUP(A16,[92]WRDS!$A$1:$O$100,9,FALSE)/100</f>
        <v>2.6000000000000002E-2</v>
      </c>
      <c r="K16" s="2">
        <f t="shared" si="1"/>
        <v>-0.78207171887957194</v>
      </c>
      <c r="L16" s="2">
        <f t="shared" si="2"/>
        <v>-0.81299883468214096</v>
      </c>
      <c r="M16">
        <f>VLOOKUP(A16,[92]WRDS!$A$1:$O$100,8,FALSE)</f>
        <v>6</v>
      </c>
      <c r="N16">
        <f>VLOOKUP(A16,[92]WRDS!$A$1:$O$100,11,FALSE)</f>
        <v>1.24</v>
      </c>
    </row>
    <row r="17" spans="1:14" x14ac:dyDescent="0.3">
      <c r="A17" t="s">
        <v>78</v>
      </c>
      <c r="B17" t="str">
        <f>VLOOKUP(A17,[91]WRDS!$A$1:$N$100,2,FALSE)</f>
        <v>NU</v>
      </c>
      <c r="C17" t="str">
        <f>VLOOKUP(A17,[91]WRDS!$A$1:$N$100,3,FALSE)</f>
        <v>NORTHEAST UTILS</v>
      </c>
      <c r="D17">
        <f>VLOOKUP(A17,[91]WRDS!$A$1:$N$100,13,FALSE)</f>
        <v>0.59</v>
      </c>
      <c r="E17">
        <f>VLOOKUP(A17,[75]WRDS!$A$1:$N$100,13,FALSE)</f>
        <v>1.54</v>
      </c>
      <c r="F17" s="1">
        <f t="shared" si="3"/>
        <v>0.60452825989206438</v>
      </c>
      <c r="G17" s="1">
        <f t="shared" si="4"/>
        <v>0.63863497439999994</v>
      </c>
      <c r="H17" s="2">
        <f t="shared" si="0"/>
        <v>0.27106329409631669</v>
      </c>
      <c r="I17" s="2">
        <f>VLOOKUP(A17,[92]WRDS!$A$1:$O$100,10,FALSE)/100</f>
        <v>6.0999999999999995E-3</v>
      </c>
      <c r="J17" s="2">
        <f>VLOOKUP(A17,[92]WRDS!$A$1:$O$100,9,FALSE)/100</f>
        <v>0.02</v>
      </c>
      <c r="K17" s="2">
        <f t="shared" si="1"/>
        <v>-0.9774960308796643</v>
      </c>
      <c r="L17" s="2">
        <f t="shared" si="2"/>
        <v>-0.92621649468742373</v>
      </c>
      <c r="M17">
        <f>VLOOKUP(A17,[92]WRDS!$A$1:$O$100,8,FALSE)</f>
        <v>12</v>
      </c>
      <c r="N17">
        <f>VLOOKUP(A17,[92]WRDS!$A$1:$O$100,11,FALSE)</f>
        <v>2.83</v>
      </c>
    </row>
    <row r="18" spans="1:14" x14ac:dyDescent="0.3">
      <c r="A18" t="s">
        <v>44</v>
      </c>
      <c r="B18" t="str">
        <f>VLOOKUP(A18,[91]WRDS!$A$1:$N$100,2,FALSE)</f>
        <v>OGE</v>
      </c>
      <c r="C18" t="str">
        <f>VLOOKUP(A18,[91]WRDS!$A$1:$N$100,3,FALSE)</f>
        <v>OKLAHOMA G&amp;E</v>
      </c>
      <c r="D18">
        <f>VLOOKUP(A18,[91]WRDS!$A$1:$N$100,13,FALSE)</f>
        <v>0.8125</v>
      </c>
      <c r="E18">
        <f>VLOOKUP(A18,[75]WRDS!$A$1:$N$100,13,FALSE)</f>
        <v>0.94499999999999995</v>
      </c>
      <c r="F18" s="1">
        <f t="shared" si="3"/>
        <v>0.88154731221814508</v>
      </c>
      <c r="G18" s="1">
        <f t="shared" si="4"/>
        <v>0.88466094207973855</v>
      </c>
      <c r="H18" s="2">
        <f t="shared" si="0"/>
        <v>3.8489499767571322E-2</v>
      </c>
      <c r="I18" s="2">
        <f>VLOOKUP(A18,[92]WRDS!$A$1:$O$100,10,FALSE)/100</f>
        <v>2.06E-2</v>
      </c>
      <c r="J18" s="2">
        <f>VLOOKUP(A18,[92]WRDS!$A$1:$O$100,9,FALSE)/100</f>
        <v>2.1499999999999998E-2</v>
      </c>
      <c r="K18" s="2">
        <f t="shared" si="1"/>
        <v>-0.46478909509350957</v>
      </c>
      <c r="L18" s="2">
        <f t="shared" si="2"/>
        <v>-0.44140609439371148</v>
      </c>
      <c r="M18">
        <f>VLOOKUP(A18,[92]WRDS!$A$1:$O$100,8,FALSE)</f>
        <v>10</v>
      </c>
      <c r="N18">
        <f>VLOOKUP(A18,[92]WRDS!$A$1:$O$100,11,FALSE)</f>
        <v>0.91</v>
      </c>
    </row>
    <row r="19" spans="1:14" x14ac:dyDescent="0.3">
      <c r="A19" t="s">
        <v>69</v>
      </c>
      <c r="B19" t="str">
        <f>VLOOKUP(A19,[91]WRDS!$A$1:$N$100,2,FALSE)</f>
        <v>OTTR</v>
      </c>
      <c r="C19" t="str">
        <f>VLOOKUP(A19,[91]WRDS!$A$1:$N$100,3,FALSE)</f>
        <v>OTTER TAIL PWR</v>
      </c>
      <c r="D19">
        <f>VLOOKUP(A19,[91]WRDS!$A$1:$N$100,13,FALSE)</f>
        <v>1.23</v>
      </c>
      <c r="E19">
        <f>VLOOKUP(A19,[75]WRDS!$A$1:$N$100,13,FALSE)</f>
        <v>1.6</v>
      </c>
      <c r="F19" s="1">
        <f t="shared" si="3"/>
        <v>1.3843758362999998</v>
      </c>
      <c r="G19" s="1">
        <f t="shared" si="4"/>
        <v>1.3843758362999998</v>
      </c>
      <c r="H19" s="2">
        <f t="shared" si="0"/>
        <v>6.7956879758917177E-2</v>
      </c>
      <c r="I19" s="2">
        <f>VLOOKUP(A19,[92]WRDS!$A$1:$O$100,10,FALSE)/100</f>
        <v>0.03</v>
      </c>
      <c r="J19" s="2">
        <f>VLOOKUP(A19,[92]WRDS!$A$1:$O$100,9,FALSE)/100</f>
        <v>0.03</v>
      </c>
      <c r="K19" s="2">
        <f t="shared" si="1"/>
        <v>-0.55854359254828123</v>
      </c>
      <c r="L19" s="2">
        <f t="shared" si="2"/>
        <v>-0.55854359254828123</v>
      </c>
      <c r="M19">
        <f>VLOOKUP(A19,[92]WRDS!$A$1:$O$100,8,FALSE)</f>
        <v>1</v>
      </c>
      <c r="N19">
        <f>VLOOKUP(A19,[92]WRDS!$A$1:$O$100,11,FALSE)</f>
        <v>0</v>
      </c>
    </row>
    <row r="20" spans="1:14" x14ac:dyDescent="0.3">
      <c r="A20" t="s">
        <v>46</v>
      </c>
      <c r="B20" t="str">
        <f>VLOOKUP(A20,[91]WRDS!$A$1:$N$100,2,FALSE)</f>
        <v>PEG</v>
      </c>
      <c r="C20" t="str">
        <f>VLOOKUP(A20,[91]WRDS!$A$1:$N$100,3,FALSE)</f>
        <v>PUB SVC ENTERS</v>
      </c>
      <c r="D20">
        <f>VLOOKUP(A20,[91]WRDS!$A$1:$N$100,13,FALSE)</f>
        <v>1.33</v>
      </c>
      <c r="E20">
        <f>VLOOKUP(A20,[75]WRDS!$A$1:$N$100,13,FALSE)</f>
        <v>1.7749999999999999</v>
      </c>
      <c r="F20" s="1">
        <f t="shared" si="3"/>
        <v>1.4515272524044764</v>
      </c>
      <c r="G20" s="1">
        <f t="shared" si="4"/>
        <v>1.4396347728000001</v>
      </c>
      <c r="H20" s="2">
        <f t="shared" si="0"/>
        <v>7.4822326422700591E-2</v>
      </c>
      <c r="I20" s="2">
        <f>VLOOKUP(A20,[92]WRDS!$A$1:$O$100,10,FALSE)/100</f>
        <v>2.2099999999999998E-2</v>
      </c>
      <c r="J20" s="2">
        <f>VLOOKUP(A20,[92]WRDS!$A$1:$O$100,9,FALSE)/100</f>
        <v>0.02</v>
      </c>
      <c r="K20" s="2">
        <f t="shared" si="1"/>
        <v>-0.70463361597247798</v>
      </c>
      <c r="L20" s="2">
        <f t="shared" si="2"/>
        <v>-0.73270010495246862</v>
      </c>
      <c r="M20">
        <f>VLOOKUP(A20,[92]WRDS!$A$1:$O$100,8,FALSE)</f>
        <v>14</v>
      </c>
      <c r="N20">
        <f>VLOOKUP(A20,[92]WRDS!$A$1:$O$100,11,FALSE)</f>
        <v>0.92</v>
      </c>
    </row>
    <row r="21" spans="1:14" x14ac:dyDescent="0.3">
      <c r="A21" t="s">
        <v>74</v>
      </c>
      <c r="B21" t="str">
        <f>VLOOKUP(A21,[91]WRDS!$A$1:$N$100,2,FALSE)</f>
        <v>PGN</v>
      </c>
      <c r="C21" t="str">
        <f>VLOOKUP(A21,[91]WRDS!$A$1:$N$100,3,FALSE)</f>
        <v>PORTLAND GEN CP</v>
      </c>
      <c r="D21">
        <f>VLOOKUP(A21,[91]WRDS!$A$1:$N$100,13,FALSE)</f>
        <v>3</v>
      </c>
      <c r="E21">
        <f>VLOOKUP(A21,[75]WRDS!$A$1:$N$100,13,FALSE)</f>
        <v>3.82</v>
      </c>
      <c r="F21" s="1">
        <f t="shared" si="3"/>
        <v>3.4518916844902807</v>
      </c>
      <c r="G21" s="1">
        <f t="shared" si="4"/>
        <v>3.5095756800000006</v>
      </c>
      <c r="H21" s="2">
        <f t="shared" si="0"/>
        <v>6.2271493226057073E-2</v>
      </c>
      <c r="I21" s="2">
        <f>VLOOKUP(A21,[92]WRDS!$A$1:$O$100,10,FALSE)/100</f>
        <v>3.5699999999999996E-2</v>
      </c>
      <c r="J21" s="2">
        <f>VLOOKUP(A21,[92]WRDS!$A$1:$O$100,9,FALSE)/100</f>
        <v>0.04</v>
      </c>
      <c r="K21" s="2">
        <f t="shared" si="1"/>
        <v>-0.42670396756984175</v>
      </c>
      <c r="L21" s="2">
        <f t="shared" si="2"/>
        <v>-0.35765150427993464</v>
      </c>
      <c r="M21">
        <f>VLOOKUP(A21,[92]WRDS!$A$1:$O$100,8,FALSE)</f>
        <v>9</v>
      </c>
      <c r="N21">
        <f>VLOOKUP(A21,[92]WRDS!$A$1:$O$100,11,FALSE)</f>
        <v>1.49</v>
      </c>
    </row>
    <row r="22" spans="1:14" x14ac:dyDescent="0.3">
      <c r="A22" t="s">
        <v>47</v>
      </c>
      <c r="B22" t="str">
        <f>VLOOKUP(A22,[91]WRDS!$A$1:$N$100,2,FALSE)</f>
        <v>PNM</v>
      </c>
      <c r="C22" t="str">
        <f>VLOOKUP(A22,[91]WRDS!$A$1:$N$100,3,FALSE)</f>
        <v>PUB SVC N MEX</v>
      </c>
      <c r="D22">
        <f>VLOOKUP(A22,[91]WRDS!$A$1:$N$100,13,FALSE)</f>
        <v>1.1133</v>
      </c>
      <c r="E22">
        <f>VLOOKUP(A22,[75]WRDS!$A$1:$N$100,13,FALSE)</f>
        <v>1.7</v>
      </c>
      <c r="F22" s="1">
        <f t="shared" si="3"/>
        <v>1.3630444837172275</v>
      </c>
      <c r="G22" s="1">
        <f t="shared" si="4"/>
        <v>1.3276309580758119</v>
      </c>
      <c r="H22" s="2">
        <f t="shared" si="0"/>
        <v>0.11162723391244422</v>
      </c>
      <c r="I22" s="2">
        <f>VLOOKUP(A22,[92]WRDS!$A$1:$O$100,10,FALSE)/100</f>
        <v>5.1900000000000002E-2</v>
      </c>
      <c r="J22" s="2">
        <f>VLOOKUP(A22,[92]WRDS!$A$1:$O$100,9,FALSE)/100</f>
        <v>4.4999999999999998E-2</v>
      </c>
      <c r="K22" s="2">
        <f t="shared" si="1"/>
        <v>-0.53505969662646835</v>
      </c>
      <c r="L22" s="2">
        <f t="shared" si="2"/>
        <v>-0.59687256932930777</v>
      </c>
      <c r="M22">
        <f>VLOOKUP(A22,[92]WRDS!$A$1:$O$100,8,FALSE)</f>
        <v>8</v>
      </c>
      <c r="N22">
        <f>VLOOKUP(A22,[92]WRDS!$A$1:$O$100,11,FALSE)</f>
        <v>3.27</v>
      </c>
    </row>
    <row r="23" spans="1:14" x14ac:dyDescent="0.3">
      <c r="A23" t="s">
        <v>48</v>
      </c>
      <c r="B23" t="str">
        <f>VLOOKUP(A23,[91]WRDS!$A$1:$N$100,2,FALSE)</f>
        <v>AZP</v>
      </c>
      <c r="C23" t="str">
        <f>VLOOKUP(A23,[91]WRDS!$A$1:$N$100,3,FALSE)</f>
        <v>PINNACLE WST CAP</v>
      </c>
      <c r="D23">
        <f>VLOOKUP(A23,[91]WRDS!$A$1:$N$100,13,FALSE)</f>
        <v>2.41</v>
      </c>
      <c r="E23">
        <f>VLOOKUP(A23,[75]WRDS!$A$1:$N$100,13,FALSE)</f>
        <v>3.57</v>
      </c>
      <c r="F23" s="1">
        <f t="shared" si="3"/>
        <v>3.0253839040911013</v>
      </c>
      <c r="G23" s="1">
        <f t="shared" si="4"/>
        <v>3.0425694736000009</v>
      </c>
      <c r="H23" s="2">
        <f t="shared" si="0"/>
        <v>0.10322169417276372</v>
      </c>
      <c r="I23" s="2">
        <f>VLOOKUP(A23,[92]WRDS!$A$1:$O$100,10,FALSE)/100</f>
        <v>5.8499999999999996E-2</v>
      </c>
      <c r="J23" s="2">
        <f>VLOOKUP(A23,[92]WRDS!$A$1:$O$100,9,FALSE)/100</f>
        <v>0.06</v>
      </c>
      <c r="K23" s="2">
        <f t="shared" si="1"/>
        <v>-0.43325867232824472</v>
      </c>
      <c r="L23" s="2">
        <f t="shared" si="2"/>
        <v>-0.41872684341358435</v>
      </c>
      <c r="M23">
        <f>VLOOKUP(A23,[92]WRDS!$A$1:$O$100,8,FALSE)</f>
        <v>12</v>
      </c>
      <c r="N23">
        <f>VLOOKUP(A23,[92]WRDS!$A$1:$O$100,11,FALSE)</f>
        <v>1.85</v>
      </c>
    </row>
    <row r="24" spans="1:14" x14ac:dyDescent="0.3">
      <c r="A24" t="s">
        <v>49</v>
      </c>
      <c r="B24" t="str">
        <f>VLOOKUP(A24,[91]WRDS!$A$1:$N$100,2,FALSE)</f>
        <v>POM</v>
      </c>
      <c r="C24" t="str">
        <f>VLOOKUP(A24,[91]WRDS!$A$1:$N$100,3,FALSE)</f>
        <v>POTOMAC ELEC</v>
      </c>
      <c r="D24">
        <f>VLOOKUP(A24,[91]WRDS!$A$1:$N$100,13,FALSE)</f>
        <v>1.86</v>
      </c>
      <c r="E24">
        <f>VLOOKUP(A24,[75]WRDS!$A$1:$N$100,13,FALSE)</f>
        <v>1.59</v>
      </c>
      <c r="F24" s="1">
        <f t="shared" si="3"/>
        <v>2.0117452044698525</v>
      </c>
      <c r="G24" s="1">
        <f t="shared" si="4"/>
        <v>2.0133238175999999</v>
      </c>
      <c r="H24" s="2">
        <f t="shared" si="0"/>
        <v>-3.8451831412503523E-2</v>
      </c>
      <c r="I24" s="2">
        <f>VLOOKUP(A24,[92]WRDS!$A$1:$O$100,10,FALSE)/100</f>
        <v>1.9799999999999998E-2</v>
      </c>
      <c r="J24" s="2">
        <f>VLOOKUP(A24,[92]WRDS!$A$1:$O$100,9,FALSE)/100</f>
        <v>0.02</v>
      </c>
      <c r="K24" s="2">
        <f t="shared" si="1"/>
        <v>1.51492995970958</v>
      </c>
      <c r="L24" s="2">
        <f t="shared" si="2"/>
        <v>1.5201312724339193</v>
      </c>
      <c r="M24">
        <f>VLOOKUP(A24,[92]WRDS!$A$1:$O$100,8,FALSE)</f>
        <v>11</v>
      </c>
      <c r="N24">
        <f>VLOOKUP(A24,[92]WRDS!$A$1:$O$100,11,FALSE)</f>
        <v>1.86</v>
      </c>
    </row>
    <row r="25" spans="1:14" x14ac:dyDescent="0.3">
      <c r="A25" t="s">
        <v>51</v>
      </c>
      <c r="B25" t="str">
        <f>VLOOKUP(A25,[91]WRDS!$A$1:$N$100,2,FALSE)</f>
        <v>PPL</v>
      </c>
      <c r="C25" t="str">
        <f>VLOOKUP(A25,[91]WRDS!$A$1:$N$100,3,FALSE)</f>
        <v>PP&amp;L RESOURCES</v>
      </c>
      <c r="D25">
        <f>VLOOKUP(A25,[91]WRDS!$A$1:$N$100,13,FALSE)</f>
        <v>1.0449999999999999</v>
      </c>
      <c r="E25">
        <f>VLOOKUP(A25,[75]WRDS!$A$1:$N$100,13,FALSE)</f>
        <v>1.655</v>
      </c>
      <c r="F25" s="1">
        <f t="shared" si="3"/>
        <v>1.2215620801265041</v>
      </c>
      <c r="G25" s="1">
        <f t="shared" si="4"/>
        <v>1.1311416071999998</v>
      </c>
      <c r="H25" s="2">
        <f t="shared" si="0"/>
        <v>0.12181289265333484</v>
      </c>
      <c r="I25" s="2">
        <f>VLOOKUP(A25,[92]WRDS!$A$1:$O$100,10,FALSE)/100</f>
        <v>3.9800000000000002E-2</v>
      </c>
      <c r="J25" s="2">
        <f>VLOOKUP(A25,[92]WRDS!$A$1:$O$100,9,FALSE)/100</f>
        <v>0.02</v>
      </c>
      <c r="K25" s="2">
        <f t="shared" si="1"/>
        <v>-0.67326939593113411</v>
      </c>
      <c r="L25" s="2">
        <f t="shared" si="2"/>
        <v>-0.83581376679956487</v>
      </c>
      <c r="M25">
        <f>VLOOKUP(A25,[92]WRDS!$A$1:$O$100,8,FALSE)</f>
        <v>13</v>
      </c>
      <c r="N25">
        <f>VLOOKUP(A25,[92]WRDS!$A$1:$O$100,11,FALSE)</f>
        <v>5.05</v>
      </c>
    </row>
    <row r="26" spans="1:14" x14ac:dyDescent="0.3">
      <c r="A26" t="s">
        <v>91</v>
      </c>
      <c r="B26" t="str">
        <f>VLOOKUP(A26,[91]WRDS!$A$1:$N$100,2,FALSE)</f>
        <v>PSD</v>
      </c>
      <c r="C26" t="str">
        <f>VLOOKUP(A26,[91]WRDS!$A$1:$N$100,3,FALSE)</f>
        <v>PUGET SOUND P&amp;L</v>
      </c>
      <c r="D26">
        <f>VLOOKUP(A26,[91]WRDS!$A$1:$N$100,13,FALSE)</f>
        <v>1.89</v>
      </c>
      <c r="E26">
        <f>VLOOKUP(A26,[75]WRDS!$A$1:$N$100,13,FALSE)</f>
        <v>2.16</v>
      </c>
      <c r="F26" s="1">
        <f t="shared" si="3"/>
        <v>2.108274861040635</v>
      </c>
      <c r="G26" s="1">
        <f t="shared" si="4"/>
        <v>2.0457967824000001</v>
      </c>
      <c r="H26" s="2">
        <f t="shared" si="0"/>
        <v>3.3946307914341167E-2</v>
      </c>
      <c r="I26" s="2">
        <f>VLOOKUP(A26,[92]WRDS!$A$1:$O$100,10,FALSE)/100</f>
        <v>2.7699999999999999E-2</v>
      </c>
      <c r="J26" s="2">
        <f>VLOOKUP(A26,[92]WRDS!$A$1:$O$100,9,FALSE)/100</f>
        <v>0.02</v>
      </c>
      <c r="K26" s="2">
        <f t="shared" si="1"/>
        <v>-0.18400551630247583</v>
      </c>
      <c r="L26" s="2">
        <f t="shared" si="2"/>
        <v>-0.41083430779962149</v>
      </c>
      <c r="M26">
        <f>VLOOKUP(A26,[92]WRDS!$A$1:$O$100,8,FALSE)</f>
        <v>7</v>
      </c>
      <c r="N26">
        <f>VLOOKUP(A26,[92]WRDS!$A$1:$O$100,11,FALSE)</f>
        <v>1.85</v>
      </c>
    </row>
    <row r="27" spans="1:14" x14ac:dyDescent="0.3">
      <c r="A27" t="s">
        <v>52</v>
      </c>
      <c r="B27" t="str">
        <f>VLOOKUP(A27,[91]WRDS!$A$1:$N$100,2,FALSE)</f>
        <v>SCG</v>
      </c>
      <c r="C27" t="str">
        <f>VLOOKUP(A27,[91]WRDS!$A$1:$N$100,3,FALSE)</f>
        <v>SCANA CP</v>
      </c>
      <c r="D27">
        <f>VLOOKUP(A27,[91]WRDS!$A$1:$N$100,13,FALSE)</f>
        <v>2</v>
      </c>
      <c r="E27">
        <f>VLOOKUP(A27,[75]WRDS!$A$1:$N$100,13,FALSE)</f>
        <v>2.12</v>
      </c>
      <c r="F27" s="1">
        <f t="shared" si="3"/>
        <v>2.3298340105610071</v>
      </c>
      <c r="G27" s="1">
        <f t="shared" si="4"/>
        <v>2.3397171200000004</v>
      </c>
      <c r="H27" s="2">
        <f t="shared" si="0"/>
        <v>1.4673846168659299E-2</v>
      </c>
      <c r="I27" s="2">
        <f>VLOOKUP(A27,[92]WRDS!$A$1:$O$100,10,FALSE)/100</f>
        <v>3.8900000000000004E-2</v>
      </c>
      <c r="J27" s="2">
        <f>VLOOKUP(A27,[92]WRDS!$A$1:$O$100,9,FALSE)/100</f>
        <v>0.04</v>
      </c>
      <c r="K27" s="2">
        <f t="shared" si="1"/>
        <v>1.6509750445035618</v>
      </c>
      <c r="L27" s="2">
        <f t="shared" si="2"/>
        <v>1.7259383491039193</v>
      </c>
      <c r="M27">
        <f>VLOOKUP(A27,[92]WRDS!$A$1:$O$100,8,FALSE)</f>
        <v>10</v>
      </c>
      <c r="N27">
        <f>VLOOKUP(A27,[92]WRDS!$A$1:$O$100,11,FALSE)</f>
        <v>1</v>
      </c>
    </row>
    <row r="28" spans="1:14" x14ac:dyDescent="0.3">
      <c r="A28" t="s">
        <v>53</v>
      </c>
      <c r="B28" t="str">
        <f>VLOOKUP(A28,[91]WRDS!$A$1:$N$100,2,FALSE)</f>
        <v>SO</v>
      </c>
      <c r="C28" t="str">
        <f>VLOOKUP(A28,[91]WRDS!$A$1:$N$100,3,FALSE)</f>
        <v>SOUTHN CO</v>
      </c>
      <c r="D28">
        <f>VLOOKUP(A28,[91]WRDS!$A$1:$N$100,13,FALSE)</f>
        <v>1.68</v>
      </c>
      <c r="E28">
        <f>VLOOKUP(A28,[75]WRDS!$A$1:$N$100,13,FALSE)</f>
        <v>2.13</v>
      </c>
      <c r="F28" s="1">
        <f t="shared" si="3"/>
        <v>1.951791309305674</v>
      </c>
      <c r="G28" s="1">
        <f t="shared" si="4"/>
        <v>1.9653623808000003</v>
      </c>
      <c r="H28" s="2">
        <f t="shared" si="0"/>
        <v>6.112752601164928E-2</v>
      </c>
      <c r="I28" s="2">
        <f>VLOOKUP(A28,[92]WRDS!$A$1:$O$100,10,FALSE)/100</f>
        <v>3.8199999999999998E-2</v>
      </c>
      <c r="J28" s="2">
        <f>VLOOKUP(A28,[92]WRDS!$A$1:$O$100,9,FALSE)/100</f>
        <v>0.04</v>
      </c>
      <c r="K28" s="2">
        <f t="shared" si="1"/>
        <v>-0.37507694990436724</v>
      </c>
      <c r="L28" s="2">
        <f t="shared" si="2"/>
        <v>-0.3456303140359866</v>
      </c>
      <c r="M28">
        <f>VLOOKUP(A28,[92]WRDS!$A$1:$O$100,8,FALSE)</f>
        <v>15</v>
      </c>
      <c r="N28">
        <f>VLOOKUP(A28,[92]WRDS!$A$1:$O$100,11,FALSE)</f>
        <v>0.9</v>
      </c>
    </row>
    <row r="29" spans="1:14" x14ac:dyDescent="0.3">
      <c r="A29" t="s">
        <v>75</v>
      </c>
      <c r="B29" t="str">
        <f>VLOOKUP(A29,[91]WRDS!$A$1:$N$100,2,FALSE)</f>
        <v>TE</v>
      </c>
      <c r="C29" t="str">
        <f>VLOOKUP(A29,[91]WRDS!$A$1:$N$100,3,FALSE)</f>
        <v>TECO ENERGY INC</v>
      </c>
      <c r="D29">
        <f>VLOOKUP(A29,[91]WRDS!$A$1:$N$100,13,FALSE)</f>
        <v>1.71</v>
      </c>
      <c r="E29">
        <f>VLOOKUP(A29,[75]WRDS!$A$1:$N$100,13,FALSE)</f>
        <v>1.99</v>
      </c>
      <c r="F29" s="1">
        <f t="shared" si="3"/>
        <v>2.0532931876355303</v>
      </c>
      <c r="G29" s="1">
        <f t="shared" si="4"/>
        <v>2.0785156874999999</v>
      </c>
      <c r="H29" s="2">
        <f t="shared" si="0"/>
        <v>3.8638080580094325E-2</v>
      </c>
      <c r="I29" s="2">
        <f>VLOOKUP(A29,[92]WRDS!$A$1:$O$100,10,FALSE)/100</f>
        <v>4.6799999999999994E-2</v>
      </c>
      <c r="J29" s="2">
        <f>VLOOKUP(A29,[92]WRDS!$A$1:$O$100,9,FALSE)/100</f>
        <v>0.05</v>
      </c>
      <c r="K29" s="2">
        <f t="shared" si="1"/>
        <v>0.21124029189251575</v>
      </c>
      <c r="L29" s="2">
        <f t="shared" si="2"/>
        <v>0.29406014091080768</v>
      </c>
      <c r="M29">
        <f>VLOOKUP(A29,[92]WRDS!$A$1:$O$100,8,FALSE)</f>
        <v>15</v>
      </c>
      <c r="N29">
        <f>VLOOKUP(A29,[92]WRDS!$A$1:$O$100,11,FALSE)</f>
        <v>0.99</v>
      </c>
    </row>
    <row r="30" spans="1:14" x14ac:dyDescent="0.3">
      <c r="A30" t="s">
        <v>79</v>
      </c>
      <c r="B30" t="str">
        <f>VLOOKUP(A30,[91]WRDS!$A$1:$N$100,2,FALSE)</f>
        <v>UIL</v>
      </c>
      <c r="C30" t="str">
        <f>VLOOKUP(A30,[91]WRDS!$A$1:$N$100,3,FALSE)</f>
        <v>UTD ILLUM COO</v>
      </c>
      <c r="D30">
        <f>VLOOKUP(A30,[91]WRDS!$A$1:$N$100,13,FALSE)</f>
        <v>2.1840000000000002</v>
      </c>
      <c r="E30">
        <f>VLOOKUP(A30,[75]WRDS!$A$1:$N$100,13,FALSE)</f>
        <v>2.556</v>
      </c>
      <c r="F30" s="1">
        <f t="shared" si="3"/>
        <v>2.5061902333649995</v>
      </c>
      <c r="G30" s="1">
        <f t="shared" si="4"/>
        <v>2.4581112410400001</v>
      </c>
      <c r="H30" s="2">
        <f t="shared" si="0"/>
        <v>4.0104688033748559E-2</v>
      </c>
      <c r="I30" s="2">
        <f>VLOOKUP(A30,[92]WRDS!$A$1:$O$100,10,FALSE)/100</f>
        <v>3.5000000000000003E-2</v>
      </c>
      <c r="J30" s="2">
        <f>VLOOKUP(A30,[92]WRDS!$A$1:$O$100,9,FALSE)/100</f>
        <v>0.03</v>
      </c>
      <c r="K30" s="2">
        <f t="shared" si="1"/>
        <v>-0.12728407286083118</v>
      </c>
      <c r="L30" s="2">
        <f t="shared" si="2"/>
        <v>-0.25195777673785541</v>
      </c>
      <c r="M30">
        <f>VLOOKUP(A30,[92]WRDS!$A$1:$O$100,8,FALSE)</f>
        <v>4</v>
      </c>
      <c r="N30">
        <f>VLOOKUP(A30,[92]WRDS!$A$1:$O$100,11,FALSE)</f>
        <v>1</v>
      </c>
    </row>
    <row r="31" spans="1:14" x14ac:dyDescent="0.3">
      <c r="A31" t="s">
        <v>55</v>
      </c>
      <c r="B31" t="str">
        <f>VLOOKUP(A31,[91]WRDS!$A$1:$N$100,2,FALSE)</f>
        <v>WPC</v>
      </c>
      <c r="C31" t="str">
        <f>VLOOKUP(A31,[91]WRDS!$A$1:$N$100,3,FALSE)</f>
        <v>WISCONSIN ENERGY</v>
      </c>
      <c r="D31">
        <f>VLOOKUP(A31,[91]WRDS!$A$1:$N$100,13,FALSE)</f>
        <v>0.98499999999999999</v>
      </c>
      <c r="E31">
        <f>VLOOKUP(A31,[75]WRDS!$A$1:$N$100,13,FALSE)</f>
        <v>0.86</v>
      </c>
      <c r="F31" s="1">
        <f t="shared" si="3"/>
        <v>1.1483270885968553</v>
      </c>
      <c r="G31" s="1">
        <f t="shared" si="4"/>
        <v>1.1303101556156248</v>
      </c>
      <c r="H31" s="2">
        <f t="shared" si="0"/>
        <v>-3.3358235607845232E-2</v>
      </c>
      <c r="I31" s="2">
        <f>VLOOKUP(A31,[92]WRDS!$A$1:$O$100,10,FALSE)/100</f>
        <v>3.9100000000000003E-2</v>
      </c>
      <c r="J31" s="2">
        <f>VLOOKUP(A31,[92]WRDS!$A$1:$O$100,9,FALSE)/100</f>
        <v>3.5000000000000003E-2</v>
      </c>
      <c r="K31" s="2">
        <f t="shared" si="1"/>
        <v>2.172124343135355</v>
      </c>
      <c r="L31" s="2">
        <f t="shared" si="2"/>
        <v>2.0492161639319035</v>
      </c>
      <c r="M31">
        <f>VLOOKUP(A31,[92]WRDS!$A$1:$O$100,8,FALSE)</f>
        <v>14</v>
      </c>
      <c r="N31">
        <f>VLOOKUP(A31,[92]WRDS!$A$1:$O$100,11,FALSE)</f>
        <v>1.61</v>
      </c>
    </row>
    <row r="32" spans="1:14" x14ac:dyDescent="0.3">
      <c r="A32" t="s">
        <v>95</v>
      </c>
      <c r="B32" t="str">
        <f>VLOOKUP(A32,[91]WRDS!$A$1:$N$100,2,FALSE)</f>
        <v>WPS</v>
      </c>
      <c r="C32" t="str">
        <f>VLOOKUP(A32,[91]WRDS!$A$1:$N$100,3,FALSE)</f>
        <v>WPS RESOURCES CP</v>
      </c>
      <c r="D32">
        <f>VLOOKUP(A32,[91]WRDS!$A$1:$N$100,13,FALSE)</f>
        <v>2.35</v>
      </c>
      <c r="E32">
        <f>VLOOKUP(A32,[75]WRDS!$A$1:$N$100,13,FALSE)</f>
        <v>2.5299999999999998</v>
      </c>
      <c r="F32" s="1">
        <f t="shared" si="3"/>
        <v>2.6203798106684006</v>
      </c>
      <c r="G32" s="1">
        <f t="shared" si="4"/>
        <v>2.5737739274263491</v>
      </c>
      <c r="H32" s="2">
        <f t="shared" si="0"/>
        <v>1.8622264982909087E-2</v>
      </c>
      <c r="I32" s="2">
        <f>VLOOKUP(A32,[92]WRDS!$A$1:$O$100,10,FALSE)/100</f>
        <v>2.76E-2</v>
      </c>
      <c r="J32" s="2">
        <f>VLOOKUP(A32,[92]WRDS!$A$1:$O$100,9,FALSE)/100</f>
        <v>2.3E-2</v>
      </c>
      <c r="K32" s="2">
        <f t="shared" si="1"/>
        <v>0.4820968354456554</v>
      </c>
      <c r="L32" s="2">
        <f t="shared" si="2"/>
        <v>0.23508069620471281</v>
      </c>
      <c r="M32">
        <f>VLOOKUP(A32,[92]WRDS!$A$1:$O$100,8,FALSE)</f>
        <v>7</v>
      </c>
      <c r="N32">
        <f>VLOOKUP(A32,[92]WRDS!$A$1:$O$100,11,FALSE)</f>
        <v>0.95</v>
      </c>
    </row>
    <row r="33" spans="1:14" x14ac:dyDescent="0.3">
      <c r="A33" t="s">
        <v>64</v>
      </c>
      <c r="B33" t="str">
        <f>VLOOKUP(A33,[91]WRDS!$A$1:$N$100,2,FALSE)</f>
        <v>KAN</v>
      </c>
      <c r="C33" t="str">
        <f>VLOOKUP(A33,[91]WRDS!$A$1:$N$100,3,FALSE)</f>
        <v>WESTN RESOURCES</v>
      </c>
      <c r="D33">
        <f>VLOOKUP(A33,[91]WRDS!$A$1:$N$100,13,FALSE)</f>
        <v>2.6</v>
      </c>
      <c r="E33">
        <f>VLOOKUP(A33,[75]WRDS!$A$1:$N$100,13,FALSE)</f>
        <v>1.97</v>
      </c>
      <c r="F33" s="1">
        <f t="shared" si="3"/>
        <v>2.9331474828085287</v>
      </c>
      <c r="G33" s="1">
        <f t="shared" si="4"/>
        <v>2.9263229059999998</v>
      </c>
      <c r="H33" s="2">
        <f t="shared" si="0"/>
        <v>-6.7018097630949569E-2</v>
      </c>
      <c r="I33" s="2">
        <f>VLOOKUP(A33,[92]WRDS!$A$1:$O$100,10,FALSE)/100</f>
        <v>3.0600000000000002E-2</v>
      </c>
      <c r="J33" s="2">
        <f>VLOOKUP(A33,[92]WRDS!$A$1:$O$100,9,FALSE)/100</f>
        <v>0.03</v>
      </c>
      <c r="K33" s="2">
        <f t="shared" si="1"/>
        <v>1.4565930857737246</v>
      </c>
      <c r="L33" s="2">
        <f t="shared" si="2"/>
        <v>1.4476402801703181</v>
      </c>
      <c r="M33">
        <f>VLOOKUP(A33,[92]WRDS!$A$1:$O$100,8,FALSE)</f>
        <v>9</v>
      </c>
      <c r="N33">
        <f>VLOOKUP(A33,[92]WRDS!$A$1:$O$100,11,FALSE)</f>
        <v>0.81</v>
      </c>
    </row>
    <row r="34" spans="1:14" x14ac:dyDescent="0.3">
      <c r="A34" t="s">
        <v>132</v>
      </c>
      <c r="B34" t="str">
        <f>VLOOKUP(A34,'[5]Ticker List'!$H$4:$I$20,2,FALSE)</f>
        <v>EGAS</v>
      </c>
      <c r="C34" t="str">
        <f>VLOOKUP(A34,[93]elb6lsq2xczghsvs!$B$1:$N$13,2,FALSE)</f>
        <v>ATMOS ENERGY CP</v>
      </c>
      <c r="D34">
        <f>VLOOKUP(A34,[93]elb6lsq2xczghsvs!$B$1:$N$13,12,FALSE)</f>
        <v>1.34</v>
      </c>
      <c r="E34">
        <f>VLOOKUP(A34,'[77]6trjr1hm9rgpjwwm'!$B$1:$N$15,12,FALSE)</f>
        <v>1.47</v>
      </c>
      <c r="F34" s="1">
        <f t="shared" si="3"/>
        <v>1.8915193574000004</v>
      </c>
      <c r="G34" s="1">
        <f t="shared" si="4"/>
        <v>1.8230552064000005</v>
      </c>
      <c r="H34" s="2">
        <f t="shared" si="0"/>
        <v>2.3418195515896967E-2</v>
      </c>
      <c r="I34" s="2">
        <f>VLOOKUP(A34,[94]knh0vluyyx6mxoyo!$B$1:$N$13,9,FALSE)/100</f>
        <v>0.09</v>
      </c>
      <c r="J34" s="2">
        <f>VLOOKUP(A34,[94]knh0vluyyx6mxoyo!$B$1:$N$13,8,FALSE)/100</f>
        <v>0.08</v>
      </c>
      <c r="K34" s="2">
        <f t="shared" si="1"/>
        <v>2.8431654539268547</v>
      </c>
      <c r="L34" s="2">
        <f t="shared" si="2"/>
        <v>2.4161470701572041</v>
      </c>
      <c r="M34">
        <f>VLOOKUP(A34,[94]knh0vluyyx6mxoyo!$B$1:$N$13,7,FALSE)</f>
        <v>6</v>
      </c>
      <c r="N34">
        <f>VLOOKUP(A34,[94]knh0vluyyx6mxoyo!$B$1:$N$13,10,FALSE)</f>
        <v>4.6500000000000004</v>
      </c>
    </row>
    <row r="35" spans="1:14" x14ac:dyDescent="0.3">
      <c r="A35" t="s">
        <v>133</v>
      </c>
      <c r="B35" t="str">
        <f>VLOOKUP(A35,'[5]Ticker List'!$H$4:$I$20,2,FALSE)</f>
        <v>CHPK</v>
      </c>
      <c r="C35" t="str">
        <f>VLOOKUP(A35,[93]elb6lsq2xczghsvs!$B$1:$N$13,2,FALSE)</f>
        <v>CHESAPEAKE UTIL</v>
      </c>
      <c r="D35">
        <f>VLOOKUP(A35,[93]elb6lsq2xczghsvs!$B$1:$N$13,12,FALSE)</f>
        <v>1.2266999999999999</v>
      </c>
      <c r="E35">
        <f>VLOOKUP(A35,'[77]6trjr1hm9rgpjwwm'!$B$1:$N$15,12,FALSE)</f>
        <v>0.92</v>
      </c>
      <c r="F35" s="1">
        <f t="shared" si="3"/>
        <v>1.3806616572269998</v>
      </c>
      <c r="G35" s="1">
        <f t="shared" si="4"/>
        <v>1.3806616572269998</v>
      </c>
      <c r="H35" s="2">
        <f t="shared" si="0"/>
        <v>-6.9401462834410621E-2</v>
      </c>
      <c r="I35" s="2">
        <f>VLOOKUP(A35,[94]knh0vluyyx6mxoyo!$B$1:$N$13,9,FALSE)/100</f>
        <v>0.03</v>
      </c>
      <c r="J35" s="2">
        <f>VLOOKUP(A35,[94]knh0vluyyx6mxoyo!$B$1:$N$13,8,FALSE)/100</f>
        <v>0.03</v>
      </c>
      <c r="K35" s="2">
        <f t="shared" si="1"/>
        <v>1.4322675455930793</v>
      </c>
      <c r="L35" s="2">
        <f t="shared" si="2"/>
        <v>1.4322675455930793</v>
      </c>
      <c r="M35">
        <f>VLOOKUP(A35,[94]knh0vluyyx6mxoyo!$B$1:$N$13,7,FALSE)</f>
        <v>1</v>
      </c>
      <c r="N35">
        <f>VLOOKUP(A35,[94]knh0vluyyx6mxoyo!$B$1:$N$13,10,FALSE)</f>
        <v>0</v>
      </c>
    </row>
    <row r="36" spans="1:14" x14ac:dyDescent="0.3">
      <c r="A36" t="s">
        <v>134</v>
      </c>
      <c r="B36" t="str">
        <f>VLOOKUP(A36,'[5]Ticker List'!$H$4:$I$20,2,FALSE)</f>
        <v>NJR</v>
      </c>
      <c r="C36" t="str">
        <f>VLOOKUP(A36,[93]elb6lsq2xczghsvs!$B$1:$N$13,2,FALSE)</f>
        <v>NEW JERSEY RES</v>
      </c>
      <c r="D36">
        <f>VLOOKUP(A36,[93]elb6lsq2xczghsvs!$B$1:$N$13,12,FALSE)</f>
        <v>0.49109999999999998</v>
      </c>
      <c r="E36">
        <f>VLOOKUP(A36,'[77]6trjr1hm9rgpjwwm'!$B$1:$N$15,12,FALSE)</f>
        <v>0.65110000000000001</v>
      </c>
      <c r="F36" s="1">
        <f t="shared" si="3"/>
        <v>0.59921240861461111</v>
      </c>
      <c r="G36" s="1">
        <f t="shared" si="4"/>
        <v>0.59693511937499999</v>
      </c>
      <c r="H36" s="2">
        <f t="shared" si="0"/>
        <v>7.3048718686837155E-2</v>
      </c>
      <c r="I36" s="2">
        <f>VLOOKUP(A36,[94]knh0vluyyx6mxoyo!$B$1:$N$13,9,FALSE)/100</f>
        <v>5.0999999999999997E-2</v>
      </c>
      <c r="J36" s="2">
        <f>VLOOKUP(A36,[94]knh0vluyyx6mxoyo!$B$1:$N$13,8,FALSE)/100</f>
        <v>0.05</v>
      </c>
      <c r="K36" s="2">
        <f t="shared" si="1"/>
        <v>-0.30183580332683063</v>
      </c>
      <c r="L36" s="2">
        <f t="shared" si="2"/>
        <v>-0.31552529737924567</v>
      </c>
      <c r="M36">
        <f>VLOOKUP(A36,[94]knh0vluyyx6mxoyo!$B$1:$N$13,7,FALSE)</f>
        <v>5</v>
      </c>
      <c r="N36">
        <f>VLOOKUP(A36,[94]knh0vluyyx6mxoyo!$B$1:$N$13,10,FALSE)</f>
        <v>0.22</v>
      </c>
    </row>
    <row r="37" spans="1:14" x14ac:dyDescent="0.3">
      <c r="A37" t="s">
        <v>135</v>
      </c>
      <c r="B37" t="str">
        <f>VLOOKUP(A37,'[5]Ticker List'!$H$4:$I$20,2,FALSE)</f>
        <v>NI</v>
      </c>
      <c r="C37" t="str">
        <f>VLOOKUP(A37,[93]elb6lsq2xczghsvs!$B$1:$N$13,2,FALSE)</f>
        <v>NIPSCO IND INC</v>
      </c>
      <c r="D37">
        <f>VLOOKUP(A37,[93]elb6lsq2xczghsvs!$B$1:$N$13,12,FALSE)</f>
        <v>1.4350000000000001</v>
      </c>
      <c r="E37">
        <f>VLOOKUP(A37,'[77]6trjr1hm9rgpjwwm'!$B$1:$N$15,12,FALSE)</f>
        <v>1.88</v>
      </c>
      <c r="F37" s="1">
        <f t="shared" si="3"/>
        <v>1.7723273873659049</v>
      </c>
      <c r="G37" s="1">
        <f t="shared" si="4"/>
        <v>1.7575790220889607</v>
      </c>
      <c r="H37" s="2">
        <f t="shared" si="0"/>
        <v>6.9858858583766503E-2</v>
      </c>
      <c r="I37" s="2">
        <f>VLOOKUP(A37,[94]knh0vluyyx6mxoyo!$B$1:$N$13,9,FALSE)/100</f>
        <v>5.4199999999999998E-2</v>
      </c>
      <c r="J37" s="2">
        <f>VLOOKUP(A37,[94]knh0vluyyx6mxoyo!$B$1:$N$13,8,FALSE)/100</f>
        <v>5.2000000000000005E-2</v>
      </c>
      <c r="K37" s="2">
        <f t="shared" si="1"/>
        <v>-0.22414993461409405</v>
      </c>
      <c r="L37" s="2">
        <f t="shared" si="2"/>
        <v>-0.25564200368879864</v>
      </c>
      <c r="M37">
        <f>VLOOKUP(A37,[94]knh0vluyyx6mxoyo!$B$1:$N$13,7,FALSE)</f>
        <v>16</v>
      </c>
      <c r="N37">
        <f>VLOOKUP(A37,[94]knh0vluyyx6mxoyo!$B$1:$N$13,10,FALSE)</f>
        <v>0.96</v>
      </c>
    </row>
    <row r="38" spans="1:14" x14ac:dyDescent="0.3">
      <c r="A38" t="s">
        <v>138</v>
      </c>
      <c r="B38" t="str">
        <f>VLOOKUP(A38,'[5]Ticker List'!$H$4:$I$20,2,FALSE)</f>
        <v>SJI</v>
      </c>
      <c r="C38" t="str">
        <f>VLOOKUP(A38,[93]elb6lsq2xczghsvs!$B$1:$N$13,2,FALSE)</f>
        <v>SO JERSEY INDS</v>
      </c>
      <c r="D38">
        <f>VLOOKUP(A38,[93]elb6lsq2xczghsvs!$B$1:$N$13,12,FALSE)</f>
        <v>0.4375</v>
      </c>
      <c r="E38">
        <f>VLOOKUP(A38,'[77]6trjr1hm9rgpjwwm'!$B$1:$N$15,12,FALSE)</f>
        <v>0.54</v>
      </c>
      <c r="F38" s="1">
        <f t="shared" si="3"/>
        <v>0.50204131277343733</v>
      </c>
      <c r="G38" s="1">
        <f t="shared" si="4"/>
        <v>0.50204131277343733</v>
      </c>
      <c r="H38" s="2">
        <f t="shared" si="0"/>
        <v>5.4032314365675349E-2</v>
      </c>
      <c r="I38" s="2">
        <f>VLOOKUP(A38,[94]knh0vluyyx6mxoyo!$B$1:$N$13,9,FALSE)/100</f>
        <v>3.5000000000000003E-2</v>
      </c>
      <c r="J38" s="2">
        <f>VLOOKUP(A38,[94]knh0vluyyx6mxoyo!$B$1:$N$13,8,FALSE)/100</f>
        <v>3.5000000000000003E-2</v>
      </c>
      <c r="K38" s="2">
        <f t="shared" si="1"/>
        <v>-0.35223948093117113</v>
      </c>
      <c r="L38" s="2">
        <f t="shared" si="2"/>
        <v>-0.35223948093117113</v>
      </c>
      <c r="M38">
        <f>VLOOKUP(A38,[94]knh0vluyyx6mxoyo!$B$1:$N$13,7,FALSE)</f>
        <v>2</v>
      </c>
      <c r="N38">
        <f>VLOOKUP(A38,[94]knh0vluyyx6mxoyo!$B$1:$N$13,10,FALSE)</f>
        <v>0.71</v>
      </c>
    </row>
    <row r="39" spans="1:14" x14ac:dyDescent="0.3">
      <c r="A39" t="s">
        <v>139</v>
      </c>
      <c r="B39" t="str">
        <f>VLOOKUP(A39,'[5]Ticker List'!$H$4:$I$20,2,FALSE)</f>
        <v>SWX</v>
      </c>
      <c r="C39" t="str">
        <f>VLOOKUP(A39,[93]elb6lsq2xczghsvs!$B$1:$N$13,2,FALSE)</f>
        <v>SOUTHWEST GAS</v>
      </c>
      <c r="D39">
        <f>VLOOKUP(A39,[93]elb6lsq2xczghsvs!$B$1:$N$13,12,FALSE)</f>
        <v>0.28000000000000003</v>
      </c>
      <c r="E39">
        <f>VLOOKUP(A39,'[77]6trjr1hm9rgpjwwm'!$B$1:$N$15,12,FALSE)</f>
        <v>1.2</v>
      </c>
      <c r="F39" s="1">
        <f t="shared" si="3"/>
        <v>0.34203038480247167</v>
      </c>
      <c r="G39" s="1">
        <f t="shared" si="4"/>
        <v>0.34034175000000005</v>
      </c>
      <c r="H39" s="2">
        <f t="shared" si="0"/>
        <v>0.43881780570962592</v>
      </c>
      <c r="I39" s="2">
        <f>VLOOKUP(A39,[94]knh0vluyyx6mxoyo!$B$1:$N$13,9,FALSE)/100</f>
        <v>5.1299999999999998E-2</v>
      </c>
      <c r="J39" s="2">
        <f>VLOOKUP(A39,[94]knh0vluyyx6mxoyo!$B$1:$N$13,8,FALSE)/100</f>
        <v>0.05</v>
      </c>
      <c r="K39" s="2">
        <f t="shared" si="1"/>
        <v>-0.88309498991946966</v>
      </c>
      <c r="L39" s="2">
        <f t="shared" si="2"/>
        <v>-0.88605749504821607</v>
      </c>
      <c r="M39">
        <f>VLOOKUP(A39,[94]knh0vluyyx6mxoyo!$B$1:$N$13,7,FALSE)</f>
        <v>4</v>
      </c>
      <c r="N39">
        <f>VLOOKUP(A39,[94]knh0vluyyx6mxoyo!$B$1:$N$13,10,FALSE)</f>
        <v>1.84</v>
      </c>
    </row>
    <row r="40" spans="1:14" x14ac:dyDescent="0.3">
      <c r="A40" t="s">
        <v>148</v>
      </c>
      <c r="B40" t="str">
        <f>VLOOKUP(A40,'[5]Ticker List'!$H$4:$I$20,2,FALSE)</f>
        <v>AGLT</v>
      </c>
      <c r="C40" t="str">
        <f>VLOOKUP(A40,[93]elb6lsq2xczghsvs!$B$1:$N$13,2,FALSE)</f>
        <v>AGL RESOURCES</v>
      </c>
      <c r="D40">
        <f>VLOOKUP(A40,[93]elb6lsq2xczghsvs!$B$1:$N$13,12,FALSE)</f>
        <v>1.38</v>
      </c>
      <c r="E40">
        <f>VLOOKUP(A40,'[77]6trjr1hm9rgpjwwm'!$B$1:$N$15,12,FALSE)</f>
        <v>1.5</v>
      </c>
      <c r="F40" s="1">
        <f t="shared" si="3"/>
        <v>1.6710176579053799</v>
      </c>
      <c r="G40" s="1">
        <f t="shared" si="4"/>
        <v>1.6773986249999999</v>
      </c>
      <c r="H40" s="2">
        <f t="shared" si="0"/>
        <v>2.1064185193748752E-2</v>
      </c>
      <c r="I40" s="2">
        <f>VLOOKUP(A40,[94]knh0vluyyx6mxoyo!$B$1:$N$13,9,FALSE)/100</f>
        <v>4.9000000000000002E-2</v>
      </c>
      <c r="J40" s="2">
        <f>VLOOKUP(A40,[94]knh0vluyyx6mxoyo!$B$1:$N$13,8,FALSE)/100</f>
        <v>0.05</v>
      </c>
      <c r="K40" s="2">
        <f t="shared" si="1"/>
        <v>1.3262233762805029</v>
      </c>
      <c r="L40" s="2">
        <f t="shared" si="2"/>
        <v>1.3736973227352072</v>
      </c>
      <c r="M40">
        <f>VLOOKUP(A40,[94]knh0vluyyx6mxoyo!$B$1:$N$13,7,FALSE)</f>
        <v>10</v>
      </c>
      <c r="N40">
        <f>VLOOKUP(A40,[94]knh0vluyyx6mxoyo!$B$1:$N$13,10,FALSE)</f>
        <v>1.29</v>
      </c>
    </row>
    <row r="41" spans="1:14" x14ac:dyDescent="0.3">
      <c r="A41" t="s">
        <v>143</v>
      </c>
      <c r="B41" t="str">
        <f>VLOOKUP(A41,'[5]Ticker List'!$H$4:$I$20,2,FALSE)</f>
        <v>LG</v>
      </c>
      <c r="C41" t="str">
        <f>VLOOKUP(A41,[93]elb6lsq2xczghsvs!$B$1:$N$13,2,FALSE)</f>
        <v>LACLEDE GAS</v>
      </c>
      <c r="D41">
        <f>VLOOKUP(A41,[93]elb6lsq2xczghsvs!$B$1:$N$13,12,FALSE)</f>
        <v>1.84</v>
      </c>
      <c r="E41">
        <f>VLOOKUP(A41,'[77]6trjr1hm9rgpjwwm'!$B$1:$N$15,12,FALSE)</f>
        <v>1.61</v>
      </c>
      <c r="F41" s="1">
        <f t="shared" si="3"/>
        <v>2.1319167636718763</v>
      </c>
      <c r="G41" s="1">
        <f t="shared" si="4"/>
        <v>2.1319167636718763</v>
      </c>
      <c r="H41" s="2">
        <f t="shared" si="0"/>
        <v>-3.2831789866165306E-2</v>
      </c>
      <c r="I41" s="2">
        <f>VLOOKUP(A41,[94]knh0vluyyx6mxoyo!$B$1:$N$13,9,FALSE)/100</f>
        <v>3.7499999999999999E-2</v>
      </c>
      <c r="J41" s="2">
        <f>VLOOKUP(A41,[94]knh0vluyyx6mxoyo!$B$1:$N$13,8,FALSE)/100</f>
        <v>3.7499999999999999E-2</v>
      </c>
      <c r="K41" s="2">
        <f t="shared" si="1"/>
        <v>2.142185672875712</v>
      </c>
      <c r="L41" s="2">
        <f t="shared" si="2"/>
        <v>2.142185672875712</v>
      </c>
      <c r="M41">
        <f>VLOOKUP(A41,[94]knh0vluyyx6mxoyo!$B$1:$N$13,7,FALSE)</f>
        <v>2</v>
      </c>
      <c r="N41">
        <f>VLOOKUP(A41,[94]knh0vluyyx6mxoyo!$B$1:$N$13,10,FALSE)</f>
        <v>1.06</v>
      </c>
    </row>
    <row r="42" spans="1:14" x14ac:dyDescent="0.3">
      <c r="A42" t="s">
        <v>144</v>
      </c>
      <c r="B42" t="str">
        <f>VLOOKUP(A42,'[5]Ticker List'!$H$4:$I$20,2,FALSE)</f>
        <v>GAS</v>
      </c>
      <c r="C42" t="str">
        <f>VLOOKUP(A42,[93]elb6lsq2xczghsvs!$B$1:$N$13,2,FALSE)</f>
        <v>NICOR INC</v>
      </c>
      <c r="D42">
        <f>VLOOKUP(A42,[93]elb6lsq2xczghsvs!$B$1:$N$13,12,FALSE)</f>
        <v>2.41</v>
      </c>
      <c r="E42">
        <f>VLOOKUP(A42,'[77]6trjr1hm9rgpjwwm'!$B$1:$N$15,12,FALSE)</f>
        <v>2.94</v>
      </c>
      <c r="F42" s="1">
        <f t="shared" si="3"/>
        <v>2.950630742619706</v>
      </c>
      <c r="G42" s="1">
        <f t="shared" si="4"/>
        <v>2.9293700625000003</v>
      </c>
      <c r="H42" s="2">
        <f t="shared" si="0"/>
        <v>5.0951252142674708E-2</v>
      </c>
      <c r="I42" s="2">
        <f>VLOOKUP(A42,[94]knh0vluyyx6mxoyo!$B$1:$N$13,9,FALSE)/100</f>
        <v>5.1900000000000002E-2</v>
      </c>
      <c r="J42" s="2">
        <f>VLOOKUP(A42,[94]knh0vluyyx6mxoyo!$B$1:$N$13,8,FALSE)/100</f>
        <v>0.05</v>
      </c>
      <c r="K42" s="2">
        <f t="shared" si="1"/>
        <v>1.8620697577138856E-2</v>
      </c>
      <c r="L42" s="2">
        <f t="shared" si="2"/>
        <v>-1.8669848191581042E-2</v>
      </c>
      <c r="M42">
        <f>VLOOKUP(A42,[94]knh0vluyyx6mxoyo!$B$1:$N$13,7,FALSE)</f>
        <v>8</v>
      </c>
      <c r="N42">
        <f>VLOOKUP(A42,[94]knh0vluyyx6mxoyo!$B$1:$N$13,10,FALSE)</f>
        <v>0.92</v>
      </c>
    </row>
    <row r="43" spans="1:14" x14ac:dyDescent="0.3">
      <c r="A43" t="s">
        <v>146</v>
      </c>
      <c r="B43" t="str">
        <f>VLOOKUP(A43,'[5]Ticker List'!$H$4:$I$20,2,FALSE)</f>
        <v>PNY</v>
      </c>
      <c r="C43" t="str">
        <f>VLOOKUP(A43,[93]elb6lsq2xczghsvs!$B$1:$N$13,2,FALSE)</f>
        <v>PIEDMONT NAT GAS</v>
      </c>
      <c r="D43">
        <f>VLOOKUP(A43,[93]elb6lsq2xczghsvs!$B$1:$N$13,12,FALSE)</f>
        <v>0.90500000000000003</v>
      </c>
      <c r="E43">
        <f>VLOOKUP(A43,'[77]6trjr1hm9rgpjwwm'!$B$1:$N$15,12,FALSE)</f>
        <v>1.01</v>
      </c>
      <c r="F43" s="1">
        <f t="shared" si="3"/>
        <v>1.1598854246604804</v>
      </c>
      <c r="G43" s="1">
        <f t="shared" si="4"/>
        <v>1.1862703890500002</v>
      </c>
      <c r="H43" s="2">
        <f t="shared" si="0"/>
        <v>2.7822684780817397E-2</v>
      </c>
      <c r="I43" s="2">
        <f>VLOOKUP(A43,[94]knh0vluyyx6mxoyo!$B$1:$N$13,9,FALSE)/100</f>
        <v>6.4000000000000001E-2</v>
      </c>
      <c r="J43" s="2">
        <f>VLOOKUP(A43,[94]knh0vluyyx6mxoyo!$B$1:$N$13,8,FALSE)/100</f>
        <v>7.0000000000000007E-2</v>
      </c>
      <c r="K43" s="2">
        <f t="shared" si="1"/>
        <v>1.3002812454722337</v>
      </c>
      <c r="L43" s="2">
        <f t="shared" si="2"/>
        <v>1.5159326122352557</v>
      </c>
      <c r="M43">
        <f>VLOOKUP(A43,[94]knh0vluyyx6mxoyo!$B$1:$N$13,7,FALSE)</f>
        <v>5</v>
      </c>
      <c r="N43">
        <f>VLOOKUP(A43,[94]knh0vluyyx6mxoyo!$B$1:$N$13,10,FALSE)</f>
        <v>1.34</v>
      </c>
    </row>
    <row r="44" spans="1:14" x14ac:dyDescent="0.3">
      <c r="A44" t="s">
        <v>145</v>
      </c>
      <c r="B44" t="str">
        <f>VLOOKUP(A44,'[5]Ticker List'!$H$4:$I$20,2,FALSE)</f>
        <v>WGL</v>
      </c>
      <c r="C44" t="str">
        <f>VLOOKUP(A44,[93]elb6lsq2xczghsvs!$B$1:$N$13,2,FALSE)</f>
        <v>WASH GAS LT</v>
      </c>
      <c r="D44">
        <f>VLOOKUP(A44,[93]elb6lsq2xczghsvs!$B$1:$N$13,12,FALSE)</f>
        <v>1.85</v>
      </c>
      <c r="E44">
        <f>VLOOKUP(A44,'[77]6trjr1hm9rgpjwwm'!$B$1:$N$15,12,FALSE)</f>
        <v>2.02</v>
      </c>
      <c r="F44" s="1">
        <f t="shared" si="3"/>
        <v>2.1700710169825719</v>
      </c>
      <c r="G44" s="1">
        <f t="shared" si="4"/>
        <v>2.1642383360000004</v>
      </c>
      <c r="H44" s="2">
        <f t="shared" si="0"/>
        <v>2.2221262725993896E-2</v>
      </c>
      <c r="I44" s="2">
        <f>VLOOKUP(A44,[94]knh0vluyyx6mxoyo!$B$1:$N$13,9,FALSE)/100</f>
        <v>4.07E-2</v>
      </c>
      <c r="J44" s="2">
        <f>VLOOKUP(A44,[94]knh0vluyyx6mxoyo!$B$1:$N$13,8,FALSE)/100</f>
        <v>0.04</v>
      </c>
      <c r="K44" s="2">
        <f t="shared" si="1"/>
        <v>0.83157908269497771</v>
      </c>
      <c r="L44" s="2">
        <f t="shared" si="2"/>
        <v>0.8000777225503467</v>
      </c>
      <c r="M44">
        <f>VLOOKUP(A44,[94]knh0vluyyx6mxoyo!$B$1:$N$13,7,FALSE)</f>
        <v>7</v>
      </c>
      <c r="N44">
        <f>VLOOKUP(A44,[94]knh0vluyyx6mxoyo!$B$1:$N$13,10,FALSE)</f>
        <v>0.93</v>
      </c>
    </row>
  </sheetData>
  <mergeCells count="3">
    <mergeCell ref="P1:Q1"/>
    <mergeCell ref="P7:Q7"/>
    <mergeCell ref="P13:Q13"/>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3DE45-ECAB-40C6-A05E-06B4B7A29B68}">
  <dimension ref="A1:Q44"/>
  <sheetViews>
    <sheetView workbookViewId="0">
      <selection activeCell="A32" sqref="A32"/>
    </sheetView>
  </sheetViews>
  <sheetFormatPr defaultRowHeight="14.4" x14ac:dyDescent="0.3"/>
  <cols>
    <col min="1" max="1" width="13.33203125" bestFit="1" customWidth="1"/>
    <col min="2" max="2" width="10.44140625" bestFit="1" customWidth="1"/>
    <col min="3" max="3" width="15.109375" bestFit="1" customWidth="1"/>
    <col min="4" max="5" width="15.44140625" bestFit="1" customWidth="1"/>
    <col min="6" max="6" width="14.33203125" bestFit="1" customWidth="1"/>
    <col min="7" max="7" width="16" bestFit="1" customWidth="1"/>
    <col min="8" max="8" width="18.33203125" bestFit="1" customWidth="1"/>
    <col min="9" max="9" width="21.44140625" bestFit="1" customWidth="1"/>
    <col min="10" max="10" width="23.109375" bestFit="1" customWidth="1"/>
    <col min="11" max="11" width="22" bestFit="1" customWidth="1"/>
    <col min="12" max="12" width="24.109375" bestFit="1" customWidth="1"/>
    <col min="13" max="13" width="19.88671875" bestFit="1" customWidth="1"/>
    <col min="14" max="14" width="8.33203125" bestFit="1" customWidth="1"/>
    <col min="16" max="16" width="51.88671875" bestFit="1" customWidth="1"/>
    <col min="17" max="17" width="12" bestFit="1" customWidth="1"/>
  </cols>
  <sheetData>
    <row r="1" spans="1:17" x14ac:dyDescent="0.3">
      <c r="A1" t="s">
        <v>0</v>
      </c>
      <c r="B1" t="s">
        <v>1</v>
      </c>
      <c r="C1" t="s">
        <v>2</v>
      </c>
      <c r="D1" t="s">
        <v>102</v>
      </c>
      <c r="E1" t="s">
        <v>98</v>
      </c>
      <c r="F1" t="s">
        <v>5</v>
      </c>
      <c r="G1" t="s">
        <v>6</v>
      </c>
      <c r="H1" t="s">
        <v>7</v>
      </c>
      <c r="I1" t="s">
        <v>8</v>
      </c>
      <c r="J1" t="s">
        <v>9</v>
      </c>
      <c r="K1" t="s">
        <v>10</v>
      </c>
      <c r="L1" t="s">
        <v>11</v>
      </c>
      <c r="M1" t="s">
        <v>12</v>
      </c>
      <c r="N1" t="s">
        <v>13</v>
      </c>
      <c r="P1" s="111" t="s">
        <v>14</v>
      </c>
      <c r="Q1" s="111"/>
    </row>
    <row r="2" spans="1:17" x14ac:dyDescent="0.3">
      <c r="A2" t="s">
        <v>19</v>
      </c>
      <c r="B2" t="str">
        <f>VLOOKUP(A2,[95]WRDS!$A$1:$N$100,2,FALSE)</f>
        <v>BHP</v>
      </c>
      <c r="C2" t="str">
        <f>VLOOKUP(A2,[95]WRDS!$A$1:$N$100,3,FALSE)</f>
        <v>BLACK HILLS CORP</v>
      </c>
      <c r="D2">
        <f>VLOOKUP(A2,[95]WRDS!$A$1:$N$100,13,FALSE)</f>
        <v>1.1867000000000001</v>
      </c>
      <c r="E2">
        <f>VLOOKUP(A2,[79]WRDS!$A$1:$N$100,13,FALSE)</f>
        <v>1.83</v>
      </c>
      <c r="F2" s="1">
        <f>D2*(1+I2)^4</f>
        <v>1.3802792075626598</v>
      </c>
      <c r="G2" s="1">
        <f>D2*(1+J2)^4</f>
        <v>1.3909428312888379</v>
      </c>
      <c r="H2" s="2">
        <f t="shared" ref="H2:H44" si="0">((E2/D2)^(1/4)-1)</f>
        <v>0.11436518870215151</v>
      </c>
      <c r="I2" s="2">
        <f>VLOOKUP(A2,[96]WRDS!$A$1:$O$100,10,FALSE)/100</f>
        <v>3.85E-2</v>
      </c>
      <c r="J2" s="2">
        <f>VLOOKUP(A2,[96]WRDS!$A$1:$O$100,9,FALSE)/100</f>
        <v>4.0500000000000001E-2</v>
      </c>
      <c r="K2" s="2">
        <f t="shared" ref="K2:K44" si="1">(I2-H2)/(ABS(H2))</f>
        <v>-0.66335910046659396</v>
      </c>
      <c r="L2" s="2">
        <f t="shared" ref="L2:L44" si="2">(J2-H2)/(ABS(H2))</f>
        <v>-0.64587126152979368</v>
      </c>
      <c r="M2">
        <f>VLOOKUP(A2,[96]WRDS!$A$1:$O$100,8,FALSE)</f>
        <v>4</v>
      </c>
      <c r="N2">
        <f>VLOOKUP(A2,[96]WRDS!$A$1:$O$100,11,FALSE)</f>
        <v>0.57999999999999996</v>
      </c>
      <c r="P2" t="s">
        <v>16</v>
      </c>
      <c r="Q2" s="3">
        <f>AVERAGE(H2:H999)</f>
        <v>1.0140281000876801E-2</v>
      </c>
    </row>
    <row r="3" spans="1:17" x14ac:dyDescent="0.3">
      <c r="A3" t="s">
        <v>88</v>
      </c>
      <c r="B3" t="str">
        <f>VLOOKUP(A3,[95]WRDS!$A$1:$N$100,2,FALSE)</f>
        <v>CIN</v>
      </c>
      <c r="C3" t="str">
        <f>VLOOKUP(A3,[95]WRDS!$A$1:$N$100,3,FALSE)</f>
        <v>CINERGY CORP</v>
      </c>
      <c r="D3">
        <f>VLOOKUP(A3,[95]WRDS!$A$1:$N$100,13,FALSE)</f>
        <v>2.2200000000000002</v>
      </c>
      <c r="E3">
        <f>VLOOKUP(A3,[79]WRDS!$A$1:$N$100,13,FALSE)</f>
        <v>2.1</v>
      </c>
      <c r="F3" s="1">
        <f t="shared" ref="F3:F44" si="3">D3*(1+I3)^4</f>
        <v>2.636261970715934</v>
      </c>
      <c r="G3" s="1">
        <f t="shared" ref="G3:G44" si="4">D3*(1+J3)^4</f>
        <v>2.4986295582000002</v>
      </c>
      <c r="H3" s="2">
        <f t="shared" si="0"/>
        <v>-1.3796407855216408E-2</v>
      </c>
      <c r="I3" s="2">
        <f>VLOOKUP(A3,[96]WRDS!$A$1:$O$100,10,FALSE)/100</f>
        <v>4.3899999999999995E-2</v>
      </c>
      <c r="J3" s="2">
        <f>VLOOKUP(A3,[96]WRDS!$A$1:$O$100,9,FALSE)/100</f>
        <v>0.03</v>
      </c>
      <c r="K3" s="2">
        <f t="shared" si="1"/>
        <v>4.1819876927892823</v>
      </c>
      <c r="L3" s="2">
        <f t="shared" si="2"/>
        <v>3.1744790611316285</v>
      </c>
      <c r="M3">
        <f>VLOOKUP(A3,[96]WRDS!$A$1:$O$100,8,FALSE)</f>
        <v>11</v>
      </c>
      <c r="N3">
        <f>VLOOKUP(A3,[96]WRDS!$A$1:$O$100,11,FALSE)</f>
        <v>2.4700000000000002</v>
      </c>
      <c r="P3" t="s">
        <v>18</v>
      </c>
      <c r="Q3" s="3">
        <f>AVERAGE(I2:I999)</f>
        <v>3.7079069767441859E-2</v>
      </c>
    </row>
    <row r="4" spans="1:17" x14ac:dyDescent="0.3">
      <c r="A4" t="s">
        <v>21</v>
      </c>
      <c r="B4" t="str">
        <f>VLOOKUP(A4,[95]WRDS!$A$1:$N$100,2,FALSE)</f>
        <v>CMS</v>
      </c>
      <c r="C4" t="str">
        <f>VLOOKUP(A4,[95]WRDS!$A$1:$N$100,3,FALSE)</f>
        <v>CMS ENERGY CORP</v>
      </c>
      <c r="D4">
        <f>VLOOKUP(A4,[95]WRDS!$A$1:$N$100,13,FALSE)</f>
        <v>2.27</v>
      </c>
      <c r="E4">
        <f>VLOOKUP(A4,[79]WRDS!$A$1:$N$100,13,FALSE)</f>
        <v>2.88</v>
      </c>
      <c r="F4" s="1">
        <f t="shared" si="3"/>
        <v>2.9732828882757993</v>
      </c>
      <c r="G4" s="1">
        <f t="shared" si="4"/>
        <v>2.9312622563307209</v>
      </c>
      <c r="H4" s="2">
        <f t="shared" si="0"/>
        <v>6.1308537002052521E-2</v>
      </c>
      <c r="I4" s="2">
        <f>VLOOKUP(A4,[96]WRDS!$A$1:$O$100,10,FALSE)/100</f>
        <v>6.9800000000000001E-2</v>
      </c>
      <c r="J4" s="2">
        <f>VLOOKUP(A4,[96]WRDS!$A$1:$O$100,9,FALSE)/100</f>
        <v>6.6000000000000003E-2</v>
      </c>
      <c r="K4" s="2">
        <f t="shared" si="1"/>
        <v>0.1385037616810722</v>
      </c>
      <c r="L4" s="2">
        <f t="shared" si="2"/>
        <v>7.6522181532245964E-2</v>
      </c>
      <c r="M4">
        <f>VLOOKUP(A4,[96]WRDS!$A$1:$O$100,8,FALSE)</f>
        <v>10</v>
      </c>
      <c r="N4">
        <f>VLOOKUP(A4,[96]WRDS!$A$1:$O$100,11,FALSE)</f>
        <v>2.41</v>
      </c>
      <c r="P4" t="s">
        <v>20</v>
      </c>
      <c r="Q4" s="3">
        <f>(Q3-Q2)/ABS(Q2)</f>
        <v>2.6566116623627827</v>
      </c>
    </row>
    <row r="5" spans="1:17" x14ac:dyDescent="0.3">
      <c r="A5" t="s">
        <v>71</v>
      </c>
      <c r="B5" t="str">
        <f>VLOOKUP(A5,[95]WRDS!$A$1:$N$100,2,FALSE)</f>
        <v>CNL</v>
      </c>
      <c r="C5" t="str">
        <f>VLOOKUP(A5,[95]WRDS!$A$1:$N$100,3,FALSE)</f>
        <v>CENT LA ELEC INC</v>
      </c>
      <c r="D5">
        <f>VLOOKUP(A5,[95]WRDS!$A$1:$N$100,13,FALSE)</f>
        <v>1.04</v>
      </c>
      <c r="E5">
        <f>VLOOKUP(A5,[79]WRDS!$A$1:$N$100,13,FALSE)</f>
        <v>1.18</v>
      </c>
      <c r="F5" s="1">
        <f t="shared" si="3"/>
        <v>1.1741699968604835</v>
      </c>
      <c r="G5" s="1">
        <f t="shared" si="4"/>
        <v>1.1705291624</v>
      </c>
      <c r="H5" s="2">
        <f t="shared" si="0"/>
        <v>3.2077159612751593E-2</v>
      </c>
      <c r="I5" s="2">
        <f>VLOOKUP(A5,[96]WRDS!$A$1:$O$100,10,FALSE)/100</f>
        <v>3.0800000000000001E-2</v>
      </c>
      <c r="J5" s="2">
        <f>VLOOKUP(A5,[96]WRDS!$A$1:$O$100,9,FALSE)/100</f>
        <v>0.03</v>
      </c>
      <c r="K5" s="2">
        <f t="shared" si="1"/>
        <v>-3.981523389757629E-2</v>
      </c>
      <c r="L5" s="2">
        <f t="shared" si="2"/>
        <v>-6.4755097952184759E-2</v>
      </c>
      <c r="M5">
        <f>VLOOKUP(A5,[96]WRDS!$A$1:$O$100,8,FALSE)</f>
        <v>5</v>
      </c>
      <c r="N5">
        <f>VLOOKUP(A5,[96]WRDS!$A$1:$O$100,11,FALSE)</f>
        <v>0.9</v>
      </c>
      <c r="P5" t="s">
        <v>22</v>
      </c>
      <c r="Q5" s="3">
        <f>AVERAGE(J2:J999)</f>
        <v>3.6325581395348853E-2</v>
      </c>
    </row>
    <row r="6" spans="1:17" x14ac:dyDescent="0.3">
      <c r="A6" t="s">
        <v>25</v>
      </c>
      <c r="B6" t="str">
        <f>VLOOKUP(A6,[95]WRDS!$A$1:$N$100,2,FALSE)</f>
        <v>D</v>
      </c>
      <c r="C6" t="str">
        <f>VLOOKUP(A6,[95]WRDS!$A$1:$N$100,3,FALSE)</f>
        <v>DOMINION RES INC</v>
      </c>
      <c r="D6">
        <f>VLOOKUP(A6,[95]WRDS!$A$1:$N$100,13,FALSE)</f>
        <v>1.4650000000000001</v>
      </c>
      <c r="E6">
        <f>VLOOKUP(A6,[79]WRDS!$A$1:$N$100,13,FALSE)</f>
        <v>1.5049999999999999</v>
      </c>
      <c r="F6" s="1">
        <f t="shared" si="3"/>
        <v>1.6139329032320913</v>
      </c>
      <c r="G6" s="1">
        <f t="shared" si="4"/>
        <v>1.6139329032320913</v>
      </c>
      <c r="H6" s="2">
        <f t="shared" si="0"/>
        <v>6.7571410878408678E-3</v>
      </c>
      <c r="I6" s="2">
        <f>VLOOKUP(A6,[96]WRDS!$A$1:$O$100,10,FALSE)/100</f>
        <v>2.4500000000000001E-2</v>
      </c>
      <c r="J6" s="2">
        <f>VLOOKUP(A6,[96]WRDS!$A$1:$O$100,9,FALSE)/100</f>
        <v>2.4500000000000001E-2</v>
      </c>
      <c r="K6" s="2">
        <f t="shared" si="1"/>
        <v>2.6257937612234419</v>
      </c>
      <c r="L6" s="2">
        <f t="shared" si="2"/>
        <v>2.6257937612234419</v>
      </c>
      <c r="M6">
        <f>VLOOKUP(A6,[96]WRDS!$A$1:$O$100,8,FALSE)</f>
        <v>14</v>
      </c>
      <c r="N6">
        <f>VLOOKUP(A6,[96]WRDS!$A$1:$O$100,11,FALSE)</f>
        <v>0.85</v>
      </c>
      <c r="P6" t="s">
        <v>24</v>
      </c>
      <c r="Q6" s="3">
        <f>(Q5-Q2)/ABS(Q2)</f>
        <v>2.582305203594248</v>
      </c>
    </row>
    <row r="7" spans="1:17" x14ac:dyDescent="0.3">
      <c r="A7" t="s">
        <v>86</v>
      </c>
      <c r="B7" t="str">
        <f>VLOOKUP(A7,[95]WRDS!$A$1:$N$100,2,FALSE)</f>
        <v>DPL</v>
      </c>
      <c r="C7" t="str">
        <f>VLOOKUP(A7,[95]WRDS!$A$1:$N$100,3,FALSE)</f>
        <v>DPL INC</v>
      </c>
      <c r="D7">
        <f>VLOOKUP(A7,[95]WRDS!$A$1:$N$100,13,FALSE)</f>
        <v>1.0867</v>
      </c>
      <c r="E7">
        <f>VLOOKUP(A7,[79]WRDS!$A$1:$N$100,13,FALSE)</f>
        <v>1.35</v>
      </c>
      <c r="F7" s="1">
        <f t="shared" si="3"/>
        <v>1.2835533414699491</v>
      </c>
      <c r="G7" s="1">
        <f t="shared" si="4"/>
        <v>1.2712852971520003</v>
      </c>
      <c r="H7" s="2">
        <f t="shared" si="0"/>
        <v>5.5737687924795054E-2</v>
      </c>
      <c r="I7" s="2">
        <f>VLOOKUP(A7,[96]WRDS!$A$1:$O$100,10,FALSE)/100</f>
        <v>4.2500000000000003E-2</v>
      </c>
      <c r="J7" s="2">
        <f>VLOOKUP(A7,[96]WRDS!$A$1:$O$100,9,FALSE)/100</f>
        <v>0.04</v>
      </c>
      <c r="K7" s="2">
        <f t="shared" si="1"/>
        <v>-0.23749976752993787</v>
      </c>
      <c r="L7" s="2">
        <f t="shared" si="2"/>
        <v>-0.28235272238111803</v>
      </c>
      <c r="M7">
        <f>VLOOKUP(A7,[96]WRDS!$A$1:$O$100,8,FALSE)</f>
        <v>15</v>
      </c>
      <c r="N7">
        <f>VLOOKUP(A7,[96]WRDS!$A$1:$O$100,11,FALSE)</f>
        <v>1.23</v>
      </c>
      <c r="P7" s="111" t="s">
        <v>26</v>
      </c>
      <c r="Q7" s="111"/>
    </row>
    <row r="8" spans="1:17" x14ac:dyDescent="0.3">
      <c r="A8" t="s">
        <v>27</v>
      </c>
      <c r="B8" t="str">
        <f>VLOOKUP(A8,[95]WRDS!$A$1:$N$100,2,FALSE)</f>
        <v>DTE</v>
      </c>
      <c r="C8" t="str">
        <f>VLOOKUP(A8,[95]WRDS!$A$1:$N$100,3,FALSE)</f>
        <v>DETROIT EDISON</v>
      </c>
      <c r="D8">
        <f>VLOOKUP(A8,[95]WRDS!$A$1:$N$100,13,FALSE)</f>
        <v>3.09</v>
      </c>
      <c r="E8">
        <f>VLOOKUP(A8,[79]WRDS!$A$1:$N$100,13,FALSE)</f>
        <v>3.33</v>
      </c>
      <c r="F8" s="1">
        <f t="shared" si="3"/>
        <v>3.4805242309092912</v>
      </c>
      <c r="G8" s="1">
        <f t="shared" si="4"/>
        <v>3.4508885860070397</v>
      </c>
      <c r="H8" s="2">
        <f t="shared" si="0"/>
        <v>1.8876248976651411E-2</v>
      </c>
      <c r="I8" s="2">
        <f>VLOOKUP(A8,[96]WRDS!$A$1:$O$100,10,FALSE)/100</f>
        <v>3.0200000000000001E-2</v>
      </c>
      <c r="J8" s="2">
        <f>VLOOKUP(A8,[96]WRDS!$A$1:$O$100,9,FALSE)/100</f>
        <v>2.7999999999999997E-2</v>
      </c>
      <c r="K8" s="2">
        <f t="shared" si="1"/>
        <v>0.59989413348781695</v>
      </c>
      <c r="L8" s="2">
        <f t="shared" si="2"/>
        <v>0.48334555422711489</v>
      </c>
      <c r="M8">
        <f>VLOOKUP(A8,[96]WRDS!$A$1:$O$100,8,FALSE)</f>
        <v>10</v>
      </c>
      <c r="N8">
        <f>VLOOKUP(A8,[96]WRDS!$A$1:$O$100,11,FALSE)</f>
        <v>1.28</v>
      </c>
      <c r="P8" t="s">
        <v>28</v>
      </c>
      <c r="Q8" s="2">
        <f>MEDIAN(H2:H99)</f>
        <v>1.8876248976651411E-2</v>
      </c>
    </row>
    <row r="9" spans="1:17" x14ac:dyDescent="0.3">
      <c r="A9" t="s">
        <v>29</v>
      </c>
      <c r="B9" t="str">
        <f>VLOOKUP(A9,[95]WRDS!$A$1:$N$100,2,FALSE)</f>
        <v>DUK</v>
      </c>
      <c r="C9" t="str">
        <f>VLOOKUP(A9,[95]WRDS!$A$1:$N$100,3,FALSE)</f>
        <v>DUKE POWER CO</v>
      </c>
      <c r="D9">
        <f>VLOOKUP(A9,[95]WRDS!$A$1:$N$100,13,FALSE)</f>
        <v>5.13</v>
      </c>
      <c r="E9">
        <f>VLOOKUP(A9,[79]WRDS!$A$1:$N$100,13,FALSE)</f>
        <v>5.4</v>
      </c>
      <c r="F9" s="1">
        <f t="shared" si="3"/>
        <v>5.8527407730481738</v>
      </c>
      <c r="G9" s="1">
        <f t="shared" si="4"/>
        <v>5.7738601952999993</v>
      </c>
      <c r="H9" s="2">
        <f t="shared" si="0"/>
        <v>1.2905894979960308E-2</v>
      </c>
      <c r="I9" s="2">
        <f>VLOOKUP(A9,[96]WRDS!$A$1:$O$100,10,FALSE)/100</f>
        <v>3.3500000000000002E-2</v>
      </c>
      <c r="J9" s="2">
        <f>VLOOKUP(A9,[96]WRDS!$A$1:$O$100,9,FALSE)/100</f>
        <v>0.03</v>
      </c>
      <c r="K9" s="2">
        <f t="shared" si="1"/>
        <v>1.5957130483408777</v>
      </c>
      <c r="L9" s="2">
        <f t="shared" si="2"/>
        <v>1.3245191477679499</v>
      </c>
      <c r="M9">
        <f>VLOOKUP(A9,[96]WRDS!$A$1:$O$100,8,FALSE)</f>
        <v>13</v>
      </c>
      <c r="N9">
        <f>VLOOKUP(A9,[96]WRDS!$A$1:$O$100,11,FALSE)</f>
        <v>0.92</v>
      </c>
      <c r="P9" t="s">
        <v>30</v>
      </c>
      <c r="Q9" s="2">
        <f>MEDIAN(I2:I100)</f>
        <v>3.5000000000000003E-2</v>
      </c>
    </row>
    <row r="10" spans="1:17" x14ac:dyDescent="0.3">
      <c r="A10" t="s">
        <v>31</v>
      </c>
      <c r="B10" t="str">
        <f>VLOOKUP(A10,[95]WRDS!$A$1:$N$100,2,FALSE)</f>
        <v>ED</v>
      </c>
      <c r="C10" t="str">
        <f>VLOOKUP(A10,[95]WRDS!$A$1:$N$100,3,FALSE)</f>
        <v>CONSOL EDISON</v>
      </c>
      <c r="D10">
        <f>VLOOKUP(A10,[95]WRDS!$A$1:$N$100,13,FALSE)</f>
        <v>2.93</v>
      </c>
      <c r="E10">
        <f>VLOOKUP(A10,[79]WRDS!$A$1:$N$100,13,FALSE)</f>
        <v>3.13</v>
      </c>
      <c r="F10" s="1">
        <f t="shared" si="3"/>
        <v>3.0296954058785102</v>
      </c>
      <c r="G10" s="1">
        <f t="shared" si="4"/>
        <v>3.0489697493000003</v>
      </c>
      <c r="H10" s="2">
        <f t="shared" si="0"/>
        <v>1.6644649391797106E-2</v>
      </c>
      <c r="I10" s="2">
        <f>VLOOKUP(A10,[96]WRDS!$A$1:$O$100,10,FALSE)/100</f>
        <v>8.3999999999999995E-3</v>
      </c>
      <c r="J10" s="2">
        <f>VLOOKUP(A10,[96]WRDS!$A$1:$O$100,9,FALSE)/100</f>
        <v>0.01</v>
      </c>
      <c r="K10" s="2">
        <f t="shared" si="1"/>
        <v>-0.49533331689523441</v>
      </c>
      <c r="L10" s="2">
        <f t="shared" si="2"/>
        <v>-0.39920632963718378</v>
      </c>
      <c r="M10">
        <f>VLOOKUP(A10,[96]WRDS!$A$1:$O$100,8,FALSE)</f>
        <v>9</v>
      </c>
      <c r="N10">
        <f>VLOOKUP(A10,[96]WRDS!$A$1:$O$100,11,FALSE)</f>
        <v>1.04</v>
      </c>
      <c r="P10" t="s">
        <v>32</v>
      </c>
      <c r="Q10" s="2">
        <f>(Q9-Q8)/ABS(Q8)</f>
        <v>0.85418194278389392</v>
      </c>
    </row>
    <row r="11" spans="1:17" x14ac:dyDescent="0.3">
      <c r="A11" t="s">
        <v>72</v>
      </c>
      <c r="B11" t="str">
        <f>VLOOKUP(A11,[95]WRDS!$A$1:$N$100,2,FALSE)</f>
        <v>EDE</v>
      </c>
      <c r="C11" t="str">
        <f>VLOOKUP(A11,[95]WRDS!$A$1:$N$100,3,FALSE)</f>
        <v>EMPIRE DIST ELEC</v>
      </c>
      <c r="D11">
        <f>VLOOKUP(A11,[95]WRDS!$A$1:$N$100,13,FALSE)</f>
        <v>0.91</v>
      </c>
      <c r="E11">
        <f>VLOOKUP(A11,[79]WRDS!$A$1:$N$100,13,FALSE)</f>
        <v>1.46</v>
      </c>
      <c r="F11" s="1">
        <f t="shared" si="3"/>
        <v>1.0361978298681096</v>
      </c>
      <c r="G11" s="1">
        <f t="shared" si="4"/>
        <v>1.0361978298681096</v>
      </c>
      <c r="H11" s="2">
        <f t="shared" si="0"/>
        <v>0.12545430273881042</v>
      </c>
      <c r="I11" s="2">
        <f>VLOOKUP(A11,[96]WRDS!$A$1:$O$100,10,FALSE)/100</f>
        <v>3.3000000000000002E-2</v>
      </c>
      <c r="J11" s="2">
        <f>VLOOKUP(A11,[96]WRDS!$A$1:$O$100,9,FALSE)/100</f>
        <v>3.3000000000000002E-2</v>
      </c>
      <c r="K11" s="2">
        <f t="shared" si="1"/>
        <v>-0.73695601283039014</v>
      </c>
      <c r="L11" s="2">
        <f t="shared" si="2"/>
        <v>-0.73695601283039014</v>
      </c>
      <c r="M11">
        <f>VLOOKUP(A11,[96]WRDS!$A$1:$O$100,8,FALSE)</f>
        <v>2</v>
      </c>
      <c r="N11">
        <f>VLOOKUP(A11,[96]WRDS!$A$1:$O$100,11,FALSE)</f>
        <v>1.84</v>
      </c>
      <c r="P11" t="s">
        <v>34</v>
      </c>
      <c r="Q11" s="2">
        <f>MEDIAN(J2:J99)</f>
        <v>3.5000000000000003E-2</v>
      </c>
    </row>
    <row r="12" spans="1:17" x14ac:dyDescent="0.3">
      <c r="A12" t="s">
        <v>59</v>
      </c>
      <c r="B12" t="str">
        <f>VLOOKUP(A12,[95]WRDS!$A$1:$N$100,2,FALSE)</f>
        <v>MSU</v>
      </c>
      <c r="C12" t="str">
        <f>VLOOKUP(A12,[95]WRDS!$A$1:$N$100,3,FALSE)</f>
        <v>ENTERGY CP</v>
      </c>
      <c r="D12">
        <f>VLOOKUP(A12,[95]WRDS!$A$1:$N$100,13,FALSE)</f>
        <v>2.36</v>
      </c>
      <c r="E12">
        <f>VLOOKUP(A12,[79]WRDS!$A$1:$N$100,13,FALSE)</f>
        <v>2.29</v>
      </c>
      <c r="F12" s="1">
        <f t="shared" si="3"/>
        <v>2.6904053661326768</v>
      </c>
      <c r="G12" s="1">
        <f t="shared" si="4"/>
        <v>2.6562007915999994</v>
      </c>
      <c r="H12" s="2">
        <f t="shared" si="0"/>
        <v>-7.4991900671176337E-3</v>
      </c>
      <c r="I12" s="2">
        <f>VLOOKUP(A12,[96]WRDS!$A$1:$O$100,10,FALSE)/100</f>
        <v>3.3300000000000003E-2</v>
      </c>
      <c r="J12" s="2">
        <f>VLOOKUP(A12,[96]WRDS!$A$1:$O$100,9,FALSE)/100</f>
        <v>0.03</v>
      </c>
      <c r="K12" s="2">
        <f t="shared" si="1"/>
        <v>5.4404795320515316</v>
      </c>
      <c r="L12" s="2">
        <f t="shared" si="2"/>
        <v>5.0004320108572351</v>
      </c>
      <c r="M12">
        <f>VLOOKUP(A12,[96]WRDS!$A$1:$O$100,8,FALSE)</f>
        <v>12</v>
      </c>
      <c r="N12">
        <f>VLOOKUP(A12,[96]WRDS!$A$1:$O$100,11,FALSE)</f>
        <v>1.2</v>
      </c>
      <c r="P12" t="s">
        <v>32</v>
      </c>
      <c r="Q12" s="2">
        <f>(Q11-Q8)/ABS(Q8)</f>
        <v>0.85418194278389392</v>
      </c>
    </row>
    <row r="13" spans="1:17" x14ac:dyDescent="0.3">
      <c r="A13" t="s">
        <v>89</v>
      </c>
      <c r="B13" t="str">
        <f>VLOOKUP(A13,[95]WRDS!$A$1:$N$100,2,FALSE)</f>
        <v>FPL</v>
      </c>
      <c r="C13" t="str">
        <f>VLOOKUP(A13,[95]WRDS!$A$1:$N$100,3,FALSE)</f>
        <v>FPL GROUP</v>
      </c>
      <c r="D13">
        <f>VLOOKUP(A13,[95]WRDS!$A$1:$N$100,13,FALSE)</f>
        <v>0.39500000000000002</v>
      </c>
      <c r="E13">
        <f>VLOOKUP(A13,[79]WRDS!$A$1:$N$100,13,FALSE)</f>
        <v>0.49880000000000002</v>
      </c>
      <c r="F13" s="1">
        <f t="shared" si="3"/>
        <v>0.47393634751044933</v>
      </c>
      <c r="G13" s="1">
        <f t="shared" si="4"/>
        <v>0.48012496875000005</v>
      </c>
      <c r="H13" s="2">
        <f t="shared" si="0"/>
        <v>6.0064613317550197E-2</v>
      </c>
      <c r="I13" s="2">
        <f>VLOOKUP(A13,[96]WRDS!$A$1:$O$100,10,FALSE)/100</f>
        <v>4.6600000000000003E-2</v>
      </c>
      <c r="J13" s="2">
        <f>VLOOKUP(A13,[96]WRDS!$A$1:$O$100,9,FALSE)/100</f>
        <v>0.05</v>
      </c>
      <c r="K13" s="2">
        <f t="shared" si="1"/>
        <v>-0.22416881710975717</v>
      </c>
      <c r="L13" s="2">
        <f t="shared" si="2"/>
        <v>-0.1675631084868639</v>
      </c>
      <c r="M13">
        <f>VLOOKUP(A13,[96]WRDS!$A$1:$O$100,8,FALSE)</f>
        <v>16</v>
      </c>
      <c r="N13">
        <f>VLOOKUP(A13,[96]WRDS!$A$1:$O$100,11,FALSE)</f>
        <v>1.0900000000000001</v>
      </c>
      <c r="P13" s="111" t="s">
        <v>37</v>
      </c>
      <c r="Q13" s="111"/>
    </row>
    <row r="14" spans="1:17" x14ac:dyDescent="0.3">
      <c r="A14" t="s">
        <v>36</v>
      </c>
      <c r="B14" t="str">
        <f>VLOOKUP(A14,[95]WRDS!$A$1:$N$100,2,FALSE)</f>
        <v>HE</v>
      </c>
      <c r="C14" t="str">
        <f>VLOOKUP(A14,[95]WRDS!$A$1:$N$100,3,FALSE)</f>
        <v>HAWAIIAN ELEC</v>
      </c>
      <c r="D14">
        <f>VLOOKUP(A14,[95]WRDS!$A$1:$N$100,13,FALSE)</f>
        <v>1.33</v>
      </c>
      <c r="E14">
        <f>VLOOKUP(A14,[79]WRDS!$A$1:$N$100,13,FALSE)</f>
        <v>1.4450000000000001</v>
      </c>
      <c r="F14" s="1">
        <f t="shared" si="3"/>
        <v>1.5505330231815408</v>
      </c>
      <c r="G14" s="1">
        <f t="shared" si="4"/>
        <v>1.5559118848000004</v>
      </c>
      <c r="H14" s="2">
        <f t="shared" si="0"/>
        <v>2.0949008092197463E-2</v>
      </c>
      <c r="I14" s="2">
        <f>VLOOKUP(A14,[96]WRDS!$A$1:$O$100,10,FALSE)/100</f>
        <v>3.9100000000000003E-2</v>
      </c>
      <c r="J14" s="2">
        <f>VLOOKUP(A14,[96]WRDS!$A$1:$O$100,9,FALSE)/100</f>
        <v>0.04</v>
      </c>
      <c r="K14" s="2">
        <f t="shared" si="1"/>
        <v>0.8664368178158729</v>
      </c>
      <c r="L14" s="2">
        <f t="shared" si="2"/>
        <v>0.90939827909552207</v>
      </c>
      <c r="M14">
        <f>VLOOKUP(A14,[96]WRDS!$A$1:$O$100,8,FALSE)</f>
        <v>9</v>
      </c>
      <c r="N14">
        <f>VLOOKUP(A14,[96]WRDS!$A$1:$O$100,11,FALSE)</f>
        <v>1.1499999999999999</v>
      </c>
      <c r="P14" t="s">
        <v>39</v>
      </c>
      <c r="Q14" s="1">
        <f>AVERAGE(M2:M1002)</f>
        <v>8.1162790697674421</v>
      </c>
    </row>
    <row r="15" spans="1:17" x14ac:dyDescent="0.3">
      <c r="A15" t="s">
        <v>38</v>
      </c>
      <c r="B15" t="str">
        <f>VLOOKUP(A15,[95]WRDS!$A$1:$N$100,2,FALSE)</f>
        <v>IDA</v>
      </c>
      <c r="C15" t="str">
        <f>VLOOKUP(A15,[95]WRDS!$A$1:$N$100,3,FALSE)</f>
        <v>IDAHO POWER CO</v>
      </c>
      <c r="D15">
        <f>VLOOKUP(A15,[95]WRDS!$A$1:$N$100,13,FALSE)</f>
        <v>2.1</v>
      </c>
      <c r="E15">
        <f>VLOOKUP(A15,[79]WRDS!$A$1:$N$100,13,FALSE)</f>
        <v>2.42</v>
      </c>
      <c r="F15" s="1">
        <f t="shared" si="3"/>
        <v>2.3912257612340992</v>
      </c>
      <c r="G15" s="1">
        <f t="shared" si="4"/>
        <v>2.4567029760000008</v>
      </c>
      <c r="H15" s="2">
        <f t="shared" si="0"/>
        <v>3.6093663837100332E-2</v>
      </c>
      <c r="I15" s="2">
        <f>VLOOKUP(A15,[96]WRDS!$A$1:$O$100,10,FALSE)/100</f>
        <v>3.3000000000000002E-2</v>
      </c>
      <c r="J15" s="2">
        <f>VLOOKUP(A15,[96]WRDS!$A$1:$O$100,9,FALSE)/100</f>
        <v>0.04</v>
      </c>
      <c r="K15" s="2">
        <f t="shared" si="1"/>
        <v>-8.5712103128759751E-2</v>
      </c>
      <c r="L15" s="2">
        <f t="shared" si="2"/>
        <v>0.10822775378332149</v>
      </c>
      <c r="M15">
        <f>VLOOKUP(A15,[96]WRDS!$A$1:$O$100,8,FALSE)</f>
        <v>7</v>
      </c>
      <c r="N15">
        <f>VLOOKUP(A15,[96]WRDS!$A$1:$O$100,11,FALSE)</f>
        <v>1.61</v>
      </c>
      <c r="P15" t="s">
        <v>41</v>
      </c>
      <c r="Q15" s="1">
        <f>COUNT(N2:N1002)</f>
        <v>43</v>
      </c>
    </row>
    <row r="16" spans="1:17" x14ac:dyDescent="0.3">
      <c r="A16" t="s">
        <v>78</v>
      </c>
      <c r="B16" t="str">
        <f>VLOOKUP(A16,[95]WRDS!$A$1:$N$100,2,FALSE)</f>
        <v>NU</v>
      </c>
      <c r="C16" t="str">
        <f>VLOOKUP(A16,[95]WRDS!$A$1:$N$100,3,FALSE)</f>
        <v>NORTHEAST UTILS</v>
      </c>
      <c r="D16">
        <f>VLOOKUP(A16,[95]WRDS!$A$1:$N$100,13,FALSE)</f>
        <v>2.25</v>
      </c>
      <c r="E16">
        <f>VLOOKUP(A16,[79]WRDS!$A$1:$N$100,13,FALSE)</f>
        <v>0.81</v>
      </c>
      <c r="F16" s="1">
        <f t="shared" si="3"/>
        <v>2.491341698530372</v>
      </c>
      <c r="G16" s="1">
        <f t="shared" si="4"/>
        <v>2.4354723599999999</v>
      </c>
      <c r="H16" s="2">
        <f t="shared" si="0"/>
        <v>-0.2254033307585166</v>
      </c>
      <c r="I16" s="2">
        <f>VLOOKUP(A16,[96]WRDS!$A$1:$O$100,10,FALSE)/100</f>
        <v>2.58E-2</v>
      </c>
      <c r="J16" s="2">
        <f>VLOOKUP(A16,[96]WRDS!$A$1:$O$100,9,FALSE)/100</f>
        <v>0.02</v>
      </c>
      <c r="K16" s="2">
        <f t="shared" si="1"/>
        <v>1.1144614851660757</v>
      </c>
      <c r="L16" s="2">
        <f t="shared" si="2"/>
        <v>1.0887298334620741</v>
      </c>
      <c r="M16">
        <f>VLOOKUP(A16,[96]WRDS!$A$1:$O$100,8,FALSE)</f>
        <v>11</v>
      </c>
      <c r="N16">
        <f>VLOOKUP(A16,[96]WRDS!$A$1:$O$100,11,FALSE)</f>
        <v>0.96</v>
      </c>
    </row>
    <row r="17" spans="1:14" x14ac:dyDescent="0.3">
      <c r="A17" t="s">
        <v>44</v>
      </c>
      <c r="B17" t="str">
        <f>VLOOKUP(A17,[95]WRDS!$A$1:$N$100,2,FALSE)</f>
        <v>OGE</v>
      </c>
      <c r="C17" t="str">
        <f>VLOOKUP(A17,[95]WRDS!$A$1:$N$100,3,FALSE)</f>
        <v>OKLAHOMA G&amp;E</v>
      </c>
      <c r="D17">
        <f>VLOOKUP(A17,[95]WRDS!$A$1:$N$100,13,FALSE)</f>
        <v>0.76249999999999996</v>
      </c>
      <c r="E17">
        <f>VLOOKUP(A17,[79]WRDS!$A$1:$N$100,13,FALSE)</f>
        <v>0.97499999999999998</v>
      </c>
      <c r="F17" s="1">
        <f t="shared" si="3"/>
        <v>0.82794691740434423</v>
      </c>
      <c r="G17" s="1">
        <f t="shared" si="4"/>
        <v>0.82535452199999992</v>
      </c>
      <c r="H17" s="2">
        <f t="shared" si="0"/>
        <v>6.3386620960630635E-2</v>
      </c>
      <c r="I17" s="2">
        <f>VLOOKUP(A17,[96]WRDS!$A$1:$O$100,10,FALSE)/100</f>
        <v>2.0799999999999999E-2</v>
      </c>
      <c r="J17" s="2">
        <f>VLOOKUP(A17,[96]WRDS!$A$1:$O$100,9,FALSE)/100</f>
        <v>0.02</v>
      </c>
      <c r="K17" s="2">
        <f t="shared" si="1"/>
        <v>-0.67185504314989664</v>
      </c>
      <c r="L17" s="2">
        <f t="shared" si="2"/>
        <v>-0.68447600302874667</v>
      </c>
      <c r="M17">
        <f>VLOOKUP(A17,[96]WRDS!$A$1:$O$100,8,FALSE)</f>
        <v>8</v>
      </c>
      <c r="N17">
        <f>VLOOKUP(A17,[96]WRDS!$A$1:$O$100,11,FALSE)</f>
        <v>0.78</v>
      </c>
    </row>
    <row r="18" spans="1:14" x14ac:dyDescent="0.3">
      <c r="A18" t="s">
        <v>69</v>
      </c>
      <c r="B18" t="str">
        <f>VLOOKUP(A18,[95]WRDS!$A$1:$N$100,2,FALSE)</f>
        <v>OTTR</v>
      </c>
      <c r="C18" t="str">
        <f>VLOOKUP(A18,[95]WRDS!$A$1:$N$100,3,FALSE)</f>
        <v>OTTER TAIL PWR</v>
      </c>
      <c r="D18">
        <f>VLOOKUP(A18,[95]WRDS!$A$1:$N$100,13,FALSE)</f>
        <v>1.19</v>
      </c>
      <c r="E18">
        <f>VLOOKUP(A18,[79]WRDS!$A$1:$N$100,13,FALSE)</f>
        <v>1.4550000000000001</v>
      </c>
      <c r="F18" s="1">
        <f t="shared" si="3"/>
        <v>1.3263992987027347</v>
      </c>
      <c r="G18" s="1">
        <f t="shared" si="4"/>
        <v>1.3263992987027347</v>
      </c>
      <c r="H18" s="2">
        <f t="shared" si="0"/>
        <v>5.154777305863778E-2</v>
      </c>
      <c r="I18" s="2">
        <f>VLOOKUP(A18,[96]WRDS!$A$1:$O$100,10,FALSE)/100</f>
        <v>2.75E-2</v>
      </c>
      <c r="J18" s="2">
        <f>VLOOKUP(A18,[96]WRDS!$A$1:$O$100,9,FALSE)/100</f>
        <v>2.75E-2</v>
      </c>
      <c r="K18" s="2">
        <f t="shared" si="1"/>
        <v>-0.46651429599650052</v>
      </c>
      <c r="L18" s="2">
        <f t="shared" si="2"/>
        <v>-0.46651429599650052</v>
      </c>
      <c r="M18">
        <f>VLOOKUP(A18,[96]WRDS!$A$1:$O$100,8,FALSE)</f>
        <v>2</v>
      </c>
      <c r="N18">
        <f>VLOOKUP(A18,[96]WRDS!$A$1:$O$100,11,FALSE)</f>
        <v>0.35</v>
      </c>
    </row>
    <row r="19" spans="1:14" x14ac:dyDescent="0.3">
      <c r="A19" t="s">
        <v>45</v>
      </c>
      <c r="B19" t="str">
        <f>VLOOKUP(A19,[95]WRDS!$A$1:$N$100,2,FALSE)</f>
        <v>PCG</v>
      </c>
      <c r="C19" t="str">
        <f>VLOOKUP(A19,[95]WRDS!$A$1:$N$100,3,FALSE)</f>
        <v>PACIFIC G&amp;E</v>
      </c>
      <c r="D19">
        <f>VLOOKUP(A19,[95]WRDS!$A$1:$N$100,13,FALSE)</f>
        <v>3.09</v>
      </c>
      <c r="E19">
        <f>VLOOKUP(A19,[79]WRDS!$A$1:$N$100,13,FALSE)</f>
        <v>2.14</v>
      </c>
      <c r="F19" s="1">
        <f t="shared" si="3"/>
        <v>3.2167400320750232</v>
      </c>
      <c r="G19" s="1">
        <f t="shared" si="4"/>
        <v>3.2154663909000001</v>
      </c>
      <c r="H19" s="2">
        <f t="shared" si="0"/>
        <v>-8.7750101992639995E-2</v>
      </c>
      <c r="I19" s="2">
        <f>VLOOKUP(A19,[96]WRDS!$A$1:$O$100,10,FALSE)/100</f>
        <v>1.01E-2</v>
      </c>
      <c r="J19" s="2">
        <f>VLOOKUP(A19,[96]WRDS!$A$1:$O$100,9,FALSE)/100</f>
        <v>0.01</v>
      </c>
      <c r="K19" s="2">
        <f t="shared" si="1"/>
        <v>1.1150995813184028</v>
      </c>
      <c r="L19" s="2">
        <f t="shared" si="2"/>
        <v>1.1139599815033689</v>
      </c>
      <c r="M19">
        <f>VLOOKUP(A19,[96]WRDS!$A$1:$O$100,8,FALSE)</f>
        <v>8</v>
      </c>
      <c r="N19">
        <f>VLOOKUP(A19,[96]WRDS!$A$1:$O$100,11,FALSE)</f>
        <v>0.74</v>
      </c>
    </row>
    <row r="20" spans="1:14" x14ac:dyDescent="0.3">
      <c r="A20" t="s">
        <v>46</v>
      </c>
      <c r="B20" t="str">
        <f>VLOOKUP(A20,[95]WRDS!$A$1:$N$100,2,FALSE)</f>
        <v>PEG</v>
      </c>
      <c r="C20" t="str">
        <f>VLOOKUP(A20,[95]WRDS!$A$1:$N$100,3,FALSE)</f>
        <v>PUB SVC ENTERS</v>
      </c>
      <c r="D20">
        <f>VLOOKUP(A20,[95]WRDS!$A$1:$N$100,13,FALSE)</f>
        <v>1.3049999999999999</v>
      </c>
      <c r="E20">
        <f>VLOOKUP(A20,[79]WRDS!$A$1:$N$100,13,FALSE)</f>
        <v>1.65</v>
      </c>
      <c r="F20" s="1">
        <f t="shared" si="3"/>
        <v>1.4236856082640801</v>
      </c>
      <c r="G20" s="1">
        <f t="shared" si="4"/>
        <v>1.4125739687999999</v>
      </c>
      <c r="H20" s="2">
        <f t="shared" si="0"/>
        <v>6.0396677084575412E-2</v>
      </c>
      <c r="I20" s="2">
        <f>VLOOKUP(A20,[96]WRDS!$A$1:$O$100,10,FALSE)/100</f>
        <v>2.2000000000000002E-2</v>
      </c>
      <c r="J20" s="2">
        <f>VLOOKUP(A20,[96]WRDS!$A$1:$O$100,9,FALSE)/100</f>
        <v>0.02</v>
      </c>
      <c r="K20" s="2">
        <f t="shared" si="1"/>
        <v>-0.63574154966849095</v>
      </c>
      <c r="L20" s="2">
        <f t="shared" si="2"/>
        <v>-0.66885595424408262</v>
      </c>
      <c r="M20">
        <f>VLOOKUP(A20,[96]WRDS!$A$1:$O$100,8,FALSE)</f>
        <v>11</v>
      </c>
      <c r="N20">
        <f>VLOOKUP(A20,[96]WRDS!$A$1:$O$100,11,FALSE)</f>
        <v>0.78</v>
      </c>
    </row>
    <row r="21" spans="1:14" x14ac:dyDescent="0.3">
      <c r="A21" t="s">
        <v>47</v>
      </c>
      <c r="B21" t="str">
        <f>VLOOKUP(A21,[95]WRDS!$A$1:$N$100,2,FALSE)</f>
        <v>PNM</v>
      </c>
      <c r="C21" t="str">
        <f>VLOOKUP(A21,[95]WRDS!$A$1:$N$100,3,FALSE)</f>
        <v>PUB SVC N MEX</v>
      </c>
      <c r="D21">
        <f>VLOOKUP(A21,[95]WRDS!$A$1:$N$100,13,FALSE)</f>
        <v>0.92669999999999997</v>
      </c>
      <c r="E21">
        <f>VLOOKUP(A21,[79]WRDS!$A$1:$N$100,13,FALSE)</f>
        <v>1.2733000000000001</v>
      </c>
      <c r="F21" s="1">
        <f t="shared" si="3"/>
        <v>1.1025711274831844</v>
      </c>
      <c r="G21" s="1">
        <f t="shared" si="4"/>
        <v>1.0841079275520003</v>
      </c>
      <c r="H21" s="2">
        <f t="shared" si="0"/>
        <v>8.2674464996986163E-2</v>
      </c>
      <c r="I21" s="2">
        <f>VLOOKUP(A21,[96]WRDS!$A$1:$O$100,10,FALSE)/100</f>
        <v>4.4400000000000002E-2</v>
      </c>
      <c r="J21" s="2">
        <f>VLOOKUP(A21,[96]WRDS!$A$1:$O$100,9,FALSE)/100</f>
        <v>0.04</v>
      </c>
      <c r="K21" s="2">
        <f t="shared" si="1"/>
        <v>-0.46295388785862029</v>
      </c>
      <c r="L21" s="2">
        <f t="shared" si="2"/>
        <v>-0.51617467374650483</v>
      </c>
      <c r="M21">
        <f>VLOOKUP(A21,[96]WRDS!$A$1:$O$100,8,FALSE)</f>
        <v>7</v>
      </c>
      <c r="N21">
        <f>VLOOKUP(A21,[96]WRDS!$A$1:$O$100,11,FALSE)</f>
        <v>2.6</v>
      </c>
    </row>
    <row r="22" spans="1:14" x14ac:dyDescent="0.3">
      <c r="A22" t="s">
        <v>48</v>
      </c>
      <c r="B22" t="str">
        <f>VLOOKUP(A22,[95]WRDS!$A$1:$N$100,2,FALSE)</f>
        <v>AZP</v>
      </c>
      <c r="C22" t="str">
        <f>VLOOKUP(A22,[95]WRDS!$A$1:$N$100,3,FALSE)</f>
        <v>PINNACLE WST CAP</v>
      </c>
      <c r="D22">
        <f>VLOOKUP(A22,[95]WRDS!$A$1:$N$100,13,FALSE)</f>
        <v>2.2799999999999998</v>
      </c>
      <c r="E22">
        <f>VLOOKUP(A22,[79]WRDS!$A$1:$N$100,13,FALSE)</f>
        <v>3.17</v>
      </c>
      <c r="F22" s="1">
        <f t="shared" si="3"/>
        <v>2.7819268817782796</v>
      </c>
      <c r="G22" s="1">
        <f t="shared" si="4"/>
        <v>2.7713542499999999</v>
      </c>
      <c r="H22" s="2">
        <f t="shared" si="0"/>
        <v>8.5878173618488596E-2</v>
      </c>
      <c r="I22" s="2">
        <f>VLOOKUP(A22,[96]WRDS!$A$1:$O$100,10,FALSE)/100</f>
        <v>5.0999999999999997E-2</v>
      </c>
      <c r="J22" s="2">
        <f>VLOOKUP(A22,[96]WRDS!$A$1:$O$100,9,FALSE)/100</f>
        <v>0.05</v>
      </c>
      <c r="K22" s="2">
        <f t="shared" si="1"/>
        <v>-0.40613548412701367</v>
      </c>
      <c r="L22" s="2">
        <f t="shared" si="2"/>
        <v>-0.41777988639903296</v>
      </c>
      <c r="M22">
        <f>VLOOKUP(A22,[96]WRDS!$A$1:$O$100,8,FALSE)</f>
        <v>9</v>
      </c>
      <c r="N22">
        <f>VLOOKUP(A22,[96]WRDS!$A$1:$O$100,11,FALSE)</f>
        <v>1.03</v>
      </c>
    </row>
    <row r="23" spans="1:14" x14ac:dyDescent="0.3">
      <c r="A23" t="s">
        <v>49</v>
      </c>
      <c r="B23" t="str">
        <f>VLOOKUP(A23,[95]WRDS!$A$1:$N$100,2,FALSE)</f>
        <v>POM</v>
      </c>
      <c r="C23" t="str">
        <f>VLOOKUP(A23,[95]WRDS!$A$1:$N$100,3,FALSE)</f>
        <v>POTOMAC ELEC</v>
      </c>
      <c r="D23">
        <f>VLOOKUP(A23,[95]WRDS!$A$1:$N$100,13,FALSE)</f>
        <v>1.67</v>
      </c>
      <c r="E23">
        <f>VLOOKUP(A23,[79]WRDS!$A$1:$N$100,13,FALSE)</f>
        <v>1.86</v>
      </c>
      <c r="F23" s="1">
        <f t="shared" si="3"/>
        <v>1.7885976225389828</v>
      </c>
      <c r="G23" s="1">
        <f t="shared" si="4"/>
        <v>1.8076617071999999</v>
      </c>
      <c r="H23" s="2">
        <f t="shared" si="0"/>
        <v>2.7304329137646244E-2</v>
      </c>
      <c r="I23" s="2">
        <f>VLOOKUP(A23,[96]WRDS!$A$1:$O$100,10,FALSE)/100</f>
        <v>1.7299999999999999E-2</v>
      </c>
      <c r="J23" s="2">
        <f>VLOOKUP(A23,[96]WRDS!$A$1:$O$100,9,FALSE)/100</f>
        <v>0.02</v>
      </c>
      <c r="K23" s="2">
        <f t="shared" si="1"/>
        <v>-0.36640084021887315</v>
      </c>
      <c r="L23" s="2">
        <f t="shared" si="2"/>
        <v>-0.26751542221835045</v>
      </c>
      <c r="M23">
        <f>VLOOKUP(A23,[96]WRDS!$A$1:$O$100,8,FALSE)</f>
        <v>11</v>
      </c>
      <c r="N23">
        <f>VLOOKUP(A23,[96]WRDS!$A$1:$O$100,11,FALSE)</f>
        <v>0.85</v>
      </c>
    </row>
    <row r="24" spans="1:14" x14ac:dyDescent="0.3">
      <c r="A24" t="s">
        <v>51</v>
      </c>
      <c r="B24" t="str">
        <f>VLOOKUP(A24,[95]WRDS!$A$1:$N$100,2,FALSE)</f>
        <v>PPL</v>
      </c>
      <c r="C24" t="str">
        <f>VLOOKUP(A24,[95]WRDS!$A$1:$N$100,3,FALSE)</f>
        <v>PP&amp;L RESOURCES</v>
      </c>
      <c r="D24">
        <f>VLOOKUP(A24,[95]WRDS!$A$1:$N$100,13,FALSE)</f>
        <v>0.97</v>
      </c>
      <c r="E24">
        <f>VLOOKUP(A24,[79]WRDS!$A$1:$N$100,13,FALSE)</f>
        <v>1.1599999999999999</v>
      </c>
      <c r="F24" s="1">
        <f t="shared" si="3"/>
        <v>1.0474908819673645</v>
      </c>
      <c r="G24" s="1">
        <f t="shared" si="4"/>
        <v>1.0133893984817697</v>
      </c>
      <c r="H24" s="2">
        <f t="shared" si="0"/>
        <v>4.5734807256270216E-2</v>
      </c>
      <c r="I24" s="2">
        <f>VLOOKUP(A24,[96]WRDS!$A$1:$O$100,10,FALSE)/100</f>
        <v>1.9400000000000001E-2</v>
      </c>
      <c r="J24" s="2">
        <f>VLOOKUP(A24,[96]WRDS!$A$1:$O$100,9,FALSE)/100</f>
        <v>1.1000000000000001E-2</v>
      </c>
      <c r="K24" s="2">
        <f t="shared" si="1"/>
        <v>-0.5758154201614073</v>
      </c>
      <c r="L24" s="2">
        <f t="shared" si="2"/>
        <v>-0.75948297019461231</v>
      </c>
      <c r="M24">
        <f>VLOOKUP(A24,[96]WRDS!$A$1:$O$100,8,FALSE)</f>
        <v>10</v>
      </c>
      <c r="N24">
        <f>VLOOKUP(A24,[96]WRDS!$A$1:$O$100,11,FALSE)</f>
        <v>1.85</v>
      </c>
    </row>
    <row r="25" spans="1:14" x14ac:dyDescent="0.3">
      <c r="A25" t="s">
        <v>91</v>
      </c>
      <c r="B25" t="str">
        <f>VLOOKUP(A25,[95]WRDS!$A$1:$N$100,2,FALSE)</f>
        <v>PSD</v>
      </c>
      <c r="C25" t="str">
        <f>VLOOKUP(A25,[95]WRDS!$A$1:$N$100,3,FALSE)</f>
        <v>PUGET SOUND P&amp;L</v>
      </c>
      <c r="D25">
        <f>VLOOKUP(A25,[95]WRDS!$A$1:$N$100,13,FALSE)</f>
        <v>1.89</v>
      </c>
      <c r="E25">
        <f>VLOOKUP(A25,[79]WRDS!$A$1:$N$100,13,FALSE)</f>
        <v>2.0099999999999998</v>
      </c>
      <c r="F25" s="1">
        <f t="shared" si="3"/>
        <v>2.145444197455161</v>
      </c>
      <c r="G25" s="1">
        <f t="shared" si="4"/>
        <v>2.1107376788198398</v>
      </c>
      <c r="H25" s="2">
        <f t="shared" si="0"/>
        <v>1.550850100091683E-2</v>
      </c>
      <c r="I25" s="2">
        <f>VLOOKUP(A25,[96]WRDS!$A$1:$O$100,10,FALSE)/100</f>
        <v>3.2199999999999999E-2</v>
      </c>
      <c r="J25" s="2">
        <f>VLOOKUP(A25,[96]WRDS!$A$1:$O$100,9,FALSE)/100</f>
        <v>2.7999999999999997E-2</v>
      </c>
      <c r="K25" s="2">
        <f t="shared" si="1"/>
        <v>1.076280615263616</v>
      </c>
      <c r="L25" s="2">
        <f t="shared" si="2"/>
        <v>0.80546140457705717</v>
      </c>
      <c r="M25">
        <f>VLOOKUP(A25,[96]WRDS!$A$1:$O$100,8,FALSE)</f>
        <v>6</v>
      </c>
      <c r="N25">
        <f>VLOOKUP(A25,[96]WRDS!$A$1:$O$100,11,FALSE)</f>
        <v>1.59</v>
      </c>
    </row>
    <row r="26" spans="1:14" x14ac:dyDescent="0.3">
      <c r="A26" t="s">
        <v>52</v>
      </c>
      <c r="B26" t="str">
        <f>VLOOKUP(A26,[95]WRDS!$A$1:$N$100,2,FALSE)</f>
        <v>SCG</v>
      </c>
      <c r="C26" t="str">
        <f>VLOOKUP(A26,[95]WRDS!$A$1:$N$100,3,FALSE)</f>
        <v>SCANA CP</v>
      </c>
      <c r="D26">
        <f>VLOOKUP(A26,[95]WRDS!$A$1:$N$100,13,FALSE)</f>
        <v>1.6950000000000001</v>
      </c>
      <c r="E26">
        <f>VLOOKUP(A26,[79]WRDS!$A$1:$N$100,13,FALSE)</f>
        <v>1.39</v>
      </c>
      <c r="F26" s="1">
        <f t="shared" si="3"/>
        <v>1.9412956551756309</v>
      </c>
      <c r="G26" s="1">
        <f t="shared" si="4"/>
        <v>1.9450514860593746</v>
      </c>
      <c r="H26" s="2">
        <f t="shared" si="0"/>
        <v>-4.8385010154192831E-2</v>
      </c>
      <c r="I26" s="2">
        <f>VLOOKUP(A26,[96]WRDS!$A$1:$O$100,10,FALSE)/100</f>
        <v>3.4500000000000003E-2</v>
      </c>
      <c r="J26" s="2">
        <f>VLOOKUP(A26,[96]WRDS!$A$1:$O$100,9,FALSE)/100</f>
        <v>3.5000000000000003E-2</v>
      </c>
      <c r="K26" s="2">
        <f t="shared" si="1"/>
        <v>1.7130307483672271</v>
      </c>
      <c r="L26" s="2">
        <f t="shared" si="2"/>
        <v>1.7233645273290712</v>
      </c>
      <c r="M26">
        <f>VLOOKUP(A26,[96]WRDS!$A$1:$O$100,8,FALSE)</f>
        <v>8</v>
      </c>
      <c r="N26">
        <f>VLOOKUP(A26,[96]WRDS!$A$1:$O$100,11,FALSE)</f>
        <v>1.48</v>
      </c>
    </row>
    <row r="27" spans="1:14" x14ac:dyDescent="0.3">
      <c r="A27" t="s">
        <v>53</v>
      </c>
      <c r="B27" t="str">
        <f>VLOOKUP(A27,[95]WRDS!$A$1:$N$100,2,FALSE)</f>
        <v>SO</v>
      </c>
      <c r="C27" t="str">
        <f>VLOOKUP(A27,[95]WRDS!$A$1:$N$100,3,FALSE)</f>
        <v>SOUTHN CO</v>
      </c>
      <c r="D27">
        <f>VLOOKUP(A27,[95]WRDS!$A$1:$N$100,13,FALSE)</f>
        <v>1.66</v>
      </c>
      <c r="E27">
        <f>VLOOKUP(A27,[79]WRDS!$A$1:$N$100,13,FALSE)</f>
        <v>1.78</v>
      </c>
      <c r="F27" s="1">
        <f t="shared" si="3"/>
        <v>1.9241013324474208</v>
      </c>
      <c r="G27" s="1">
        <f t="shared" si="4"/>
        <v>1.9270700514057602</v>
      </c>
      <c r="H27" s="2">
        <f t="shared" si="0"/>
        <v>1.760206255534591E-2</v>
      </c>
      <c r="I27" s="2">
        <f>VLOOKUP(A27,[96]WRDS!$A$1:$O$100,10,FALSE)/100</f>
        <v>3.7599999999999995E-2</v>
      </c>
      <c r="J27" s="2">
        <f>VLOOKUP(A27,[96]WRDS!$A$1:$O$100,9,FALSE)/100</f>
        <v>3.7999999999999999E-2</v>
      </c>
      <c r="K27" s="2">
        <f t="shared" si="1"/>
        <v>1.1361133038685018</v>
      </c>
      <c r="L27" s="2">
        <f t="shared" si="2"/>
        <v>1.1588379134841245</v>
      </c>
      <c r="M27">
        <f>VLOOKUP(A27,[96]WRDS!$A$1:$O$100,8,FALSE)</f>
        <v>14</v>
      </c>
      <c r="N27">
        <f>VLOOKUP(A27,[96]WRDS!$A$1:$O$100,11,FALSE)</f>
        <v>1.03</v>
      </c>
    </row>
    <row r="28" spans="1:14" x14ac:dyDescent="0.3">
      <c r="A28" t="s">
        <v>75</v>
      </c>
      <c r="B28" t="str">
        <f>VLOOKUP(A28,[95]WRDS!$A$1:$N$100,2,FALSE)</f>
        <v>TE</v>
      </c>
      <c r="C28" t="str">
        <f>VLOOKUP(A28,[95]WRDS!$A$1:$N$100,3,FALSE)</f>
        <v>TECO ENERGY INC</v>
      </c>
      <c r="D28">
        <f>VLOOKUP(A28,[95]WRDS!$A$1:$N$100,13,FALSE)</f>
        <v>1.6</v>
      </c>
      <c r="E28">
        <f>VLOOKUP(A28,[79]WRDS!$A$1:$N$100,13,FALSE)</f>
        <v>1.53</v>
      </c>
      <c r="F28" s="1">
        <f t="shared" si="3"/>
        <v>1.9219442321922426</v>
      </c>
      <c r="G28" s="1">
        <f t="shared" si="4"/>
        <v>1.9448100000000001</v>
      </c>
      <c r="H28" s="2">
        <f t="shared" si="0"/>
        <v>-1.1121665329653752E-2</v>
      </c>
      <c r="I28" s="2">
        <f>VLOOKUP(A28,[96]WRDS!$A$1:$O$100,10,FALSE)/100</f>
        <v>4.6900000000000004E-2</v>
      </c>
      <c r="J28" s="2">
        <f>VLOOKUP(A28,[96]WRDS!$A$1:$O$100,9,FALSE)/100</f>
        <v>0.05</v>
      </c>
      <c r="K28" s="2">
        <f t="shared" si="1"/>
        <v>5.2169943627911817</v>
      </c>
      <c r="L28" s="2">
        <f t="shared" si="2"/>
        <v>5.4957295978584026</v>
      </c>
      <c r="M28">
        <f>VLOOKUP(A28,[96]WRDS!$A$1:$O$100,8,FALSE)</f>
        <v>14</v>
      </c>
      <c r="N28">
        <f>VLOOKUP(A28,[96]WRDS!$A$1:$O$100,11,FALSE)</f>
        <v>0.88</v>
      </c>
    </row>
    <row r="29" spans="1:14" x14ac:dyDescent="0.3">
      <c r="A29" t="s">
        <v>79</v>
      </c>
      <c r="B29" t="str">
        <f>VLOOKUP(A29,[95]WRDS!$A$1:$N$100,2,FALSE)</f>
        <v>UIL</v>
      </c>
      <c r="C29" t="str">
        <f>VLOOKUP(A29,[95]WRDS!$A$1:$N$100,3,FALSE)</f>
        <v>UTD ILLUM CO</v>
      </c>
      <c r="D29">
        <f>VLOOKUP(A29,[95]WRDS!$A$1:$N$100,13,FALSE)</f>
        <v>2.1659999999999999</v>
      </c>
      <c r="E29">
        <f>VLOOKUP(A29,[79]WRDS!$A$1:$N$100,13,FALSE)</f>
        <v>2.202</v>
      </c>
      <c r="F29" s="1">
        <f t="shared" si="3"/>
        <v>2.4387989590162884</v>
      </c>
      <c r="G29" s="1">
        <f t="shared" si="4"/>
        <v>2.4378520824599996</v>
      </c>
      <c r="H29" s="2">
        <f t="shared" si="0"/>
        <v>4.1294753133449547E-3</v>
      </c>
      <c r="I29" s="2">
        <f>VLOOKUP(A29,[96]WRDS!$A$1:$O$100,10,FALSE)/100</f>
        <v>3.0099999999999998E-2</v>
      </c>
      <c r="J29" s="2">
        <f>VLOOKUP(A29,[96]WRDS!$A$1:$O$100,9,FALSE)/100</f>
        <v>0.03</v>
      </c>
      <c r="K29" s="2">
        <f t="shared" si="1"/>
        <v>6.2890616158250907</v>
      </c>
      <c r="L29" s="2">
        <f t="shared" si="2"/>
        <v>6.2648454642774993</v>
      </c>
      <c r="M29">
        <f>VLOOKUP(A29,[96]WRDS!$A$1:$O$100,8,FALSE)</f>
        <v>3</v>
      </c>
      <c r="N29">
        <f>VLOOKUP(A29,[96]WRDS!$A$1:$O$100,11,FALSE)</f>
        <v>0.32</v>
      </c>
    </row>
    <row r="30" spans="1:14" x14ac:dyDescent="0.3">
      <c r="A30" t="s">
        <v>55</v>
      </c>
      <c r="B30" t="str">
        <f>VLOOKUP(A30,[95]WRDS!$A$1:$N$100,2,FALSE)</f>
        <v>WPC</v>
      </c>
      <c r="C30" t="str">
        <f>VLOOKUP(A30,[95]WRDS!$A$1:$N$100,3,FALSE)</f>
        <v>WISCONSIN ENERGY</v>
      </c>
      <c r="D30">
        <f>VLOOKUP(A30,[95]WRDS!$A$1:$N$100,13,FALSE)</f>
        <v>1.0649999999999999</v>
      </c>
      <c r="E30">
        <f>VLOOKUP(A30,[79]WRDS!$A$1:$N$100,13,FALSE)</f>
        <v>0.94</v>
      </c>
      <c r="F30" s="1">
        <f t="shared" si="3"/>
        <v>1.2420702509314312</v>
      </c>
      <c r="G30" s="1">
        <f t="shared" si="4"/>
        <v>1.2458993664000002</v>
      </c>
      <c r="H30" s="2">
        <f t="shared" si="0"/>
        <v>-3.0730467757087321E-2</v>
      </c>
      <c r="I30" s="2">
        <f>VLOOKUP(A30,[96]WRDS!$A$1:$O$100,10,FALSE)/100</f>
        <v>3.9199999999999999E-2</v>
      </c>
      <c r="J30" s="2">
        <f>VLOOKUP(A30,[96]WRDS!$A$1:$O$100,9,FALSE)/100</f>
        <v>0.04</v>
      </c>
      <c r="K30" s="2">
        <f t="shared" si="1"/>
        <v>2.2756070070218621</v>
      </c>
      <c r="L30" s="2">
        <f t="shared" si="2"/>
        <v>2.3016398030835332</v>
      </c>
      <c r="M30">
        <f>VLOOKUP(A30,[96]WRDS!$A$1:$O$100,8,FALSE)</f>
        <v>14</v>
      </c>
      <c r="N30">
        <f>VLOOKUP(A30,[96]WRDS!$A$1:$O$100,11,FALSE)</f>
        <v>1.86</v>
      </c>
    </row>
    <row r="31" spans="1:14" x14ac:dyDescent="0.3">
      <c r="A31" t="s">
        <v>95</v>
      </c>
      <c r="B31" t="str">
        <f>VLOOKUP(A31,[95]WRDS!$A$1:$N$100,2,FALSE)</f>
        <v>WPS</v>
      </c>
      <c r="C31" t="str">
        <f>VLOOKUP(A31,[95]WRDS!$A$1:$N$100,3,FALSE)</f>
        <v>WPS RESOURCES CP</v>
      </c>
      <c r="D31">
        <f>VLOOKUP(A31,[95]WRDS!$A$1:$N$100,13,FALSE)</f>
        <v>2.37</v>
      </c>
      <c r="E31">
        <f>VLOOKUP(A31,[79]WRDS!$A$1:$N$100,13,FALSE)</f>
        <v>2.2400000000000002</v>
      </c>
      <c r="F31" s="1">
        <f t="shared" si="3"/>
        <v>2.6540145860430018</v>
      </c>
      <c r="G31" s="1">
        <f t="shared" si="4"/>
        <v>2.6467980416947201</v>
      </c>
      <c r="H31" s="2">
        <f t="shared" si="0"/>
        <v>-1.4004533558931387E-2</v>
      </c>
      <c r="I31" s="2">
        <f>VLOOKUP(A31,[96]WRDS!$A$1:$O$100,10,FALSE)/100</f>
        <v>2.87E-2</v>
      </c>
      <c r="J31" s="2">
        <f>VLOOKUP(A31,[96]WRDS!$A$1:$O$100,9,FALSE)/100</f>
        <v>2.7999999999999997E-2</v>
      </c>
      <c r="K31" s="2">
        <f t="shared" si="1"/>
        <v>3.0493363723418399</v>
      </c>
      <c r="L31" s="2">
        <f t="shared" si="2"/>
        <v>2.9993525583822822</v>
      </c>
      <c r="M31">
        <f>VLOOKUP(A31,[96]WRDS!$A$1:$O$100,8,FALSE)</f>
        <v>6</v>
      </c>
      <c r="N31">
        <f>VLOOKUP(A31,[96]WRDS!$A$1:$O$100,11,FALSE)</f>
        <v>0.88</v>
      </c>
    </row>
    <row r="32" spans="1:14" x14ac:dyDescent="0.3">
      <c r="A32" t="s">
        <v>64</v>
      </c>
      <c r="B32" t="str">
        <f>VLOOKUP(A32,[95]WRDS!$A$1:$N$100,2,FALSE)</f>
        <v>KAN</v>
      </c>
      <c r="C32" t="str">
        <f>VLOOKUP(A32,[95]WRDS!$A$1:$N$100,3,FALSE)</f>
        <v>WESTN RESOURCES</v>
      </c>
      <c r="D32">
        <f>VLOOKUP(A32,[95]WRDS!$A$1:$N$100,13,FALSE)</f>
        <v>2.83</v>
      </c>
      <c r="E32">
        <f>VLOOKUP(A32,[79]WRDS!$A$1:$N$100,13,FALSE)</f>
        <v>0.48</v>
      </c>
      <c r="F32" s="1">
        <f t="shared" si="3"/>
        <v>3.1802449459509794</v>
      </c>
      <c r="G32" s="1">
        <f t="shared" si="4"/>
        <v>3.1851899322999997</v>
      </c>
      <c r="H32" s="2">
        <f t="shared" si="0"/>
        <v>-0.35825321673361843</v>
      </c>
      <c r="I32" s="2">
        <f>VLOOKUP(A32,[96]WRDS!$A$1:$O$100,10,FALSE)/100</f>
        <v>2.9600000000000001E-2</v>
      </c>
      <c r="J32" s="2">
        <f>VLOOKUP(A32,[96]WRDS!$A$1:$O$100,9,FALSE)/100</f>
        <v>0.03</v>
      </c>
      <c r="K32" s="2">
        <f t="shared" si="1"/>
        <v>1.0826231241407367</v>
      </c>
      <c r="L32" s="2">
        <f t="shared" si="2"/>
        <v>1.0837396528453414</v>
      </c>
      <c r="M32">
        <f>VLOOKUP(A32,[96]WRDS!$A$1:$O$100,8,FALSE)</f>
        <v>10</v>
      </c>
      <c r="N32">
        <f>VLOOKUP(A32,[96]WRDS!$A$1:$O$100,11,FALSE)</f>
        <v>1.05</v>
      </c>
    </row>
    <row r="33" spans="1:14" x14ac:dyDescent="0.3">
      <c r="A33" t="s">
        <v>132</v>
      </c>
      <c r="B33" t="str">
        <f>VLOOKUP(A33,'[5]Ticker List'!$H$4:$I$20,2,FALSE)</f>
        <v>EGAS</v>
      </c>
      <c r="C33" t="str">
        <f>VLOOKUP(A33,[97]iyw0krvfeyqarai9!$B$1:$N$13,2,FALSE)</f>
        <v>ATMOS ENERGY CP</v>
      </c>
      <c r="D33">
        <f>VLOOKUP(A33,[97]iyw0krvfeyqarai9!$B$1:$N$13,12,FALSE)</f>
        <v>1.51</v>
      </c>
      <c r="E33">
        <f>VLOOKUP(A33,[81]orbaaz2iyp1f1tmo!$B$1:$N$14,12,FALSE)</f>
        <v>1.02</v>
      </c>
      <c r="F33" s="1">
        <f t="shared" si="3"/>
        <v>2.0090653926897608</v>
      </c>
      <c r="G33" s="1">
        <f t="shared" si="4"/>
        <v>2.1314882311000005</v>
      </c>
      <c r="H33" s="2">
        <f t="shared" si="0"/>
        <v>-9.342068421227534E-2</v>
      </c>
      <c r="I33" s="2">
        <f>VLOOKUP(A33,[98]phuttuxb7swicayh!$B$1:$N$13,9,FALSE)/100</f>
        <v>7.400000000000001E-2</v>
      </c>
      <c r="J33" s="2">
        <f>VLOOKUP(A33,[98]phuttuxb7swicayh!$B$1:$N$13,8,FALSE)/100</f>
        <v>0.09</v>
      </c>
      <c r="K33" s="2">
        <f t="shared" si="1"/>
        <v>1.7921157998784654</v>
      </c>
      <c r="L33" s="2">
        <f t="shared" si="2"/>
        <v>1.9633840809332685</v>
      </c>
      <c r="M33">
        <f>VLOOKUP(A33,[98]phuttuxb7swicayh!$B$1:$N$13,7,FALSE)</f>
        <v>5</v>
      </c>
      <c r="N33">
        <f>VLOOKUP(A33,[98]phuttuxb7swicayh!$B$1:$N$13,10,FALSE)</f>
        <v>2.2999999999999998</v>
      </c>
    </row>
    <row r="34" spans="1:14" x14ac:dyDescent="0.3">
      <c r="A34" t="s">
        <v>133</v>
      </c>
      <c r="B34" t="str">
        <f>VLOOKUP(A34,'[5]Ticker List'!$H$4:$I$20,2,FALSE)</f>
        <v>CHPK</v>
      </c>
      <c r="C34" t="str">
        <f>VLOOKUP(A34,[97]iyw0krvfeyqarai9!$B$1:$N$13,2,FALSE)</f>
        <v>CHESAPEAKE UTIL</v>
      </c>
      <c r="D34">
        <f>VLOOKUP(A34,[97]iyw0krvfeyqarai9!$B$1:$N$13,12,FALSE)</f>
        <v>1.1867000000000001</v>
      </c>
      <c r="E34">
        <f>VLOOKUP(A34,[81]orbaaz2iyp1f1tmo!$B$1:$N$14,12,FALSE)</f>
        <v>0.74</v>
      </c>
      <c r="F34" s="1">
        <f t="shared" si="3"/>
        <v>1.3356413048269999</v>
      </c>
      <c r="G34" s="1">
        <f t="shared" si="4"/>
        <v>1.3356413048269999</v>
      </c>
      <c r="H34" s="2">
        <f t="shared" si="0"/>
        <v>-0.11136647350067519</v>
      </c>
      <c r="I34" s="2">
        <f>VLOOKUP(A34,[98]phuttuxb7swicayh!$B$1:$N$13,9,FALSE)/100</f>
        <v>0.03</v>
      </c>
      <c r="J34" s="2">
        <f>VLOOKUP(A34,[98]phuttuxb7swicayh!$B$1:$N$13,8,FALSE)/100</f>
        <v>0.03</v>
      </c>
      <c r="K34" s="2">
        <f t="shared" si="1"/>
        <v>1.2693808922648351</v>
      </c>
      <c r="L34" s="2">
        <f t="shared" si="2"/>
        <v>1.2693808922648351</v>
      </c>
      <c r="M34">
        <f>VLOOKUP(A34,[98]phuttuxb7swicayh!$B$1:$N$13,7,FALSE)</f>
        <v>1</v>
      </c>
      <c r="N34">
        <f>VLOOKUP(A34,[98]phuttuxb7swicayh!$B$1:$N$13,10,FALSE)</f>
        <v>0</v>
      </c>
    </row>
    <row r="35" spans="1:14" x14ac:dyDescent="0.3">
      <c r="A35" t="s">
        <v>134</v>
      </c>
      <c r="B35" t="str">
        <f>VLOOKUP(A35,'[5]Ticker List'!$H$4:$I$20,2,FALSE)</f>
        <v>NJR</v>
      </c>
      <c r="C35" t="str">
        <f>VLOOKUP(A35,[97]iyw0krvfeyqarai9!$B$1:$N$13,2,FALSE)</f>
        <v>NEW JERSEY RES</v>
      </c>
      <c r="D35">
        <f>VLOOKUP(A35,[97]iyw0krvfeyqarai9!$B$1:$N$13,12,FALSE)</f>
        <v>0.45779999999999998</v>
      </c>
      <c r="E35">
        <f>VLOOKUP(A35,[81]orbaaz2iyp1f1tmo!$B$1:$N$14,12,FALSE)</f>
        <v>0.5978</v>
      </c>
      <c r="F35" s="1">
        <f t="shared" si="3"/>
        <v>0.56071057582740491</v>
      </c>
      <c r="G35" s="1">
        <f t="shared" si="4"/>
        <v>0.55645876124999993</v>
      </c>
      <c r="H35" s="2">
        <f t="shared" si="0"/>
        <v>6.8981109376103023E-2</v>
      </c>
      <c r="I35" s="2">
        <f>VLOOKUP(A35,[98]phuttuxb7swicayh!$B$1:$N$13,9,FALSE)/100</f>
        <v>5.2000000000000005E-2</v>
      </c>
      <c r="J35" s="2">
        <f>VLOOKUP(A35,[98]phuttuxb7swicayh!$B$1:$N$13,8,FALSE)/100</f>
        <v>0.05</v>
      </c>
      <c r="K35" s="2">
        <f t="shared" si="1"/>
        <v>-0.24617043027704258</v>
      </c>
      <c r="L35" s="2">
        <f t="shared" si="2"/>
        <v>-0.27516387526638714</v>
      </c>
      <c r="M35">
        <f>VLOOKUP(A35,[98]phuttuxb7swicayh!$B$1:$N$13,7,FALSE)</f>
        <v>5</v>
      </c>
      <c r="N35">
        <f>VLOOKUP(A35,[98]phuttuxb7swicayh!$B$1:$N$13,10,FALSE)</f>
        <v>1.1000000000000001</v>
      </c>
    </row>
    <row r="36" spans="1:14" x14ac:dyDescent="0.3">
      <c r="A36" t="s">
        <v>135</v>
      </c>
      <c r="B36" t="str">
        <f>VLOOKUP(A36,'[5]Ticker List'!$H$4:$I$20,2,FALSE)</f>
        <v>NI</v>
      </c>
      <c r="C36" t="str">
        <f>VLOOKUP(A36,[97]iyw0krvfeyqarai9!$B$1:$N$13,2,FALSE)</f>
        <v>NIPSCO IND INC</v>
      </c>
      <c r="D36">
        <f>VLOOKUP(A36,[97]iyw0krvfeyqarai9!$B$1:$N$13,12,FALSE)</f>
        <v>1.35</v>
      </c>
      <c r="E36">
        <f>VLOOKUP(A36,[81]orbaaz2iyp1f1tmo!$B$1:$N$14,12,FALSE)</f>
        <v>1.43</v>
      </c>
      <c r="F36" s="1">
        <f t="shared" si="3"/>
        <v>1.6484477168605589</v>
      </c>
      <c r="G36" s="1">
        <f t="shared" si="4"/>
        <v>1.6409334375000002</v>
      </c>
      <c r="H36" s="2">
        <f t="shared" si="0"/>
        <v>1.4496533126299616E-2</v>
      </c>
      <c r="I36" s="2">
        <f>VLOOKUP(A36,[98]phuttuxb7swicayh!$B$1:$N$13,9,FALSE)/100</f>
        <v>5.1200000000000002E-2</v>
      </c>
      <c r="J36" s="2">
        <f>VLOOKUP(A36,[98]phuttuxb7swicayh!$B$1:$N$13,8,FALSE)/100</f>
        <v>0.05</v>
      </c>
      <c r="K36" s="2">
        <f t="shared" si="1"/>
        <v>2.5318789364274239</v>
      </c>
      <c r="L36" s="2">
        <f t="shared" si="2"/>
        <v>2.4491005238549062</v>
      </c>
      <c r="M36">
        <f>VLOOKUP(A36,[98]phuttuxb7swicayh!$B$1:$N$13,7,FALSE)</f>
        <v>13</v>
      </c>
      <c r="N36">
        <f>VLOOKUP(A36,[98]phuttuxb7swicayh!$B$1:$N$13,10,FALSE)</f>
        <v>1.24</v>
      </c>
    </row>
    <row r="37" spans="1:14" x14ac:dyDescent="0.3">
      <c r="A37" t="s">
        <v>138</v>
      </c>
      <c r="B37" t="str">
        <f>VLOOKUP(A37,'[5]Ticker List'!$H$4:$I$20,2,FALSE)</f>
        <v>SJI</v>
      </c>
      <c r="C37" t="str">
        <f>VLOOKUP(A37,[97]iyw0krvfeyqarai9!$B$1:$N$13,2,FALSE)</f>
        <v>SO JERSEY INDS</v>
      </c>
      <c r="D37">
        <f>VLOOKUP(A37,[97]iyw0krvfeyqarai9!$B$1:$N$13,12,FALSE)</f>
        <v>0.41</v>
      </c>
      <c r="E37">
        <f>VLOOKUP(A37,[81]orbaaz2iyp1f1tmo!$B$1:$N$14,12,FALSE)</f>
        <v>0.505</v>
      </c>
      <c r="F37" s="1">
        <f t="shared" si="3"/>
        <v>0.47048443025624986</v>
      </c>
      <c r="G37" s="1">
        <f t="shared" si="4"/>
        <v>0.47048443025624986</v>
      </c>
      <c r="H37" s="2">
        <f t="shared" si="0"/>
        <v>5.3481419723564017E-2</v>
      </c>
      <c r="I37" s="2">
        <f>VLOOKUP(A37,[98]phuttuxb7swicayh!$B$1:$N$13,9,FALSE)/100</f>
        <v>3.5000000000000003E-2</v>
      </c>
      <c r="J37" s="2">
        <f>VLOOKUP(A37,[98]phuttuxb7swicayh!$B$1:$N$13,8,FALSE)/100</f>
        <v>3.5000000000000003E-2</v>
      </c>
      <c r="K37" s="2">
        <f t="shared" si="1"/>
        <v>-0.34556711132747031</v>
      </c>
      <c r="L37" s="2">
        <f t="shared" si="2"/>
        <v>-0.34556711132747031</v>
      </c>
      <c r="M37">
        <f>VLOOKUP(A37,[98]phuttuxb7swicayh!$B$1:$N$13,7,FALSE)</f>
        <v>2</v>
      </c>
      <c r="N37">
        <f>VLOOKUP(A37,[98]phuttuxb7swicayh!$B$1:$N$13,10,FALSE)</f>
        <v>0.71</v>
      </c>
    </row>
    <row r="38" spans="1:14" x14ac:dyDescent="0.3">
      <c r="A38" t="s">
        <v>139</v>
      </c>
      <c r="B38" t="str">
        <f>VLOOKUP(A38,'[5]Ticker List'!$H$4:$I$20,2,FALSE)</f>
        <v>SWX</v>
      </c>
      <c r="C38" t="str">
        <f>VLOOKUP(A38,[97]iyw0krvfeyqarai9!$B$1:$N$13,2,FALSE)</f>
        <v>SOUTHWEST GAS</v>
      </c>
      <c r="D38">
        <f>VLOOKUP(A38,[97]iyw0krvfeyqarai9!$B$1:$N$13,12,FALSE)</f>
        <v>0.73</v>
      </c>
      <c r="E38">
        <f>VLOOKUP(A38,[81]orbaaz2iyp1f1tmo!$B$1:$N$14,12,FALSE)</f>
        <v>1.27</v>
      </c>
      <c r="F38" s="1">
        <f t="shared" si="3"/>
        <v>0.85399674880000009</v>
      </c>
      <c r="G38" s="1">
        <f t="shared" si="4"/>
        <v>0.85399674880000009</v>
      </c>
      <c r="H38" s="2">
        <f t="shared" si="0"/>
        <v>0.14847148100943408</v>
      </c>
      <c r="I38" s="2">
        <f>VLOOKUP(A38,[98]phuttuxb7swicayh!$B$1:$N$13,9,FALSE)/100</f>
        <v>0.04</v>
      </c>
      <c r="J38" s="2">
        <f>VLOOKUP(A38,[98]phuttuxb7swicayh!$B$1:$N$13,8,FALSE)/100</f>
        <v>0.04</v>
      </c>
      <c r="K38" s="2">
        <f t="shared" si="1"/>
        <v>-0.73058799085153359</v>
      </c>
      <c r="L38" s="2">
        <f t="shared" si="2"/>
        <v>-0.73058799085153359</v>
      </c>
      <c r="M38">
        <f>VLOOKUP(A38,[98]phuttuxb7swicayh!$B$1:$N$13,7,FALSE)</f>
        <v>2</v>
      </c>
      <c r="N38">
        <f>VLOOKUP(A38,[98]phuttuxb7swicayh!$B$1:$N$13,10,FALSE)</f>
        <v>1.41</v>
      </c>
    </row>
    <row r="39" spans="1:14" x14ac:dyDescent="0.3">
      <c r="A39" t="s">
        <v>148</v>
      </c>
      <c r="B39" t="str">
        <f>VLOOKUP(A39,'[5]Ticker List'!$H$4:$I$20,2,FALSE)</f>
        <v>AGLT</v>
      </c>
      <c r="C39" t="str">
        <f>VLOOKUP(A39,[97]iyw0krvfeyqarai9!$B$1:$N$13,2,FALSE)</f>
        <v>ATLANTA GAS LT</v>
      </c>
      <c r="D39">
        <f>VLOOKUP(A39,[97]iyw0krvfeyqarai9!$B$1:$N$13,12,FALSE)</f>
        <v>1.36</v>
      </c>
      <c r="E39">
        <f>VLOOKUP(A39,[81]orbaaz2iyp1f1tmo!$B$1:$N$14,12,FALSE)</f>
        <v>1.24</v>
      </c>
      <c r="F39" s="1">
        <f t="shared" si="3"/>
        <v>1.6461721500433191</v>
      </c>
      <c r="G39" s="1">
        <f t="shared" si="4"/>
        <v>1.6530885000000002</v>
      </c>
      <c r="H39" s="2">
        <f t="shared" si="0"/>
        <v>-2.2828719910254924E-2</v>
      </c>
      <c r="I39" s="2">
        <f>VLOOKUP(A39,[98]phuttuxb7swicayh!$B$1:$N$13,9,FALSE)/100</f>
        <v>4.8899999999999999E-2</v>
      </c>
      <c r="J39" s="2">
        <f>VLOOKUP(A39,[98]phuttuxb7swicayh!$B$1:$N$13,8,FALSE)/100</f>
        <v>0.05</v>
      </c>
      <c r="K39" s="2">
        <f t="shared" si="1"/>
        <v>3.1420386334510835</v>
      </c>
      <c r="L39" s="2">
        <f t="shared" si="2"/>
        <v>3.1902235515859751</v>
      </c>
      <c r="M39">
        <f>VLOOKUP(A39,[98]phuttuxb7swicayh!$B$1:$N$13,7,FALSE)</f>
        <v>9</v>
      </c>
      <c r="N39">
        <f>VLOOKUP(A39,[98]phuttuxb7swicayh!$B$1:$N$13,10,FALSE)</f>
        <v>1.54</v>
      </c>
    </row>
    <row r="40" spans="1:14" x14ac:dyDescent="0.3">
      <c r="A40" t="s">
        <v>143</v>
      </c>
      <c r="B40" t="str">
        <f>VLOOKUP(A40,'[5]Ticker List'!$H$4:$I$20,2,FALSE)</f>
        <v>LG</v>
      </c>
      <c r="C40" t="str">
        <f>VLOOKUP(A40,[97]iyw0krvfeyqarai9!$B$1:$N$13,2,FALSE)</f>
        <v>LACLEDE GAS</v>
      </c>
      <c r="D40">
        <f>VLOOKUP(A40,[97]iyw0krvfeyqarai9!$B$1:$N$13,12,FALSE)</f>
        <v>1.88</v>
      </c>
      <c r="E40">
        <f>VLOOKUP(A40,[81]orbaaz2iyp1f1tmo!$B$1:$N$14,12,FALSE)</f>
        <v>1.37</v>
      </c>
      <c r="F40" s="1">
        <f t="shared" si="3"/>
        <v>2.1782627802734384</v>
      </c>
      <c r="G40" s="1">
        <f t="shared" si="4"/>
        <v>2.1782627802734384</v>
      </c>
      <c r="H40" s="2">
        <f t="shared" si="0"/>
        <v>-7.6066573566437756E-2</v>
      </c>
      <c r="I40" s="2">
        <f>VLOOKUP(A40,[98]phuttuxb7swicayh!$B$1:$N$13,9,FALSE)/100</f>
        <v>3.7499999999999999E-2</v>
      </c>
      <c r="J40" s="2">
        <f>VLOOKUP(A40,[98]phuttuxb7swicayh!$B$1:$N$13,8,FALSE)/100</f>
        <v>3.7499999999999999E-2</v>
      </c>
      <c r="K40" s="2">
        <f t="shared" si="1"/>
        <v>1.4929892098695219</v>
      </c>
      <c r="L40" s="2">
        <f t="shared" si="2"/>
        <v>1.4929892098695219</v>
      </c>
      <c r="M40">
        <f>VLOOKUP(A40,[98]phuttuxb7swicayh!$B$1:$N$13,7,FALSE)</f>
        <v>2</v>
      </c>
      <c r="N40">
        <f>VLOOKUP(A40,[98]phuttuxb7swicayh!$B$1:$N$13,10,FALSE)</f>
        <v>1.06</v>
      </c>
    </row>
    <row r="41" spans="1:14" x14ac:dyDescent="0.3">
      <c r="A41" t="s">
        <v>144</v>
      </c>
      <c r="B41" t="str">
        <f>VLOOKUP(A41,'[5]Ticker List'!$H$4:$I$20,2,FALSE)</f>
        <v>GAS</v>
      </c>
      <c r="C41" t="str">
        <f>VLOOKUP(A41,[97]iyw0krvfeyqarai9!$B$1:$N$13,2,FALSE)</f>
        <v>NICOR INC</v>
      </c>
      <c r="D41">
        <f>VLOOKUP(A41,[97]iyw0krvfeyqarai9!$B$1:$N$13,12,FALSE)</f>
        <v>1.97</v>
      </c>
      <c r="E41">
        <f>VLOOKUP(A41,[81]orbaaz2iyp1f1tmo!$B$1:$N$14,12,FALSE)</f>
        <v>2.63</v>
      </c>
      <c r="F41" s="1">
        <f t="shared" si="3"/>
        <v>2.3609735811857879</v>
      </c>
      <c r="G41" s="1">
        <f t="shared" si="4"/>
        <v>2.3945473124999999</v>
      </c>
      <c r="H41" s="2">
        <f t="shared" si="0"/>
        <v>7.4910686561728834E-2</v>
      </c>
      <c r="I41" s="2">
        <f>VLOOKUP(A41,[98]phuttuxb7swicayh!$B$1:$N$13,9,FALSE)/100</f>
        <v>4.6300000000000001E-2</v>
      </c>
      <c r="J41" s="2">
        <f>VLOOKUP(A41,[98]phuttuxb7swicayh!$B$1:$N$13,8,FALSE)/100</f>
        <v>0.05</v>
      </c>
      <c r="K41" s="2">
        <f t="shared" si="1"/>
        <v>-0.38193064133984006</v>
      </c>
      <c r="L41" s="2">
        <f t="shared" si="2"/>
        <v>-0.33253848956786181</v>
      </c>
      <c r="M41">
        <f>VLOOKUP(A41,[98]phuttuxb7swicayh!$B$1:$N$13,7,FALSE)</f>
        <v>8</v>
      </c>
      <c r="N41">
        <f>VLOOKUP(A41,[98]phuttuxb7swicayh!$B$1:$N$13,10,FALSE)</f>
        <v>1.3</v>
      </c>
    </row>
    <row r="42" spans="1:14" x14ac:dyDescent="0.3">
      <c r="A42" t="s">
        <v>146</v>
      </c>
      <c r="B42" t="str">
        <f>VLOOKUP(A42,'[5]Ticker List'!$H$4:$I$20,2,FALSE)</f>
        <v>PNY</v>
      </c>
      <c r="C42" t="str">
        <f>VLOOKUP(A42,[97]iyw0krvfeyqarai9!$B$1:$N$13,2,FALSE)</f>
        <v>PIEDMONT NAT GAS</v>
      </c>
      <c r="D42">
        <f>VLOOKUP(A42,[97]iyw0krvfeyqarai9!$B$1:$N$13,12,FALSE)</f>
        <v>0.83499999999999996</v>
      </c>
      <c r="E42">
        <f>VLOOKUP(A42,[81]orbaaz2iyp1f1tmo!$B$1:$N$14,12,FALSE)</f>
        <v>0.92500000000000004</v>
      </c>
      <c r="F42" s="1">
        <f t="shared" si="3"/>
        <v>1.1027209279897605</v>
      </c>
      <c r="G42" s="1">
        <f t="shared" si="4"/>
        <v>1.09451466835</v>
      </c>
      <c r="H42" s="2">
        <f t="shared" si="0"/>
        <v>2.5920751144423937E-2</v>
      </c>
      <c r="I42" s="2">
        <f>VLOOKUP(A42,[98]phuttuxb7swicayh!$B$1:$N$13,9,FALSE)/100</f>
        <v>7.2000000000000008E-2</v>
      </c>
      <c r="J42" s="2">
        <f>VLOOKUP(A42,[98]phuttuxb7swicayh!$B$1:$N$13,8,FALSE)/100</f>
        <v>7.0000000000000007E-2</v>
      </c>
      <c r="K42" s="2">
        <f t="shared" si="1"/>
        <v>1.7776972819512071</v>
      </c>
      <c r="L42" s="2">
        <f t="shared" si="2"/>
        <v>1.7005390241192291</v>
      </c>
      <c r="M42">
        <f>VLOOKUP(A42,[98]phuttuxb7swicayh!$B$1:$N$13,7,FALSE)</f>
        <v>5</v>
      </c>
      <c r="N42">
        <f>VLOOKUP(A42,[98]phuttuxb7swicayh!$B$1:$N$13,10,FALSE)</f>
        <v>2.4900000000000002</v>
      </c>
    </row>
    <row r="43" spans="1:14" x14ac:dyDescent="0.3">
      <c r="A43" t="s">
        <v>145</v>
      </c>
      <c r="B43" t="str">
        <f>VLOOKUP(A43,'[5]Ticker List'!$H$4:$I$20,2,FALSE)</f>
        <v>WGL</v>
      </c>
      <c r="C43" t="str">
        <f>VLOOKUP(A43,[97]iyw0krvfeyqarai9!$B$1:$N$13,2,FALSE)</f>
        <v>WASH GAS LT</v>
      </c>
      <c r="D43">
        <f>VLOOKUP(A43,[97]iyw0krvfeyqarai9!$B$1:$N$13,12,FALSE)</f>
        <v>1.86</v>
      </c>
      <c r="E43">
        <f>VLOOKUP(A43,[81]orbaaz2iyp1f1tmo!$B$1:$N$14,12,FALSE)</f>
        <v>1.79</v>
      </c>
      <c r="F43" s="1">
        <f t="shared" si="3"/>
        <v>2.1759369216000004</v>
      </c>
      <c r="G43" s="1">
        <f t="shared" si="4"/>
        <v>2.0934463866000002</v>
      </c>
      <c r="H43" s="2">
        <f t="shared" si="0"/>
        <v>-9.5443774912419288E-3</v>
      </c>
      <c r="I43" s="2">
        <f>VLOOKUP(A43,[98]phuttuxb7swicayh!$B$1:$N$13,9,FALSE)/100</f>
        <v>0.04</v>
      </c>
      <c r="J43" s="2">
        <f>VLOOKUP(A43,[98]phuttuxb7swicayh!$B$1:$N$13,8,FALSE)/100</f>
        <v>0.03</v>
      </c>
      <c r="K43" s="2">
        <f t="shared" si="1"/>
        <v>5.1909490730751831</v>
      </c>
      <c r="L43" s="2">
        <f t="shared" si="2"/>
        <v>4.1432118048063868</v>
      </c>
      <c r="M43">
        <f>VLOOKUP(A43,[98]phuttuxb7swicayh!$B$1:$N$13,7,FALSE)</f>
        <v>5</v>
      </c>
      <c r="N43">
        <f>VLOOKUP(A43,[98]phuttuxb7swicayh!$B$1:$N$13,10,FALSE)</f>
        <v>1.41</v>
      </c>
    </row>
    <row r="44" spans="1:14" x14ac:dyDescent="0.3">
      <c r="A44" t="s">
        <v>149</v>
      </c>
      <c r="B44" t="str">
        <f>VLOOKUP(A44,'[5]Ticker List'!$H$4:$I$20,2,FALSE)</f>
        <v>CGC</v>
      </c>
      <c r="C44" t="str">
        <f>VLOOKUP(A44,[97]iyw0krvfeyqarai9!$B$1:$N$13,2,FALSE)</f>
        <v>CASCADE NAT GAS</v>
      </c>
      <c r="D44">
        <f>VLOOKUP(A44,[97]iyw0krvfeyqarai9!$B$1:$N$13,12,FALSE)</f>
        <v>0.81</v>
      </c>
      <c r="E44">
        <f>VLOOKUP(A44,[81]orbaaz2iyp1f1tmo!$B$1:$N$14,12,FALSE)</f>
        <v>1.39</v>
      </c>
      <c r="F44" s="1">
        <f t="shared" si="3"/>
        <v>0.95966984479001471</v>
      </c>
      <c r="G44" s="1">
        <f t="shared" si="4"/>
        <v>0.94758543360000025</v>
      </c>
      <c r="H44" s="2">
        <f t="shared" si="0"/>
        <v>0.14454387433750693</v>
      </c>
      <c r="I44" s="2">
        <f>VLOOKUP(A44,[98]phuttuxb7swicayh!$B$1:$N$13,9,FALSE)/100</f>
        <v>4.3299999999999998E-2</v>
      </c>
      <c r="J44" s="2">
        <f>VLOOKUP(A44,[98]phuttuxb7swicayh!$B$1:$N$13,8,FALSE)/100</f>
        <v>0.04</v>
      </c>
      <c r="K44" s="2">
        <f t="shared" si="1"/>
        <v>-0.70043697667259552</v>
      </c>
      <c r="L44" s="2">
        <f t="shared" si="2"/>
        <v>-0.7232674149400421</v>
      </c>
      <c r="M44">
        <f>VLOOKUP(A44,[98]phuttuxb7swicayh!$B$1:$N$13,7,FALSE)</f>
        <v>3</v>
      </c>
      <c r="N44">
        <f>VLOOKUP(A44,[98]phuttuxb7swicayh!$B$1:$N$13,10,FALSE)</f>
        <v>0.57999999999999996</v>
      </c>
    </row>
  </sheetData>
  <mergeCells count="3">
    <mergeCell ref="P1:Q1"/>
    <mergeCell ref="P7:Q7"/>
    <mergeCell ref="P13:Q1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80E94E-9C36-4ABB-93B6-420DD34E1117}">
  <dimension ref="C3:Y29"/>
  <sheetViews>
    <sheetView zoomScale="55" zoomScaleNormal="55" workbookViewId="0">
      <selection activeCell="C1" sqref="C1"/>
    </sheetView>
  </sheetViews>
  <sheetFormatPr defaultRowHeight="14.4" x14ac:dyDescent="0.3"/>
  <sheetData>
    <row r="3" spans="3:25" x14ac:dyDescent="0.3">
      <c r="C3" s="56" t="s">
        <v>304</v>
      </c>
      <c r="D3" s="57"/>
      <c r="E3" s="57"/>
      <c r="F3" s="57"/>
      <c r="G3" s="57"/>
      <c r="H3" s="58"/>
      <c r="K3" s="83" t="s">
        <v>285</v>
      </c>
      <c r="L3" s="84"/>
      <c r="M3" s="84"/>
      <c r="N3" s="84"/>
      <c r="O3" s="84"/>
      <c r="P3" s="84"/>
      <c r="Q3" s="84"/>
      <c r="R3" s="85"/>
    </row>
    <row r="4" spans="3:25" x14ac:dyDescent="0.3">
      <c r="C4" s="77" t="s">
        <v>288</v>
      </c>
      <c r="D4" s="78"/>
      <c r="E4" s="78"/>
      <c r="F4" s="78"/>
      <c r="G4" s="78"/>
      <c r="H4" s="79"/>
      <c r="K4" s="86"/>
      <c r="L4" s="87"/>
      <c r="M4" s="87"/>
      <c r="N4" s="87"/>
      <c r="O4" s="87"/>
      <c r="P4" s="87"/>
      <c r="Q4" s="87"/>
      <c r="R4" s="88"/>
    </row>
    <row r="5" spans="3:25" x14ac:dyDescent="0.3">
      <c r="C5" s="77"/>
      <c r="D5" s="78"/>
      <c r="E5" s="78"/>
      <c r="F5" s="78"/>
      <c r="G5" s="78"/>
      <c r="H5" s="79"/>
      <c r="K5" s="86"/>
      <c r="L5" s="87"/>
      <c r="M5" s="87"/>
      <c r="N5" s="87"/>
      <c r="O5" s="87"/>
      <c r="P5" s="87"/>
      <c r="Q5" s="87"/>
      <c r="R5" s="88"/>
    </row>
    <row r="6" spans="3:25" x14ac:dyDescent="0.3">
      <c r="C6" s="77"/>
      <c r="D6" s="78"/>
      <c r="E6" s="78"/>
      <c r="F6" s="78"/>
      <c r="G6" s="78"/>
      <c r="H6" s="79"/>
      <c r="K6" s="86"/>
      <c r="L6" s="87"/>
      <c r="M6" s="87"/>
      <c r="N6" s="87"/>
      <c r="O6" s="87"/>
      <c r="P6" s="87"/>
      <c r="Q6" s="87"/>
      <c r="R6" s="88"/>
    </row>
    <row r="7" spans="3:25" x14ac:dyDescent="0.3">
      <c r="C7" s="77"/>
      <c r="D7" s="78"/>
      <c r="E7" s="78"/>
      <c r="F7" s="78"/>
      <c r="G7" s="78"/>
      <c r="H7" s="79"/>
      <c r="K7" s="89"/>
      <c r="L7" s="90"/>
      <c r="M7" s="90"/>
      <c r="N7" s="90"/>
      <c r="O7" s="90"/>
      <c r="P7" s="90"/>
      <c r="Q7" s="90"/>
      <c r="R7" s="91"/>
    </row>
    <row r="8" spans="3:25" x14ac:dyDescent="0.3">
      <c r="C8" s="77"/>
      <c r="D8" s="78"/>
      <c r="E8" s="78"/>
      <c r="F8" s="78"/>
      <c r="G8" s="78"/>
      <c r="H8" s="79"/>
    </row>
    <row r="9" spans="3:25" x14ac:dyDescent="0.3">
      <c r="C9" s="77"/>
      <c r="D9" s="78"/>
      <c r="E9" s="78"/>
      <c r="F9" s="78"/>
      <c r="G9" s="78"/>
      <c r="H9" s="79"/>
    </row>
    <row r="10" spans="3:25" x14ac:dyDescent="0.3">
      <c r="C10" s="77"/>
      <c r="D10" s="78"/>
      <c r="E10" s="78"/>
      <c r="F10" s="78"/>
      <c r="G10" s="78"/>
      <c r="H10" s="79"/>
    </row>
    <row r="11" spans="3:25" x14ac:dyDescent="0.3">
      <c r="C11" s="77"/>
      <c r="D11" s="78"/>
      <c r="E11" s="78"/>
      <c r="F11" s="78"/>
      <c r="G11" s="78"/>
      <c r="H11" s="79"/>
    </row>
    <row r="12" spans="3:25" x14ac:dyDescent="0.3">
      <c r="C12" s="77"/>
      <c r="D12" s="78"/>
      <c r="E12" s="78"/>
      <c r="F12" s="78"/>
      <c r="G12" s="78"/>
      <c r="H12" s="79"/>
    </row>
    <row r="13" spans="3:25" x14ac:dyDescent="0.3">
      <c r="C13" s="77"/>
      <c r="D13" s="78"/>
      <c r="E13" s="78"/>
      <c r="F13" s="78"/>
      <c r="G13" s="78"/>
      <c r="H13" s="79"/>
      <c r="T13" s="52"/>
      <c r="U13" s="52"/>
      <c r="V13" s="52"/>
      <c r="W13" s="52"/>
      <c r="X13" s="52"/>
      <c r="Y13" s="52"/>
    </row>
    <row r="14" spans="3:25" ht="14.4" customHeight="1" x14ac:dyDescent="0.3">
      <c r="C14" s="80"/>
      <c r="D14" s="81"/>
      <c r="E14" s="81"/>
      <c r="F14" s="81"/>
      <c r="G14" s="81"/>
      <c r="H14" s="82"/>
      <c r="T14" s="51"/>
      <c r="U14" s="51"/>
      <c r="V14" s="51"/>
      <c r="W14" s="51"/>
      <c r="X14" s="51"/>
      <c r="Y14" s="51"/>
    </row>
    <row r="15" spans="3:25" x14ac:dyDescent="0.3">
      <c r="T15" s="51"/>
      <c r="U15" s="51"/>
      <c r="V15" s="51"/>
      <c r="W15" s="51"/>
      <c r="X15" s="51"/>
      <c r="Y15" s="51"/>
    </row>
    <row r="16" spans="3:25" x14ac:dyDescent="0.3">
      <c r="T16" s="51"/>
      <c r="U16" s="51"/>
      <c r="V16" s="51"/>
      <c r="W16" s="51"/>
      <c r="X16" s="51"/>
      <c r="Y16" s="51"/>
    </row>
    <row r="17" spans="20:25" x14ac:dyDescent="0.3">
      <c r="T17" s="51"/>
      <c r="U17" s="51"/>
      <c r="V17" s="51"/>
      <c r="W17" s="51"/>
      <c r="X17" s="51"/>
      <c r="Y17" s="51"/>
    </row>
    <row r="18" spans="20:25" x14ac:dyDescent="0.3">
      <c r="T18" s="51"/>
      <c r="U18" s="51"/>
      <c r="V18" s="51"/>
      <c r="W18" s="51"/>
      <c r="X18" s="51"/>
      <c r="Y18" s="51"/>
    </row>
    <row r="19" spans="20:25" x14ac:dyDescent="0.3">
      <c r="T19" s="51"/>
      <c r="U19" s="51"/>
      <c r="V19" s="51"/>
      <c r="W19" s="51"/>
      <c r="X19" s="51"/>
      <c r="Y19" s="51"/>
    </row>
    <row r="20" spans="20:25" x14ac:dyDescent="0.3">
      <c r="T20" s="51"/>
      <c r="U20" s="51"/>
      <c r="V20" s="51"/>
      <c r="W20" s="51"/>
      <c r="X20" s="51"/>
      <c r="Y20" s="51"/>
    </row>
    <row r="21" spans="20:25" x14ac:dyDescent="0.3">
      <c r="T21" s="45"/>
      <c r="U21" s="45"/>
      <c r="V21" s="45"/>
      <c r="W21" s="45"/>
      <c r="X21" s="45"/>
      <c r="Y21" s="45"/>
    </row>
    <row r="22" spans="20:25" x14ac:dyDescent="0.3">
      <c r="T22" s="45"/>
      <c r="U22" s="45"/>
      <c r="V22" s="45"/>
      <c r="W22" s="45"/>
      <c r="X22" s="45"/>
      <c r="Y22" s="45"/>
    </row>
    <row r="23" spans="20:25" x14ac:dyDescent="0.3">
      <c r="T23" s="45"/>
      <c r="U23" s="45"/>
      <c r="V23" s="45"/>
      <c r="W23" s="45"/>
      <c r="X23" s="45"/>
      <c r="Y23" s="45"/>
    </row>
    <row r="24" spans="20:25" x14ac:dyDescent="0.3">
      <c r="T24" s="45"/>
      <c r="U24" s="45"/>
      <c r="V24" s="45"/>
      <c r="W24" s="45"/>
      <c r="X24" s="45"/>
      <c r="Y24" s="45"/>
    </row>
    <row r="25" spans="20:25" x14ac:dyDescent="0.3">
      <c r="U25" s="17"/>
      <c r="V25" s="17"/>
      <c r="W25" s="17"/>
    </row>
    <row r="26" spans="20:25" x14ac:dyDescent="0.3">
      <c r="U26" s="17"/>
      <c r="V26" s="17"/>
      <c r="W26" s="17"/>
    </row>
    <row r="27" spans="20:25" x14ac:dyDescent="0.3">
      <c r="U27" s="17"/>
      <c r="V27" s="17"/>
      <c r="W27" s="17"/>
    </row>
    <row r="28" spans="20:25" x14ac:dyDescent="0.3">
      <c r="U28" s="17"/>
      <c r="V28" s="17"/>
      <c r="W28" s="17"/>
    </row>
    <row r="29" spans="20:25" x14ac:dyDescent="0.3">
      <c r="U29" s="17"/>
      <c r="V29" s="17"/>
      <c r="W29" s="17"/>
    </row>
  </sheetData>
  <mergeCells count="3">
    <mergeCell ref="C3:H3"/>
    <mergeCell ref="C4:H14"/>
    <mergeCell ref="K3:R7"/>
  </mergeCell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E4304-D992-4CF1-BFAB-EBB54D73DFEF}">
  <dimension ref="A1:Q40"/>
  <sheetViews>
    <sheetView workbookViewId="0">
      <selection activeCell="A30" sqref="A30"/>
    </sheetView>
  </sheetViews>
  <sheetFormatPr defaultRowHeight="14.4" x14ac:dyDescent="0.3"/>
  <cols>
    <col min="1" max="1" width="13.33203125" bestFit="1" customWidth="1"/>
    <col min="2" max="2" width="10.44140625" bestFit="1" customWidth="1"/>
    <col min="3" max="3" width="15.109375" bestFit="1" customWidth="1"/>
    <col min="4" max="5" width="15.44140625" bestFit="1" customWidth="1"/>
    <col min="6" max="6" width="14.33203125" bestFit="1" customWidth="1"/>
    <col min="7" max="7" width="16" bestFit="1" customWidth="1"/>
    <col min="8" max="8" width="18.33203125" bestFit="1" customWidth="1"/>
    <col min="9" max="9" width="21.44140625" bestFit="1" customWidth="1"/>
    <col min="10" max="10" width="23.109375" bestFit="1" customWidth="1"/>
    <col min="11" max="11" width="22" bestFit="1" customWidth="1"/>
    <col min="12" max="12" width="24.109375" bestFit="1" customWidth="1"/>
    <col min="13" max="13" width="19.88671875" bestFit="1" customWidth="1"/>
    <col min="14" max="14" width="8.33203125" bestFit="1" customWidth="1"/>
    <col min="16" max="16" width="51.88671875" bestFit="1" customWidth="1"/>
    <col min="17" max="17" width="12" bestFit="1" customWidth="1"/>
  </cols>
  <sheetData>
    <row r="1" spans="1:17" x14ac:dyDescent="0.3">
      <c r="A1" t="s">
        <v>0</v>
      </c>
      <c r="B1" t="s">
        <v>1</v>
      </c>
      <c r="C1" t="s">
        <v>2</v>
      </c>
      <c r="D1" t="s">
        <v>103</v>
      </c>
      <c r="E1" t="s">
        <v>99</v>
      </c>
      <c r="F1" t="s">
        <v>5</v>
      </c>
      <c r="G1" t="s">
        <v>6</v>
      </c>
      <c r="H1" t="s">
        <v>7</v>
      </c>
      <c r="I1" t="s">
        <v>8</v>
      </c>
      <c r="J1" t="s">
        <v>9</v>
      </c>
      <c r="K1" t="s">
        <v>10</v>
      </c>
      <c r="L1" t="s">
        <v>11</v>
      </c>
      <c r="M1" t="s">
        <v>12</v>
      </c>
      <c r="N1" t="s">
        <v>13</v>
      </c>
      <c r="P1" s="111" t="s">
        <v>14</v>
      </c>
      <c r="Q1" s="111"/>
    </row>
    <row r="2" spans="1:17" x14ac:dyDescent="0.3">
      <c r="A2" t="s">
        <v>19</v>
      </c>
      <c r="B2" t="str">
        <f>VLOOKUP(A2,[99]WRDS!$A$1:$N$100,2,FALSE)</f>
        <v>BHP</v>
      </c>
      <c r="C2" t="str">
        <f>VLOOKUP(A2,[99]WRDS!$A$1:$N$100,3,FALSE)</f>
        <v>BLACK HILLS CORP</v>
      </c>
      <c r="D2">
        <f>VLOOKUP(A2,[99]WRDS!$A$1:$N$100,13,FALSE)</f>
        <v>1.1133</v>
      </c>
      <c r="E2">
        <f>VLOOKUP(A2,[83]WRDS!$A$1:$N$100,13,FALSE)</f>
        <v>2.78</v>
      </c>
      <c r="F2" s="1">
        <f>D2*(1+I2)^4</f>
        <v>1.2676912571342487</v>
      </c>
      <c r="G2" s="1">
        <f>D2*(1+J2)^4</f>
        <v>1.2579021812371289</v>
      </c>
      <c r="H2" s="2">
        <f t="shared" ref="H2:H40" si="0">((E2/D2)^(1/4)-1)</f>
        <v>0.25706619269716757</v>
      </c>
      <c r="I2" s="2">
        <f>VLOOKUP(A2,[100]WRDS!$A$1:$O$100,10,FALSE)/100</f>
        <v>3.3000000000000002E-2</v>
      </c>
      <c r="J2" s="2">
        <f>VLOOKUP(A2,[100]WRDS!$A$1:$O$100,9,FALSE)/100</f>
        <v>3.1E-2</v>
      </c>
      <c r="K2" s="2">
        <f t="shared" ref="K2:K40" si="1">(I2-H2)/(ABS(H2))</f>
        <v>-0.87162839401883119</v>
      </c>
      <c r="L2" s="2">
        <f t="shared" ref="L2:L40" si="2">(J2-H2)/(ABS(H2))</f>
        <v>-0.87940849135102328</v>
      </c>
      <c r="M2">
        <f>VLOOKUP(A2,[100]WRDS!$A$1:$O$100,8,FALSE)</f>
        <v>4</v>
      </c>
      <c r="N2">
        <f>VLOOKUP(A2,[100]WRDS!$A$1:$O$100,11,FALSE)</f>
        <v>0.48</v>
      </c>
      <c r="P2" t="s">
        <v>16</v>
      </c>
      <c r="Q2" s="3">
        <f>AVERAGE(H2:H999)</f>
        <v>2.8011801182326854E-2</v>
      </c>
    </row>
    <row r="3" spans="1:17" x14ac:dyDescent="0.3">
      <c r="A3" t="s">
        <v>88</v>
      </c>
      <c r="B3" t="str">
        <f>VLOOKUP(A3,[99]WRDS!$A$1:$N$100,2,FALSE)</f>
        <v>CIN</v>
      </c>
      <c r="C3" t="str">
        <f>VLOOKUP(A3,[99]WRDS!$A$1:$N$100,3,FALSE)</f>
        <v>CINERGY CORP</v>
      </c>
      <c r="D3">
        <f>VLOOKUP(A3,[99]WRDS!$A$1:$N$100,13,FALSE)</f>
        <v>2.0299999999999998</v>
      </c>
      <c r="E3">
        <f>VLOOKUP(A3,[83]WRDS!$A$1:$N$100,13,FALSE)</f>
        <v>2.17</v>
      </c>
      <c r="F3" s="1">
        <f t="shared" ref="F3:F40" si="3">D3*(1+I3)^4</f>
        <v>2.2794637683840464</v>
      </c>
      <c r="G3" s="1">
        <f t="shared" ref="G3:G40" si="4">D3*(1+J3)^4</f>
        <v>2.2582801247852289</v>
      </c>
      <c r="H3" s="2">
        <f t="shared" si="0"/>
        <v>1.6812611175657466E-2</v>
      </c>
      <c r="I3" s="2">
        <f>VLOOKUP(A3,[100]WRDS!$A$1:$O$100,10,FALSE)/100</f>
        <v>2.9399999999999999E-2</v>
      </c>
      <c r="J3" s="2">
        <f>VLOOKUP(A3,[100]WRDS!$A$1:$O$100,9,FALSE)/100</f>
        <v>2.7000000000000003E-2</v>
      </c>
      <c r="K3" s="2">
        <f t="shared" si="1"/>
        <v>0.74868732125129256</v>
      </c>
      <c r="L3" s="2">
        <f t="shared" si="2"/>
        <v>0.60593733584302401</v>
      </c>
      <c r="M3">
        <f>VLOOKUP(A3,[100]WRDS!$A$1:$O$100,8,FALSE)</f>
        <v>7</v>
      </c>
      <c r="N3">
        <f>VLOOKUP(A3,[100]WRDS!$A$1:$O$100,11,FALSE)</f>
        <v>1.1000000000000001</v>
      </c>
      <c r="P3" t="s">
        <v>18</v>
      </c>
      <c r="Q3" s="3">
        <f>AVERAGE(I2:I999)</f>
        <v>3.8510256410256405E-2</v>
      </c>
    </row>
    <row r="4" spans="1:17" x14ac:dyDescent="0.3">
      <c r="A4" t="s">
        <v>21</v>
      </c>
      <c r="B4" t="str">
        <f>VLOOKUP(A4,[99]WRDS!$A$1:$N$100,2,FALSE)</f>
        <v>CMS</v>
      </c>
      <c r="C4" t="str">
        <f>VLOOKUP(A4,[99]WRDS!$A$1:$N$100,3,FALSE)</f>
        <v>CMS ENERGY CORP</v>
      </c>
      <c r="D4">
        <f>VLOOKUP(A4,[99]WRDS!$A$1:$N$100,13,FALSE)</f>
        <v>2.09</v>
      </c>
      <c r="E4">
        <f>VLOOKUP(A4,[83]WRDS!$A$1:$N$100,13,FALSE)</f>
        <v>2.58</v>
      </c>
      <c r="F4" s="1">
        <f t="shared" si="3"/>
        <v>2.5471892614328557</v>
      </c>
      <c r="G4" s="1">
        <f t="shared" si="4"/>
        <v>2.5404080625000001</v>
      </c>
      <c r="H4" s="2">
        <f t="shared" si="0"/>
        <v>5.4067334959273516E-2</v>
      </c>
      <c r="I4" s="2">
        <f>VLOOKUP(A4,[100]WRDS!$A$1:$O$100,10,FALSE)/100</f>
        <v>5.0700000000000002E-2</v>
      </c>
      <c r="J4" s="2">
        <f>VLOOKUP(A4,[100]WRDS!$A$1:$O$100,9,FALSE)/100</f>
        <v>0.05</v>
      </c>
      <c r="K4" s="2">
        <f t="shared" si="1"/>
        <v>-6.2280394656218506E-2</v>
      </c>
      <c r="L4" s="2">
        <f t="shared" si="2"/>
        <v>-7.5227213664909753E-2</v>
      </c>
      <c r="M4">
        <f>VLOOKUP(A4,[100]WRDS!$A$1:$O$100,8,FALSE)</f>
        <v>9</v>
      </c>
      <c r="N4">
        <f>VLOOKUP(A4,[100]WRDS!$A$1:$O$100,11,FALSE)</f>
        <v>2.14</v>
      </c>
      <c r="P4" t="s">
        <v>20</v>
      </c>
      <c r="Q4" s="3">
        <f>(Q3-Q2)/ABS(Q2)</f>
        <v>0.37478686784886983</v>
      </c>
    </row>
    <row r="5" spans="1:17" x14ac:dyDescent="0.3">
      <c r="A5" t="s">
        <v>71</v>
      </c>
      <c r="B5" t="str">
        <f>VLOOKUP(A5,[99]WRDS!$A$1:$N$100,2,FALSE)</f>
        <v>CNL</v>
      </c>
      <c r="C5" t="str">
        <f>VLOOKUP(A5,[99]WRDS!$A$1:$N$100,3,FALSE)</f>
        <v>CENT LA ELEC INC</v>
      </c>
      <c r="D5">
        <f>VLOOKUP(A5,[99]WRDS!$A$1:$N$100,13,FALSE)</f>
        <v>0.96</v>
      </c>
      <c r="E5">
        <f>VLOOKUP(A5,[83]WRDS!$A$1:$N$100,13,FALSE)</f>
        <v>1.1200000000000001</v>
      </c>
      <c r="F5" s="1">
        <f t="shared" si="3"/>
        <v>1.0754619642803647</v>
      </c>
      <c r="G5" s="1">
        <f t="shared" si="4"/>
        <v>1.0804884575999998</v>
      </c>
      <c r="H5" s="2">
        <f t="shared" si="0"/>
        <v>3.9289877625411807E-2</v>
      </c>
      <c r="I5" s="2">
        <f>VLOOKUP(A5,[100]WRDS!$A$1:$O$100,10,FALSE)/100</f>
        <v>2.8799999999999999E-2</v>
      </c>
      <c r="J5" s="2">
        <f>VLOOKUP(A5,[100]WRDS!$A$1:$O$100,9,FALSE)/100</f>
        <v>0.03</v>
      </c>
      <c r="K5" s="2">
        <f t="shared" si="1"/>
        <v>-0.26698677265991766</v>
      </c>
      <c r="L5" s="2">
        <f t="shared" si="2"/>
        <v>-0.23644455485408089</v>
      </c>
      <c r="M5">
        <f>VLOOKUP(A5,[100]WRDS!$A$1:$O$100,8,FALSE)</f>
        <v>4</v>
      </c>
      <c r="N5">
        <f>VLOOKUP(A5,[100]WRDS!$A$1:$O$100,11,FALSE)</f>
        <v>1.44</v>
      </c>
      <c r="P5" t="s">
        <v>22</v>
      </c>
      <c r="Q5" s="3">
        <f>AVERAGE(J2:J999)</f>
        <v>3.7025641025641036E-2</v>
      </c>
    </row>
    <row r="6" spans="1:17" x14ac:dyDescent="0.3">
      <c r="A6" t="s">
        <v>25</v>
      </c>
      <c r="B6" t="str">
        <f>VLOOKUP(A6,[99]WRDS!$A$1:$N$100,2,FALSE)</f>
        <v>D</v>
      </c>
      <c r="C6" t="str">
        <f>VLOOKUP(A6,[99]WRDS!$A$1:$N$100,3,FALSE)</f>
        <v>DOMINION RES INC</v>
      </c>
      <c r="D6">
        <f>VLOOKUP(A6,[99]WRDS!$A$1:$N$100,13,FALSE)</f>
        <v>1.4</v>
      </c>
      <c r="E6">
        <f>VLOOKUP(A6,[83]WRDS!$A$1:$N$100,13,FALSE)</f>
        <v>1.375</v>
      </c>
      <c r="F6" s="1">
        <f t="shared" si="3"/>
        <v>1.5568280616664045</v>
      </c>
      <c r="G6" s="1">
        <f t="shared" si="4"/>
        <v>1.5635093917184</v>
      </c>
      <c r="H6" s="2">
        <f t="shared" si="0"/>
        <v>-4.4944957635267846E-3</v>
      </c>
      <c r="I6" s="2">
        <f>VLOOKUP(A6,[100]WRDS!$A$1:$O$100,10,FALSE)/100</f>
        <v>2.69E-2</v>
      </c>
      <c r="J6" s="2">
        <f>VLOOKUP(A6,[100]WRDS!$A$1:$O$100,9,FALSE)/100</f>
        <v>2.7999999999999997E-2</v>
      </c>
      <c r="K6" s="2">
        <f t="shared" si="1"/>
        <v>6.9850985328089052</v>
      </c>
      <c r="L6" s="2">
        <f t="shared" si="2"/>
        <v>7.2298423389832465</v>
      </c>
      <c r="M6">
        <f>VLOOKUP(A6,[100]WRDS!$A$1:$O$100,8,FALSE)</f>
        <v>10</v>
      </c>
      <c r="N6">
        <f>VLOOKUP(A6,[100]WRDS!$A$1:$O$100,11,FALSE)</f>
        <v>0.56000000000000005</v>
      </c>
      <c r="P6" t="s">
        <v>24</v>
      </c>
      <c r="Q6" s="3">
        <f>(Q5-Q2)/ABS(Q2)</f>
        <v>0.32178722762751771</v>
      </c>
    </row>
    <row r="7" spans="1:17" x14ac:dyDescent="0.3">
      <c r="A7" t="s">
        <v>86</v>
      </c>
      <c r="B7" t="str">
        <f>VLOOKUP(A7,[99]WRDS!$A$1:$N$100,2,FALSE)</f>
        <v>DPL</v>
      </c>
      <c r="C7" t="str">
        <f>VLOOKUP(A7,[99]WRDS!$A$1:$N$100,3,FALSE)</f>
        <v>DPL INC</v>
      </c>
      <c r="D7">
        <f>VLOOKUP(A7,[99]WRDS!$A$1:$N$100,13,FALSE)</f>
        <v>1.0266999999999999</v>
      </c>
      <c r="E7">
        <f>VLOOKUP(A7,[83]WRDS!$A$1:$N$100,13,FALSE)</f>
        <v>1.24</v>
      </c>
      <c r="F7" s="1">
        <f t="shared" si="3"/>
        <v>1.1877528989355723</v>
      </c>
      <c r="G7" s="1">
        <f t="shared" si="4"/>
        <v>1.1781618647416872</v>
      </c>
      <c r="H7" s="2">
        <f t="shared" si="0"/>
        <v>4.8321591635149597E-2</v>
      </c>
      <c r="I7" s="2">
        <f>VLOOKUP(A7,[100]WRDS!$A$1:$O$100,10,FALSE)/100</f>
        <v>3.7100000000000001E-2</v>
      </c>
      <c r="J7" s="2">
        <f>VLOOKUP(A7,[100]WRDS!$A$1:$O$100,9,FALSE)/100</f>
        <v>3.5000000000000003E-2</v>
      </c>
      <c r="K7" s="2">
        <f t="shared" si="1"/>
        <v>-0.23222727678090183</v>
      </c>
      <c r="L7" s="2">
        <f t="shared" si="2"/>
        <v>-0.27568611017066202</v>
      </c>
      <c r="M7">
        <f>VLOOKUP(A7,[100]WRDS!$A$1:$O$100,8,FALSE)</f>
        <v>8</v>
      </c>
      <c r="N7">
        <f>VLOOKUP(A7,[100]WRDS!$A$1:$O$100,11,FALSE)</f>
        <v>1.19</v>
      </c>
      <c r="P7" s="111" t="s">
        <v>26</v>
      </c>
      <c r="Q7" s="111"/>
    </row>
    <row r="8" spans="1:17" x14ac:dyDescent="0.3">
      <c r="A8" t="s">
        <v>27</v>
      </c>
      <c r="B8" t="str">
        <f>VLOOKUP(A8,[99]WRDS!$A$1:$N$100,2,FALSE)</f>
        <v>DTE</v>
      </c>
      <c r="C8" t="str">
        <f>VLOOKUP(A8,[99]WRDS!$A$1:$N$100,3,FALSE)</f>
        <v>DETROIT EDISON</v>
      </c>
      <c r="D8">
        <f>VLOOKUP(A8,[99]WRDS!$A$1:$N$100,13,FALSE)</f>
        <v>2.67</v>
      </c>
      <c r="E8">
        <f>VLOOKUP(A8,[83]WRDS!$A$1:$N$100,13,FALSE)</f>
        <v>3.05</v>
      </c>
      <c r="F8" s="1">
        <f t="shared" si="3"/>
        <v>2.8821684393880571</v>
      </c>
      <c r="G8" s="1">
        <f t="shared" si="4"/>
        <v>2.8900938672000001</v>
      </c>
      <c r="H8" s="2">
        <f t="shared" si="0"/>
        <v>3.3825272347981494E-2</v>
      </c>
      <c r="I8" s="2">
        <f>VLOOKUP(A8,[100]WRDS!$A$1:$O$100,10,FALSE)/100</f>
        <v>1.9299999999999998E-2</v>
      </c>
      <c r="J8" s="2">
        <f>VLOOKUP(A8,[100]WRDS!$A$1:$O$100,9,FALSE)/100</f>
        <v>0.02</v>
      </c>
      <c r="K8" s="2">
        <f t="shared" si="1"/>
        <v>-0.42942070646323371</v>
      </c>
      <c r="L8" s="2">
        <f t="shared" si="2"/>
        <v>-0.4087261206872887</v>
      </c>
      <c r="M8">
        <f>VLOOKUP(A8,[100]WRDS!$A$1:$O$100,8,FALSE)</f>
        <v>7</v>
      </c>
      <c r="N8">
        <f>VLOOKUP(A8,[100]WRDS!$A$1:$O$100,11,FALSE)</f>
        <v>1.21</v>
      </c>
      <c r="P8" t="s">
        <v>28</v>
      </c>
      <c r="Q8" s="2">
        <f>MEDIAN(H2:H99)</f>
        <v>3.7493345623905938E-2</v>
      </c>
    </row>
    <row r="9" spans="1:17" x14ac:dyDescent="0.3">
      <c r="A9" t="s">
        <v>29</v>
      </c>
      <c r="B9" t="str">
        <f>VLOOKUP(A9,[99]WRDS!$A$1:$N$100,2,FALSE)</f>
        <v>DUK</v>
      </c>
      <c r="C9" t="str">
        <f>VLOOKUP(A9,[99]WRDS!$A$1:$N$100,3,FALSE)</f>
        <v>DUKE POWER CO</v>
      </c>
      <c r="D9">
        <f>VLOOKUP(A9,[99]WRDS!$A$1:$N$100,13,FALSE)</f>
        <v>4.32</v>
      </c>
      <c r="E9">
        <f>VLOOKUP(A9,[83]WRDS!$A$1:$N$100,13,FALSE)</f>
        <v>5.1449999999999996</v>
      </c>
      <c r="F9" s="1">
        <f t="shared" si="3"/>
        <v>5.0693570507851033</v>
      </c>
      <c r="G9" s="1">
        <f t="shared" si="4"/>
        <v>5.053788979200001</v>
      </c>
      <c r="H9" s="2">
        <f t="shared" si="0"/>
        <v>4.4661063603437912E-2</v>
      </c>
      <c r="I9" s="2">
        <f>VLOOKUP(A9,[100]WRDS!$A$1:$O$100,10,FALSE)/100</f>
        <v>4.0800000000000003E-2</v>
      </c>
      <c r="J9" s="2">
        <f>VLOOKUP(A9,[100]WRDS!$A$1:$O$100,9,FALSE)/100</f>
        <v>0.04</v>
      </c>
      <c r="K9" s="2">
        <f t="shared" si="1"/>
        <v>-8.645256722324661E-2</v>
      </c>
      <c r="L9" s="2">
        <f t="shared" si="2"/>
        <v>-0.10436526198357515</v>
      </c>
      <c r="M9">
        <f>VLOOKUP(A9,[100]WRDS!$A$1:$O$100,8,FALSE)</f>
        <v>10</v>
      </c>
      <c r="N9">
        <f>VLOOKUP(A9,[100]WRDS!$A$1:$O$100,11,FALSE)</f>
        <v>0.52</v>
      </c>
      <c r="P9" t="s">
        <v>30</v>
      </c>
      <c r="Q9" s="2">
        <f>MEDIAN(I2:I100)</f>
        <v>3.6000000000000004E-2</v>
      </c>
    </row>
    <row r="10" spans="1:17" x14ac:dyDescent="0.3">
      <c r="A10" t="s">
        <v>31</v>
      </c>
      <c r="B10" t="str">
        <f>VLOOKUP(A10,[99]WRDS!$A$1:$N$100,2,FALSE)</f>
        <v>ED</v>
      </c>
      <c r="C10" t="str">
        <f>VLOOKUP(A10,[99]WRDS!$A$1:$N$100,3,FALSE)</f>
        <v>CONSOL EDISON</v>
      </c>
      <c r="D10">
        <f>VLOOKUP(A10,[99]WRDS!$A$1:$N$100,13,FALSE)</f>
        <v>2.98</v>
      </c>
      <c r="E10">
        <f>VLOOKUP(A10,[83]WRDS!$A$1:$N$100,13,FALSE)</f>
        <v>3.04</v>
      </c>
      <c r="F10" s="1">
        <f t="shared" si="3"/>
        <v>3.2612128245320431</v>
      </c>
      <c r="G10" s="1">
        <f t="shared" si="4"/>
        <v>3.2256478367999999</v>
      </c>
      <c r="H10" s="2">
        <f t="shared" si="0"/>
        <v>4.9959922832270021E-3</v>
      </c>
      <c r="I10" s="2">
        <f>VLOOKUP(A10,[100]WRDS!$A$1:$O$100,10,FALSE)/100</f>
        <v>2.2799999999999997E-2</v>
      </c>
      <c r="J10" s="2">
        <f>VLOOKUP(A10,[100]WRDS!$A$1:$O$100,9,FALSE)/100</f>
        <v>0.02</v>
      </c>
      <c r="K10" s="2">
        <f t="shared" si="1"/>
        <v>3.5636579697182924</v>
      </c>
      <c r="L10" s="2">
        <f t="shared" si="2"/>
        <v>3.0032087453669241</v>
      </c>
      <c r="M10">
        <f>VLOOKUP(A10,[100]WRDS!$A$1:$O$100,8,FALSE)</f>
        <v>9</v>
      </c>
      <c r="N10">
        <f>VLOOKUP(A10,[100]WRDS!$A$1:$O$100,11,FALSE)</f>
        <v>0.44</v>
      </c>
      <c r="P10" t="s">
        <v>32</v>
      </c>
      <c r="Q10" s="2">
        <f>(Q9-Q8)/ABS(Q8)</f>
        <v>-3.9829617737654484E-2</v>
      </c>
    </row>
    <row r="11" spans="1:17" x14ac:dyDescent="0.3">
      <c r="A11" t="s">
        <v>72</v>
      </c>
      <c r="B11" t="str">
        <f>VLOOKUP(A11,[99]WRDS!$A$1:$N$100,2,FALSE)</f>
        <v>EDE</v>
      </c>
      <c r="C11" t="str">
        <f>VLOOKUP(A11,[99]WRDS!$A$1:$N$100,3,FALSE)</f>
        <v>EMPIRE DIST ELEC</v>
      </c>
      <c r="D11">
        <f>VLOOKUP(A11,[99]WRDS!$A$1:$N$100,13,FALSE)</f>
        <v>1.32</v>
      </c>
      <c r="E11">
        <f>VLOOKUP(A11,[83]WRDS!$A$1:$N$100,13,FALSE)</f>
        <v>1.53</v>
      </c>
      <c r="F11" s="1">
        <f t="shared" si="3"/>
        <v>1.5442132992000004</v>
      </c>
      <c r="G11" s="1">
        <f t="shared" si="4"/>
        <v>1.5442132992000004</v>
      </c>
      <c r="H11" s="2">
        <f t="shared" si="0"/>
        <v>3.7598594759991943E-2</v>
      </c>
      <c r="I11" s="2">
        <f>VLOOKUP(A11,[100]WRDS!$A$1:$O$100,10,FALSE)/100</f>
        <v>0.04</v>
      </c>
      <c r="J11" s="2">
        <f>VLOOKUP(A11,[100]WRDS!$A$1:$O$100,9,FALSE)/100</f>
        <v>0.04</v>
      </c>
      <c r="K11" s="2">
        <f t="shared" si="1"/>
        <v>6.3869547660950182E-2</v>
      </c>
      <c r="L11" s="2">
        <f t="shared" si="2"/>
        <v>6.3869547660950182E-2</v>
      </c>
      <c r="M11">
        <f>VLOOKUP(A11,[100]WRDS!$A$1:$O$100,8,FALSE)</f>
        <v>2</v>
      </c>
      <c r="N11">
        <f>VLOOKUP(A11,[100]WRDS!$A$1:$O$100,11,FALSE)</f>
        <v>2.83</v>
      </c>
      <c r="P11" t="s">
        <v>34</v>
      </c>
      <c r="Q11" s="2">
        <f>MEDIAN(J2:J99)</f>
        <v>3.5000000000000003E-2</v>
      </c>
    </row>
    <row r="12" spans="1:17" x14ac:dyDescent="0.3">
      <c r="A12" t="s">
        <v>59</v>
      </c>
      <c r="B12" t="str">
        <f>VLOOKUP(A12,[99]WRDS!$A$1:$N$100,2,FALSE)</f>
        <v>MSU</v>
      </c>
      <c r="C12" t="str">
        <f>VLOOKUP(A12,[99]WRDS!$A$1:$N$100,3,FALSE)</f>
        <v>ENTERGY CP</v>
      </c>
      <c r="D12">
        <f>VLOOKUP(A12,[99]WRDS!$A$1:$N$100,13,FALSE)</f>
        <v>2.41</v>
      </c>
      <c r="E12">
        <f>VLOOKUP(A12,[83]WRDS!$A$1:$N$100,13,FALSE)</f>
        <v>2.21</v>
      </c>
      <c r="F12" s="1">
        <f t="shared" si="3"/>
        <v>2.7219691646893081</v>
      </c>
      <c r="G12" s="1">
        <f t="shared" si="4"/>
        <v>2.7124762320999998</v>
      </c>
      <c r="H12" s="2">
        <f t="shared" si="0"/>
        <v>-2.1425695610419515E-2</v>
      </c>
      <c r="I12" s="2">
        <f>VLOOKUP(A12,[100]WRDS!$A$1:$O$100,10,FALSE)/100</f>
        <v>3.0899999999999997E-2</v>
      </c>
      <c r="J12" s="2">
        <f>VLOOKUP(A12,[100]WRDS!$A$1:$O$100,9,FALSE)/100</f>
        <v>0.03</v>
      </c>
      <c r="K12" s="2">
        <f t="shared" si="1"/>
        <v>2.4421935493647657</v>
      </c>
      <c r="L12" s="2">
        <f t="shared" si="2"/>
        <v>2.4001879120046268</v>
      </c>
      <c r="M12">
        <f>VLOOKUP(A12,[100]WRDS!$A$1:$O$100,8,FALSE)</f>
        <v>9</v>
      </c>
      <c r="N12">
        <f>VLOOKUP(A12,[100]WRDS!$A$1:$O$100,11,FALSE)</f>
        <v>0.78</v>
      </c>
      <c r="P12" t="s">
        <v>32</v>
      </c>
      <c r="Q12" s="2">
        <f>(Q11-Q8)/ABS(Q8)</f>
        <v>-6.6501017244941882E-2</v>
      </c>
    </row>
    <row r="13" spans="1:17" x14ac:dyDescent="0.3">
      <c r="A13" t="s">
        <v>89</v>
      </c>
      <c r="B13" t="str">
        <f>VLOOKUP(A13,[99]WRDS!$A$1:$N$100,2,FALSE)</f>
        <v>FPL</v>
      </c>
      <c r="C13" t="str">
        <f>VLOOKUP(A13,[99]WRDS!$A$1:$N$100,3,FALSE)</f>
        <v>FPL GROUP</v>
      </c>
      <c r="D13">
        <f>VLOOKUP(A13,[99]WRDS!$A$1:$N$100,13,FALSE)</f>
        <v>0.35</v>
      </c>
      <c r="E13">
        <f>VLOOKUP(A13,[83]WRDS!$A$1:$N$100,13,FALSE)</f>
        <v>0.48130000000000001</v>
      </c>
      <c r="F13" s="1">
        <f t="shared" si="3"/>
        <v>0.41150159027823152</v>
      </c>
      <c r="G13" s="1">
        <f t="shared" si="4"/>
        <v>0.42542718749999997</v>
      </c>
      <c r="H13" s="2">
        <f t="shared" si="0"/>
        <v>8.2896510689794534E-2</v>
      </c>
      <c r="I13" s="2">
        <f>VLOOKUP(A13,[100]WRDS!$A$1:$O$100,10,FALSE)/100</f>
        <v>4.1299999999999996E-2</v>
      </c>
      <c r="J13" s="2">
        <f>VLOOKUP(A13,[100]WRDS!$A$1:$O$100,9,FALSE)/100</f>
        <v>0.05</v>
      </c>
      <c r="K13" s="2">
        <f t="shared" si="1"/>
        <v>-0.50178843890609648</v>
      </c>
      <c r="L13" s="2">
        <f t="shared" si="2"/>
        <v>-0.39683830376040724</v>
      </c>
      <c r="M13">
        <f>VLOOKUP(A13,[100]WRDS!$A$1:$O$100,8,FALSE)</f>
        <v>14</v>
      </c>
      <c r="N13">
        <f>VLOOKUP(A13,[100]WRDS!$A$1:$O$100,11,FALSE)</f>
        <v>1.37</v>
      </c>
      <c r="P13" s="111" t="s">
        <v>37</v>
      </c>
      <c r="Q13" s="111"/>
    </row>
    <row r="14" spans="1:17" x14ac:dyDescent="0.3">
      <c r="A14" t="s">
        <v>36</v>
      </c>
      <c r="B14" t="str">
        <f>VLOOKUP(A14,[99]WRDS!$A$1:$N$100,2,FALSE)</f>
        <v>HE</v>
      </c>
      <c r="C14" t="str">
        <f>VLOOKUP(A14,[99]WRDS!$A$1:$N$100,3,FALSE)</f>
        <v>HAWAIIAN ELEC</v>
      </c>
      <c r="D14">
        <f>VLOOKUP(A14,[99]WRDS!$A$1:$N$100,13,FALSE)</f>
        <v>1.29</v>
      </c>
      <c r="E14">
        <f>VLOOKUP(A14,[83]WRDS!$A$1:$N$100,13,FALSE)</f>
        <v>1.32</v>
      </c>
      <c r="F14" s="1">
        <f t="shared" si="3"/>
        <v>1.5021644303224957</v>
      </c>
      <c r="G14" s="1">
        <f t="shared" si="4"/>
        <v>1.5091175424000003</v>
      </c>
      <c r="H14" s="2">
        <f t="shared" si="0"/>
        <v>5.7639274291687581E-3</v>
      </c>
      <c r="I14" s="2">
        <f>VLOOKUP(A14,[100]WRDS!$A$1:$O$100,10,FALSE)/100</f>
        <v>3.8800000000000001E-2</v>
      </c>
      <c r="J14" s="2">
        <f>VLOOKUP(A14,[100]WRDS!$A$1:$O$100,9,FALSE)/100</f>
        <v>0.04</v>
      </c>
      <c r="K14" s="2">
        <f t="shared" si="1"/>
        <v>5.731521254700378</v>
      </c>
      <c r="L14" s="2">
        <f t="shared" si="2"/>
        <v>5.9397126337117294</v>
      </c>
      <c r="M14">
        <f>VLOOKUP(A14,[100]WRDS!$A$1:$O$100,8,FALSE)</f>
        <v>9</v>
      </c>
      <c r="N14">
        <f>VLOOKUP(A14,[100]WRDS!$A$1:$O$100,11,FALSE)</f>
        <v>1.56</v>
      </c>
      <c r="P14" t="s">
        <v>39</v>
      </c>
      <c r="Q14" s="1">
        <f>AVERAGE(M2:M1002)</f>
        <v>7.1025641025641022</v>
      </c>
    </row>
    <row r="15" spans="1:17" x14ac:dyDescent="0.3">
      <c r="A15" t="s">
        <v>38</v>
      </c>
      <c r="B15" t="str">
        <f>VLOOKUP(A15,[99]WRDS!$A$1:$N$100,2,FALSE)</f>
        <v>IDA</v>
      </c>
      <c r="C15" t="str">
        <f>VLOOKUP(A15,[99]WRDS!$A$1:$N$100,3,FALSE)</f>
        <v>IDAHO POWER CO</v>
      </c>
      <c r="D15">
        <f>VLOOKUP(A15,[99]WRDS!$A$1:$N$100,13,FALSE)</f>
        <v>1.8</v>
      </c>
      <c r="E15">
        <f>VLOOKUP(A15,[83]WRDS!$A$1:$N$100,13,FALSE)</f>
        <v>2.37</v>
      </c>
      <c r="F15" s="1">
        <f t="shared" si="3"/>
        <v>2.0211994005375784</v>
      </c>
      <c r="G15" s="1">
        <f t="shared" si="4"/>
        <v>2.0024158741937992</v>
      </c>
      <c r="H15" s="2">
        <f t="shared" si="0"/>
        <v>7.1196044243956536E-2</v>
      </c>
      <c r="I15" s="2">
        <f>VLOOKUP(A15,[100]WRDS!$A$1:$O$100,10,FALSE)/100</f>
        <v>2.9399999999999999E-2</v>
      </c>
      <c r="J15" s="2">
        <f>VLOOKUP(A15,[100]WRDS!$A$1:$O$100,9,FALSE)/100</f>
        <v>2.7000000000000003E-2</v>
      </c>
      <c r="K15" s="2">
        <f t="shared" si="1"/>
        <v>-0.58705570917311733</v>
      </c>
      <c r="L15" s="2">
        <f t="shared" si="2"/>
        <v>-0.62076544719980153</v>
      </c>
      <c r="M15">
        <f>VLOOKUP(A15,[100]WRDS!$A$1:$O$100,8,FALSE)</f>
        <v>5</v>
      </c>
      <c r="N15">
        <f>VLOOKUP(A15,[100]WRDS!$A$1:$O$100,11,FALSE)</f>
        <v>1.59</v>
      </c>
      <c r="P15" t="s">
        <v>41</v>
      </c>
      <c r="Q15" s="1">
        <f>COUNT(N2:N1002)</f>
        <v>39</v>
      </c>
    </row>
    <row r="16" spans="1:17" x14ac:dyDescent="0.3">
      <c r="A16" t="s">
        <v>44</v>
      </c>
      <c r="B16" t="str">
        <f>VLOOKUP(A16,[99]WRDS!$A$1:$N$100,2,FALSE)</f>
        <v>OGE</v>
      </c>
      <c r="C16" t="str">
        <f>VLOOKUP(A16,[99]WRDS!$A$1:$N$100,3,FALSE)</f>
        <v>OKLAHOMA G&amp;E</v>
      </c>
      <c r="D16">
        <f>VLOOKUP(A16,[99]WRDS!$A$1:$N$100,13,FALSE)</f>
        <v>0.75249999999999995</v>
      </c>
      <c r="E16">
        <f>VLOOKUP(A16,[83]WRDS!$A$1:$N$100,13,FALSE)</f>
        <v>1.0225</v>
      </c>
      <c r="F16" s="1">
        <f t="shared" si="3"/>
        <v>0.7920868235223365</v>
      </c>
      <c r="G16" s="1">
        <f t="shared" si="4"/>
        <v>0.79083636602783192</v>
      </c>
      <c r="H16" s="2">
        <f t="shared" si="0"/>
        <v>7.9665448050177723E-2</v>
      </c>
      <c r="I16" s="2">
        <f>VLOOKUP(A16,[100]WRDS!$A$1:$O$100,10,FALSE)/100</f>
        <v>1.29E-2</v>
      </c>
      <c r="J16" s="2">
        <f>VLOOKUP(A16,[100]WRDS!$A$1:$O$100,9,FALSE)/100</f>
        <v>1.2500000000000001E-2</v>
      </c>
      <c r="K16" s="2">
        <f t="shared" si="1"/>
        <v>-0.83807283689818879</v>
      </c>
      <c r="L16" s="2">
        <f t="shared" si="2"/>
        <v>-0.84309383420367134</v>
      </c>
      <c r="M16">
        <f>VLOOKUP(A16,[100]WRDS!$A$1:$O$100,8,FALSE)</f>
        <v>8</v>
      </c>
      <c r="N16">
        <f>VLOOKUP(A16,[100]WRDS!$A$1:$O$100,11,FALSE)</f>
        <v>0.87</v>
      </c>
    </row>
    <row r="17" spans="1:14" x14ac:dyDescent="0.3">
      <c r="A17" t="s">
        <v>69</v>
      </c>
      <c r="B17" t="str">
        <f>VLOOKUP(A17,[99]WRDS!$A$1:$N$100,2,FALSE)</f>
        <v>OTTR</v>
      </c>
      <c r="C17" t="str">
        <f>VLOOKUP(A17,[99]WRDS!$A$1:$N$100,3,FALSE)</f>
        <v>OTTER TAIL PWR</v>
      </c>
      <c r="D17">
        <f>VLOOKUP(A17,[99]WRDS!$A$1:$N$100,13,FALSE)</f>
        <v>1.17</v>
      </c>
      <c r="E17">
        <f>VLOOKUP(A17,[83]WRDS!$A$1:$N$100,13,FALSE)</f>
        <v>1.365</v>
      </c>
      <c r="F17" s="1">
        <f t="shared" si="3"/>
        <v>1.333802660328488</v>
      </c>
      <c r="G17" s="1">
        <f t="shared" si="4"/>
        <v>1.3168453076999997</v>
      </c>
      <c r="H17" s="2">
        <f t="shared" si="0"/>
        <v>3.9289877625411807E-2</v>
      </c>
      <c r="I17" s="2">
        <f>VLOOKUP(A17,[100]WRDS!$A$1:$O$100,10,FALSE)/100</f>
        <v>3.3300000000000003E-2</v>
      </c>
      <c r="J17" s="2">
        <f>VLOOKUP(A17,[100]WRDS!$A$1:$O$100,9,FALSE)/100</f>
        <v>0.03</v>
      </c>
      <c r="K17" s="2">
        <f t="shared" si="1"/>
        <v>-0.15245345588802969</v>
      </c>
      <c r="L17" s="2">
        <f t="shared" si="2"/>
        <v>-0.23644455485408089</v>
      </c>
      <c r="M17">
        <f>VLOOKUP(A17,[100]WRDS!$A$1:$O$100,8,FALSE)</f>
        <v>3</v>
      </c>
      <c r="N17">
        <f>VLOOKUP(A17,[100]WRDS!$A$1:$O$100,11,FALSE)</f>
        <v>0.57999999999999996</v>
      </c>
    </row>
    <row r="18" spans="1:14" x14ac:dyDescent="0.3">
      <c r="A18" t="s">
        <v>45</v>
      </c>
      <c r="B18" t="str">
        <f>VLOOKUP(A18,[99]WRDS!$A$1:$N$100,2,FALSE)</f>
        <v>PCG</v>
      </c>
      <c r="C18" t="str">
        <f>VLOOKUP(A18,[99]WRDS!$A$1:$N$100,3,FALSE)</f>
        <v>PACIFIC G&amp;E</v>
      </c>
      <c r="D18">
        <f>VLOOKUP(A18,[99]WRDS!$A$1:$N$100,13,FALSE)</f>
        <v>2.67</v>
      </c>
      <c r="E18">
        <f>VLOOKUP(A18,[83]WRDS!$A$1:$N$100,13,FALSE)</f>
        <v>1.88</v>
      </c>
      <c r="F18" s="1">
        <f t="shared" si="3"/>
        <v>2.8821684393880571</v>
      </c>
      <c r="G18" s="1">
        <f t="shared" si="4"/>
        <v>2.8900938672000001</v>
      </c>
      <c r="H18" s="2">
        <f t="shared" si="0"/>
        <v>-8.3965887144280105E-2</v>
      </c>
      <c r="I18" s="2">
        <f>VLOOKUP(A18,[100]WRDS!$A$1:$O$100,10,FALSE)/100</f>
        <v>1.9299999999999998E-2</v>
      </c>
      <c r="J18" s="2">
        <f>VLOOKUP(A18,[100]WRDS!$A$1:$O$100,9,FALSE)/100</f>
        <v>0.02</v>
      </c>
      <c r="K18" s="2">
        <f t="shared" si="1"/>
        <v>1.2298552502260407</v>
      </c>
      <c r="L18" s="2">
        <f t="shared" si="2"/>
        <v>1.2381919691461563</v>
      </c>
      <c r="M18">
        <f>VLOOKUP(A18,[100]WRDS!$A$1:$O$100,8,FALSE)</f>
        <v>7</v>
      </c>
      <c r="N18">
        <f>VLOOKUP(A18,[100]WRDS!$A$1:$O$100,11,FALSE)</f>
        <v>1.34</v>
      </c>
    </row>
    <row r="19" spans="1:14" x14ac:dyDescent="0.3">
      <c r="A19" t="s">
        <v>46</v>
      </c>
      <c r="B19" t="str">
        <f>VLOOKUP(A19,[99]WRDS!$A$1:$N$100,2,FALSE)</f>
        <v>PEG</v>
      </c>
      <c r="C19" t="str">
        <f>VLOOKUP(A19,[99]WRDS!$A$1:$N$100,3,FALSE)</f>
        <v>PUB SVC ENTERS</v>
      </c>
      <c r="D19">
        <f>VLOOKUP(A19,[99]WRDS!$A$1:$N$100,13,FALSE)</f>
        <v>1.385</v>
      </c>
      <c r="E19">
        <f>VLOOKUP(A19,[83]WRDS!$A$1:$N$100,13,FALSE)</f>
        <v>1.395</v>
      </c>
      <c r="F19" s="1">
        <f t="shared" si="3"/>
        <v>1.5275880078854489</v>
      </c>
      <c r="G19" s="1">
        <f t="shared" si="4"/>
        <v>1.5228236044697601</v>
      </c>
      <c r="H19" s="2">
        <f t="shared" si="0"/>
        <v>1.8001873036856963E-3</v>
      </c>
      <c r="I19" s="2">
        <f>VLOOKUP(A19,[100]WRDS!$A$1:$O$100,10,FALSE)/100</f>
        <v>2.4799999999999999E-2</v>
      </c>
      <c r="J19" s="2">
        <f>VLOOKUP(A19,[100]WRDS!$A$1:$O$100,9,FALSE)/100</f>
        <v>2.4E-2</v>
      </c>
      <c r="K19" s="2">
        <f t="shared" si="1"/>
        <v>12.776344244415332</v>
      </c>
      <c r="L19" s="2">
        <f t="shared" si="2"/>
        <v>12.331946042982581</v>
      </c>
      <c r="M19">
        <f>VLOOKUP(A19,[100]WRDS!$A$1:$O$100,8,FALSE)</f>
        <v>10</v>
      </c>
      <c r="N19">
        <f>VLOOKUP(A19,[100]WRDS!$A$1:$O$100,11,FALSE)</f>
        <v>0.71</v>
      </c>
    </row>
    <row r="20" spans="1:14" x14ac:dyDescent="0.3">
      <c r="A20" t="s">
        <v>47</v>
      </c>
      <c r="B20" t="str">
        <f>VLOOKUP(A20,[99]WRDS!$A$1:$N$100,2,FALSE)</f>
        <v>PNM</v>
      </c>
      <c r="C20" t="str">
        <f>VLOOKUP(A20,[99]WRDS!$A$1:$N$100,3,FALSE)</f>
        <v>PUB SVC N MEX</v>
      </c>
      <c r="D20">
        <f>VLOOKUP(A20,[99]WRDS!$A$1:$N$100,13,FALSE)</f>
        <v>1.08</v>
      </c>
      <c r="E20">
        <f>VLOOKUP(A20,[83]WRDS!$A$1:$N$100,13,FALSE)</f>
        <v>1.58</v>
      </c>
      <c r="F20" s="1">
        <f t="shared" si="3"/>
        <v>1.2879200886749995</v>
      </c>
      <c r="G20" s="1">
        <f t="shared" si="4"/>
        <v>1.3127467500000001</v>
      </c>
      <c r="H20" s="2">
        <f t="shared" si="0"/>
        <v>9.9786369585708856E-2</v>
      </c>
      <c r="I20" s="2">
        <f>VLOOKUP(A20,[100]WRDS!$A$1:$O$100,10,FALSE)/100</f>
        <v>4.4999999999999998E-2</v>
      </c>
      <c r="J20" s="2">
        <f>VLOOKUP(A20,[100]WRDS!$A$1:$O$100,9,FALSE)/100</f>
        <v>0.05</v>
      </c>
      <c r="K20" s="2">
        <f t="shared" si="1"/>
        <v>-0.54903660503102636</v>
      </c>
      <c r="L20" s="2">
        <f t="shared" si="2"/>
        <v>-0.49892956114558484</v>
      </c>
      <c r="M20">
        <f>VLOOKUP(A20,[100]WRDS!$A$1:$O$100,8,FALSE)</f>
        <v>5</v>
      </c>
      <c r="N20">
        <f>VLOOKUP(A20,[100]WRDS!$A$1:$O$100,11,FALSE)</f>
        <v>1</v>
      </c>
    </row>
    <row r="21" spans="1:14" x14ac:dyDescent="0.3">
      <c r="A21" t="s">
        <v>48</v>
      </c>
      <c r="B21" t="str">
        <f>VLOOKUP(A21,[99]WRDS!$A$1:$N$100,2,FALSE)</f>
        <v>AZP</v>
      </c>
      <c r="C21" t="str">
        <f>VLOOKUP(A21,[99]WRDS!$A$1:$N$100,3,FALSE)</f>
        <v>PINNACLE WST CAP</v>
      </c>
      <c r="D21">
        <f>VLOOKUP(A21,[99]WRDS!$A$1:$N$100,13,FALSE)</f>
        <v>2</v>
      </c>
      <c r="E21">
        <f>VLOOKUP(A21,[83]WRDS!$A$1:$N$100,13,FALSE)</f>
        <v>2.85</v>
      </c>
      <c r="F21" s="1">
        <f t="shared" si="3"/>
        <v>2.4042666595738553</v>
      </c>
      <c r="G21" s="1">
        <f t="shared" si="4"/>
        <v>2.4310125</v>
      </c>
      <c r="H21" s="2">
        <f t="shared" si="0"/>
        <v>9.2581181712064975E-2</v>
      </c>
      <c r="I21" s="2">
        <f>VLOOKUP(A21,[100]WRDS!$A$1:$O$100,10,FALSE)/100</f>
        <v>4.7100000000000003E-2</v>
      </c>
      <c r="J21" s="2">
        <f>VLOOKUP(A21,[100]WRDS!$A$1:$O$100,9,FALSE)/100</f>
        <v>0.05</v>
      </c>
      <c r="K21" s="2">
        <f t="shared" si="1"/>
        <v>-0.49125730381704519</v>
      </c>
      <c r="L21" s="2">
        <f t="shared" si="2"/>
        <v>-0.45993344354251081</v>
      </c>
      <c r="M21">
        <f>VLOOKUP(A21,[100]WRDS!$A$1:$O$100,8,FALSE)</f>
        <v>7</v>
      </c>
      <c r="N21">
        <f>VLOOKUP(A21,[100]WRDS!$A$1:$O$100,11,FALSE)</f>
        <v>1.1100000000000001</v>
      </c>
    </row>
    <row r="22" spans="1:14" x14ac:dyDescent="0.3">
      <c r="A22" t="s">
        <v>49</v>
      </c>
      <c r="B22" t="str">
        <f>VLOOKUP(A22,[99]WRDS!$A$1:$N$100,2,FALSE)</f>
        <v>POM</v>
      </c>
      <c r="C22" t="str">
        <f>VLOOKUP(A22,[99]WRDS!$A$1:$N$100,3,FALSE)</f>
        <v>POTOMAC ELEC</v>
      </c>
      <c r="D22">
        <f>VLOOKUP(A22,[99]WRDS!$A$1:$N$100,13,FALSE)</f>
        <v>1.79</v>
      </c>
      <c r="E22">
        <f>VLOOKUP(A22,[83]WRDS!$A$1:$N$100,13,FALSE)</f>
        <v>1.8</v>
      </c>
      <c r="F22" s="1">
        <f t="shared" si="3"/>
        <v>1.8975956340885287</v>
      </c>
      <c r="G22" s="1">
        <f t="shared" si="4"/>
        <v>1.8774789695974399</v>
      </c>
      <c r="H22" s="2">
        <f t="shared" si="0"/>
        <v>1.3937316047636372E-3</v>
      </c>
      <c r="I22" s="2">
        <f>VLOOKUP(A22,[100]WRDS!$A$1:$O$100,10,FALSE)/100</f>
        <v>1.47E-2</v>
      </c>
      <c r="J22" s="2">
        <f>VLOOKUP(A22,[100]WRDS!$A$1:$O$100,9,FALSE)/100</f>
        <v>1.2E-2</v>
      </c>
      <c r="K22" s="2">
        <f t="shared" si="1"/>
        <v>9.547224408025798</v>
      </c>
      <c r="L22" s="2">
        <f t="shared" si="2"/>
        <v>7.6099791085924888</v>
      </c>
      <c r="M22">
        <f>VLOOKUP(A22,[100]WRDS!$A$1:$O$100,8,FALSE)</f>
        <v>10</v>
      </c>
      <c r="N22">
        <f>VLOOKUP(A22,[100]WRDS!$A$1:$O$100,11,FALSE)</f>
        <v>0.86</v>
      </c>
    </row>
    <row r="23" spans="1:14" x14ac:dyDescent="0.3">
      <c r="A23" t="s">
        <v>91</v>
      </c>
      <c r="B23" t="str">
        <f>VLOOKUP(A23,[99]WRDS!$A$1:$N$100,2,FALSE)</f>
        <v>PSD</v>
      </c>
      <c r="C23" t="str">
        <f>VLOOKUP(A23,[99]WRDS!$A$1:$N$100,3,FALSE)</f>
        <v>PUGET SOUND P&amp;L</v>
      </c>
      <c r="D23">
        <f>VLOOKUP(A23,[99]WRDS!$A$1:$N$100,13,FALSE)</f>
        <v>1.86</v>
      </c>
      <c r="E23">
        <f>VLOOKUP(A23,[83]WRDS!$A$1:$N$100,13,FALSE)</f>
        <v>1.85</v>
      </c>
      <c r="F23" s="1">
        <f t="shared" si="3"/>
        <v>2.009379025607517</v>
      </c>
      <c r="G23" s="1">
        <f t="shared" si="4"/>
        <v>2.0133238175999999</v>
      </c>
      <c r="H23" s="2">
        <f t="shared" si="0"/>
        <v>-1.3468044025315429E-3</v>
      </c>
      <c r="I23" s="2">
        <f>VLOOKUP(A23,[100]WRDS!$A$1:$O$100,10,FALSE)/100</f>
        <v>1.95E-2</v>
      </c>
      <c r="J23" s="2">
        <f>VLOOKUP(A23,[100]WRDS!$A$1:$O$100,9,FALSE)/100</f>
        <v>0.02</v>
      </c>
      <c r="K23" s="2">
        <f t="shared" si="1"/>
        <v>15.478717149533002</v>
      </c>
      <c r="L23" s="2">
        <f t="shared" si="2"/>
        <v>15.849966307213338</v>
      </c>
      <c r="M23">
        <f>VLOOKUP(A23,[100]WRDS!$A$1:$O$100,8,FALSE)</f>
        <v>4</v>
      </c>
      <c r="N23">
        <f>VLOOKUP(A23,[100]WRDS!$A$1:$O$100,11,FALSE)</f>
        <v>0.9</v>
      </c>
    </row>
    <row r="24" spans="1:14" x14ac:dyDescent="0.3">
      <c r="A24" t="s">
        <v>52</v>
      </c>
      <c r="B24" t="str">
        <f>VLOOKUP(A24,[99]WRDS!$A$1:$N$100,2,FALSE)</f>
        <v>SCG</v>
      </c>
      <c r="C24" t="str">
        <f>VLOOKUP(A24,[99]WRDS!$A$1:$N$100,3,FALSE)</f>
        <v>SCANA CP</v>
      </c>
      <c r="D24">
        <f>VLOOKUP(A24,[99]WRDS!$A$1:$N$100,13,FALSE)</f>
        <v>1.7250000000000001</v>
      </c>
      <c r="E24">
        <f>VLOOKUP(A24,[83]WRDS!$A$1:$N$100,13,FALSE)</f>
        <v>2.0699999999999998</v>
      </c>
      <c r="F24" s="1">
        <f t="shared" si="3"/>
        <v>1.9718381027795999</v>
      </c>
      <c r="G24" s="1">
        <f t="shared" si="4"/>
        <v>1.94150269725</v>
      </c>
      <c r="H24" s="2">
        <f t="shared" si="0"/>
        <v>4.6635139392105618E-2</v>
      </c>
      <c r="I24" s="2">
        <f>VLOOKUP(A24,[100]WRDS!$A$1:$O$100,10,FALSE)/100</f>
        <v>3.4000000000000002E-2</v>
      </c>
      <c r="J24" s="2">
        <f>VLOOKUP(A24,[100]WRDS!$A$1:$O$100,9,FALSE)/100</f>
        <v>0.03</v>
      </c>
      <c r="K24" s="2">
        <f t="shared" si="1"/>
        <v>-0.27093602714189569</v>
      </c>
      <c r="L24" s="2">
        <f t="shared" si="2"/>
        <v>-0.35670825924284921</v>
      </c>
      <c r="M24">
        <f>VLOOKUP(A24,[100]WRDS!$A$1:$O$100,8,FALSE)</f>
        <v>5</v>
      </c>
      <c r="N24">
        <f>VLOOKUP(A24,[100]WRDS!$A$1:$O$100,11,FALSE)</f>
        <v>1.1399999999999999</v>
      </c>
    </row>
    <row r="25" spans="1:14" x14ac:dyDescent="0.3">
      <c r="A25" t="s">
        <v>53</v>
      </c>
      <c r="B25" t="str">
        <f>VLOOKUP(A25,[99]WRDS!$A$1:$N$100,2,FALSE)</f>
        <v>SO</v>
      </c>
      <c r="C25" t="str">
        <f>VLOOKUP(A25,[99]WRDS!$A$1:$N$100,3,FALSE)</f>
        <v>SOUTHN CO</v>
      </c>
      <c r="D25">
        <f>VLOOKUP(A25,[99]WRDS!$A$1:$N$100,13,FALSE)</f>
        <v>1.61</v>
      </c>
      <c r="E25">
        <f>VLOOKUP(A25,[83]WRDS!$A$1:$N$100,13,FALSE)</f>
        <v>1.73</v>
      </c>
      <c r="F25" s="1">
        <f t="shared" si="3"/>
        <v>1.8432316689897921</v>
      </c>
      <c r="G25" s="1">
        <f t="shared" si="4"/>
        <v>1.8297262443441407</v>
      </c>
      <c r="H25" s="2">
        <f t="shared" si="0"/>
        <v>1.8134272110827299E-2</v>
      </c>
      <c r="I25" s="2">
        <f>VLOOKUP(A25,[100]WRDS!$A$1:$O$100,10,FALSE)/100</f>
        <v>3.44E-2</v>
      </c>
      <c r="J25" s="2">
        <f>VLOOKUP(A25,[100]WRDS!$A$1:$O$100,9,FALSE)/100</f>
        <v>3.2500000000000001E-2</v>
      </c>
      <c r="K25" s="2">
        <f t="shared" si="1"/>
        <v>0.89696061632719415</v>
      </c>
      <c r="L25" s="2">
        <f t="shared" si="2"/>
        <v>0.79218662879749446</v>
      </c>
      <c r="M25">
        <f>VLOOKUP(A25,[100]WRDS!$A$1:$O$100,8,FALSE)</f>
        <v>10</v>
      </c>
      <c r="N25">
        <f>VLOOKUP(A25,[100]WRDS!$A$1:$O$100,11,FALSE)</f>
        <v>0.51</v>
      </c>
    </row>
    <row r="26" spans="1:14" x14ac:dyDescent="0.3">
      <c r="A26" t="s">
        <v>75</v>
      </c>
      <c r="B26" t="str">
        <f>VLOOKUP(A26,[99]WRDS!$A$1:$N$100,2,FALSE)</f>
        <v>TE</v>
      </c>
      <c r="C26" t="str">
        <f>VLOOKUP(A26,[99]WRDS!$A$1:$N$100,3,FALSE)</f>
        <v>TECO ENERGY INC</v>
      </c>
      <c r="D26">
        <f>VLOOKUP(A26,[99]WRDS!$A$1:$N$100,13,FALSE)</f>
        <v>1.45</v>
      </c>
      <c r="E26">
        <f>VLOOKUP(A26,[83]WRDS!$A$1:$N$100,13,FALSE)</f>
        <v>1.68</v>
      </c>
      <c r="F26" s="1">
        <f t="shared" si="3"/>
        <v>1.7410965626149233</v>
      </c>
      <c r="G26" s="1">
        <f t="shared" si="4"/>
        <v>1.7624840625</v>
      </c>
      <c r="H26" s="2">
        <f t="shared" si="0"/>
        <v>3.7493345623905938E-2</v>
      </c>
      <c r="I26" s="2">
        <f>VLOOKUP(A26,[100]WRDS!$A$1:$O$100,10,FALSE)/100</f>
        <v>4.6799999999999994E-2</v>
      </c>
      <c r="J26" s="2">
        <f>VLOOKUP(A26,[100]WRDS!$A$1:$O$100,9,FALSE)/100</f>
        <v>0.05</v>
      </c>
      <c r="K26" s="2">
        <f t="shared" si="1"/>
        <v>0.24822149694104889</v>
      </c>
      <c r="L26" s="2">
        <f t="shared" si="2"/>
        <v>0.33356997536436872</v>
      </c>
      <c r="M26">
        <f>VLOOKUP(A26,[100]WRDS!$A$1:$O$100,8,FALSE)</f>
        <v>10</v>
      </c>
      <c r="N26">
        <f>VLOOKUP(A26,[100]WRDS!$A$1:$O$100,11,FALSE)</f>
        <v>0.57999999999999996</v>
      </c>
    </row>
    <row r="27" spans="1:14" x14ac:dyDescent="0.3">
      <c r="A27" t="s">
        <v>79</v>
      </c>
      <c r="B27" t="str">
        <f>VLOOKUP(A27,[99]WRDS!$A$1:$N$100,2,FALSE)</f>
        <v>UIL</v>
      </c>
      <c r="C27" t="str">
        <f>VLOOKUP(A27,[99]WRDS!$A$1:$N$100,3,FALSE)</f>
        <v>UTD ILLUM CO</v>
      </c>
      <c r="D27">
        <f>VLOOKUP(A27,[99]WRDS!$A$1:$N$100,13,FALSE)</f>
        <v>2.0939999999999999</v>
      </c>
      <c r="E27">
        <f>VLOOKUP(A27,[83]WRDS!$A$1:$N$100,13,FALSE)</f>
        <v>2.052</v>
      </c>
      <c r="F27" s="1">
        <f t="shared" si="3"/>
        <v>2.4122132517719042</v>
      </c>
      <c r="G27" s="1">
        <f t="shared" si="4"/>
        <v>2.3568154481399999</v>
      </c>
      <c r="H27" s="2">
        <f t="shared" si="0"/>
        <v>-5.0524893045694741E-3</v>
      </c>
      <c r="I27" s="2">
        <f>VLOOKUP(A27,[100]WRDS!$A$1:$O$100,10,FALSE)/100</f>
        <v>3.6000000000000004E-2</v>
      </c>
      <c r="J27" s="2">
        <f>VLOOKUP(A27,[100]WRDS!$A$1:$O$100,9,FALSE)/100</f>
        <v>0.03</v>
      </c>
      <c r="K27" s="2">
        <f t="shared" si="1"/>
        <v>8.1252006347527708</v>
      </c>
      <c r="L27" s="2">
        <f t="shared" si="2"/>
        <v>6.9376671956273084</v>
      </c>
      <c r="M27">
        <f>VLOOKUP(A27,[100]WRDS!$A$1:$O$100,8,FALSE)</f>
        <v>3</v>
      </c>
      <c r="N27">
        <f>VLOOKUP(A27,[100]WRDS!$A$1:$O$100,11,FALSE)</f>
        <v>1.04</v>
      </c>
    </row>
    <row r="28" spans="1:14" x14ac:dyDescent="0.3">
      <c r="A28" t="s">
        <v>55</v>
      </c>
      <c r="B28" t="str">
        <f>VLOOKUP(A28,[99]WRDS!$A$1:$N$100,2,FALSE)</f>
        <v>WPC</v>
      </c>
      <c r="C28" t="str">
        <f>VLOOKUP(A28,[99]WRDS!$A$1:$N$100,3,FALSE)</f>
        <v>WISCONSIN ENERGY</v>
      </c>
      <c r="D28">
        <f>VLOOKUP(A28,[99]WRDS!$A$1:$N$100,13,FALSE)</f>
        <v>1.0449999999999999</v>
      </c>
      <c r="E28">
        <f>VLOOKUP(A28,[83]WRDS!$A$1:$N$100,13,FALSE)</f>
        <v>0.81499999999999995</v>
      </c>
      <c r="F28" s="1">
        <f t="shared" si="3"/>
        <v>1.243798611655115</v>
      </c>
      <c r="G28" s="1">
        <f t="shared" si="4"/>
        <v>1.2225021952000001</v>
      </c>
      <c r="H28" s="2">
        <f t="shared" si="0"/>
        <v>-6.0254338112486927E-2</v>
      </c>
      <c r="I28" s="2">
        <f>VLOOKUP(A28,[100]WRDS!$A$1:$O$100,10,FALSE)/100</f>
        <v>4.4500000000000005E-2</v>
      </c>
      <c r="J28" s="2">
        <f>VLOOKUP(A28,[100]WRDS!$A$1:$O$100,9,FALSE)/100</f>
        <v>0.04</v>
      </c>
      <c r="K28" s="2">
        <f t="shared" si="1"/>
        <v>1.738536035644842</v>
      </c>
      <c r="L28" s="2">
        <f t="shared" si="2"/>
        <v>1.6638526163099703</v>
      </c>
      <c r="M28">
        <f>VLOOKUP(A28,[100]WRDS!$A$1:$O$100,8,FALSE)</f>
        <v>13</v>
      </c>
      <c r="N28">
        <f>VLOOKUP(A28,[100]WRDS!$A$1:$O$100,11,FALSE)</f>
        <v>1.18</v>
      </c>
    </row>
    <row r="29" spans="1:14" x14ac:dyDescent="0.3">
      <c r="A29" t="s">
        <v>95</v>
      </c>
      <c r="B29" t="str">
        <f>VLOOKUP(A29,[99]WRDS!$A$1:$N$100,2,FALSE)</f>
        <v>WPS</v>
      </c>
      <c r="C29" t="str">
        <f>VLOOKUP(A29,[99]WRDS!$A$1:$N$100,3,FALSE)</f>
        <v>WPS RESOURCES CP</v>
      </c>
      <c r="D29">
        <f>VLOOKUP(A29,[99]WRDS!$A$1:$N$100,13,FALSE)</f>
        <v>2.21</v>
      </c>
      <c r="E29">
        <f>VLOOKUP(A29,[83]WRDS!$A$1:$N$100,13,FALSE)</f>
        <v>1.82</v>
      </c>
      <c r="F29" s="1">
        <f t="shared" si="3"/>
        <v>2.4508702207472406</v>
      </c>
      <c r="G29" s="1">
        <f t="shared" si="4"/>
        <v>2.3921750735999998</v>
      </c>
      <c r="H29" s="2">
        <f t="shared" si="0"/>
        <v>-4.7379817045098416E-2</v>
      </c>
      <c r="I29" s="2">
        <f>VLOOKUP(A29,[100]WRDS!$A$1:$O$100,10,FALSE)/100</f>
        <v>2.6200000000000001E-2</v>
      </c>
      <c r="J29" s="2">
        <f>VLOOKUP(A29,[100]WRDS!$A$1:$O$100,9,FALSE)/100</f>
        <v>0.02</v>
      </c>
      <c r="K29" s="2">
        <f t="shared" si="1"/>
        <v>1.5529780745050485</v>
      </c>
      <c r="L29" s="2">
        <f t="shared" si="2"/>
        <v>1.4221206675611058</v>
      </c>
      <c r="M29">
        <f>VLOOKUP(A29,[100]WRDS!$A$1:$O$100,8,FALSE)</f>
        <v>5</v>
      </c>
      <c r="N29">
        <f>VLOOKUP(A29,[100]WRDS!$A$1:$O$100,11,FALSE)</f>
        <v>0.85</v>
      </c>
    </row>
    <row r="30" spans="1:14" x14ac:dyDescent="0.3">
      <c r="A30" t="s">
        <v>64</v>
      </c>
      <c r="B30" t="str">
        <f>VLOOKUP(A30,[99]WRDS!$A$1:$N$100,2,FALSE)</f>
        <v>KAN</v>
      </c>
      <c r="C30" t="str">
        <f>VLOOKUP(A30,[99]WRDS!$A$1:$N$100,3,FALSE)</f>
        <v>WESTN RESOURCES</v>
      </c>
      <c r="D30">
        <f>VLOOKUP(A30,[99]WRDS!$A$1:$N$100,13,FALSE)</f>
        <v>2.5099999999999998</v>
      </c>
      <c r="E30">
        <f>VLOOKUP(A30,[83]WRDS!$A$1:$N$100,13,FALSE)</f>
        <v>2.5</v>
      </c>
      <c r="F30" s="1">
        <f t="shared" si="3"/>
        <v>2.8736096205989923</v>
      </c>
      <c r="G30" s="1">
        <f t="shared" si="4"/>
        <v>2.8250271130999995</v>
      </c>
      <c r="H30" s="2">
        <f t="shared" si="0"/>
        <v>-9.9750747570759302E-4</v>
      </c>
      <c r="I30" s="2">
        <f>VLOOKUP(A30,[100]WRDS!$A$1:$O$100,10,FALSE)/100</f>
        <v>3.44E-2</v>
      </c>
      <c r="J30" s="2">
        <f>VLOOKUP(A30,[100]WRDS!$A$1:$O$100,9,FALSE)/100</f>
        <v>0.03</v>
      </c>
      <c r="K30" s="2">
        <f t="shared" si="1"/>
        <v>35.48595708578322</v>
      </c>
      <c r="L30" s="2">
        <f t="shared" si="2"/>
        <v>31.074962574810947</v>
      </c>
      <c r="M30">
        <f>VLOOKUP(A30,[100]WRDS!$A$1:$O$100,8,FALSE)</f>
        <v>9</v>
      </c>
      <c r="N30">
        <f>VLOOKUP(A30,[100]WRDS!$A$1:$O$100,11,FALSE)</f>
        <v>2.2400000000000002</v>
      </c>
    </row>
    <row r="31" spans="1:14" x14ac:dyDescent="0.3">
      <c r="A31" t="s">
        <v>132</v>
      </c>
      <c r="B31" t="str">
        <f>VLOOKUP(A31,'[5]Ticker List'!$H$4:$I$20,2,FALSE)</f>
        <v>EGAS</v>
      </c>
      <c r="C31" t="str">
        <f>VLOOKUP(A31,[101]ncyj0l0bmvzjjrms!$B$1:$N$13,2,FALSE)</f>
        <v>ATMOS ENERGY CP</v>
      </c>
      <c r="D31">
        <f>VLOOKUP(A31,[101]ncyj0l0bmvzjjrms!$B$1:$N$13,12,FALSE)</f>
        <v>1.23</v>
      </c>
      <c r="E31">
        <f>VLOOKUP(A31,[85]jbv8ebbst5awwitq!$B$1:$N$13,12,FALSE)</f>
        <v>0.57999999999999996</v>
      </c>
      <c r="F31" s="1">
        <f t="shared" si="3"/>
        <v>1.6628900407490368</v>
      </c>
      <c r="G31" s="1">
        <f t="shared" si="4"/>
        <v>1.7362453803000002</v>
      </c>
      <c r="H31" s="2">
        <f t="shared" si="0"/>
        <v>-0.17133170966457478</v>
      </c>
      <c r="I31" s="2">
        <f>VLOOKUP(A31,[102]phykeq6qwrpwdnei!$B$1:$N$12,9,FALSE)/100</f>
        <v>7.8299999999999995E-2</v>
      </c>
      <c r="J31" s="2">
        <f>VLOOKUP(A31,[102]phykeq6qwrpwdnei!$B$1:$N$12,8,FALSE)/100</f>
        <v>0.09</v>
      </c>
      <c r="K31" s="2">
        <f t="shared" si="1"/>
        <v>1.4570082219648193</v>
      </c>
      <c r="L31" s="2">
        <f t="shared" si="2"/>
        <v>1.5252968068561141</v>
      </c>
      <c r="M31">
        <f>VLOOKUP(A31,[102]phykeq6qwrpwdnei!$B$1:$N$12,7,FALSE)</f>
        <v>3</v>
      </c>
      <c r="N31">
        <f>VLOOKUP(A31,[102]phykeq6qwrpwdnei!$B$1:$N$12,10,FALSE)</f>
        <v>2.93</v>
      </c>
    </row>
    <row r="32" spans="1:14" x14ac:dyDescent="0.3">
      <c r="A32" t="s">
        <v>134</v>
      </c>
      <c r="B32" t="str">
        <f>VLOOKUP(A32,'[5]Ticker List'!$H$4:$I$20,2,FALSE)</f>
        <v>NJR</v>
      </c>
      <c r="C32" t="str">
        <f>VLOOKUP(A32,[101]ncyj0l0bmvzjjrms!$B$1:$N$13,2,FALSE)</f>
        <v>NEW JERSEY RES</v>
      </c>
      <c r="D32">
        <f>VLOOKUP(A32,[101]ncyj0l0bmvzjjrms!$B$1:$N$13,12,FALSE)</f>
        <v>0.42670000000000002</v>
      </c>
      <c r="E32">
        <f>VLOOKUP(A32,[85]jbv8ebbst5awwitq!$B$1:$N$13,12,FALSE)</f>
        <v>0.55330000000000001</v>
      </c>
      <c r="F32" s="1">
        <f t="shared" si="3"/>
        <v>0.51471612432670744</v>
      </c>
      <c r="G32" s="1">
        <f t="shared" si="4"/>
        <v>0.51865651687500003</v>
      </c>
      <c r="H32" s="2">
        <f t="shared" si="0"/>
        <v>6.7110779137954157E-2</v>
      </c>
      <c r="I32" s="2">
        <f>VLOOKUP(A32,[102]phykeq6qwrpwdnei!$B$1:$N$12,9,FALSE)/100</f>
        <v>4.8000000000000001E-2</v>
      </c>
      <c r="J32" s="2">
        <f>VLOOKUP(A32,[102]phykeq6qwrpwdnei!$B$1:$N$12,8,FALSE)/100</f>
        <v>0.05</v>
      </c>
      <c r="K32" s="2">
        <f t="shared" si="1"/>
        <v>-0.28476467392324095</v>
      </c>
      <c r="L32" s="2">
        <f t="shared" si="2"/>
        <v>-0.25496320200337597</v>
      </c>
      <c r="M32">
        <f>VLOOKUP(A32,[102]phykeq6qwrpwdnei!$B$1:$N$12,7,FALSE)</f>
        <v>6</v>
      </c>
      <c r="N32">
        <f>VLOOKUP(A32,[102]phykeq6qwrpwdnei!$B$1:$N$12,10,FALSE)</f>
        <v>0.65</v>
      </c>
    </row>
    <row r="33" spans="1:14" x14ac:dyDescent="0.3">
      <c r="A33" t="s">
        <v>135</v>
      </c>
      <c r="B33" t="str">
        <f>VLOOKUP(A33,'[5]Ticker List'!$H$4:$I$20,2,FALSE)</f>
        <v>NI</v>
      </c>
      <c r="C33" t="str">
        <f>VLOOKUP(A33,[101]ncyj0l0bmvzjjrms!$B$1:$N$13,2,FALSE)</f>
        <v>NIPSCO IND INC</v>
      </c>
      <c r="D33">
        <f>VLOOKUP(A33,[101]ncyj0l0bmvzjjrms!$B$1:$N$13,12,FALSE)</f>
        <v>1.23</v>
      </c>
      <c r="E33">
        <f>VLOOKUP(A33,[85]jbv8ebbst5awwitq!$B$1:$N$13,12,FALSE)</f>
        <v>1.59</v>
      </c>
      <c r="F33" s="1">
        <f t="shared" si="3"/>
        <v>1.482015982000199</v>
      </c>
      <c r="G33" s="1">
        <f t="shared" si="4"/>
        <v>1.4950726875</v>
      </c>
      <c r="H33" s="2">
        <f t="shared" si="0"/>
        <v>6.6284271839072817E-2</v>
      </c>
      <c r="I33" s="2">
        <f>VLOOKUP(A33,[102]phykeq6qwrpwdnei!$B$1:$N$12,9,FALSE)/100</f>
        <v>4.7699999999999992E-2</v>
      </c>
      <c r="J33" s="2">
        <f>VLOOKUP(A33,[102]phykeq6qwrpwdnei!$B$1:$N$12,8,FALSE)/100</f>
        <v>0.05</v>
      </c>
      <c r="K33" s="2">
        <f t="shared" si="1"/>
        <v>-0.28037227118059538</v>
      </c>
      <c r="L33" s="2">
        <f t="shared" si="2"/>
        <v>-0.24567324023123188</v>
      </c>
      <c r="M33">
        <f>VLOOKUP(A33,[102]phykeq6qwrpwdnei!$B$1:$N$12,7,FALSE)</f>
        <v>11</v>
      </c>
      <c r="N33">
        <f>VLOOKUP(A33,[102]phykeq6qwrpwdnei!$B$1:$N$12,10,FALSE)</f>
        <v>1.32</v>
      </c>
    </row>
    <row r="34" spans="1:14" x14ac:dyDescent="0.3">
      <c r="A34" t="s">
        <v>138</v>
      </c>
      <c r="B34" t="str">
        <f>VLOOKUP(A34,'[5]Ticker List'!$H$4:$I$20,2,FALSE)</f>
        <v>SJI</v>
      </c>
      <c r="C34" t="str">
        <f>VLOOKUP(A34,[101]ncyj0l0bmvzjjrms!$B$1:$N$13,2,FALSE)</f>
        <v>SO JERSEY INDS</v>
      </c>
      <c r="D34">
        <f>VLOOKUP(A34,[101]ncyj0l0bmvzjjrms!$B$1:$N$13,12,FALSE)</f>
        <v>0.36249999999999999</v>
      </c>
      <c r="E34">
        <f>VLOOKUP(A34,[85]jbv8ebbst5awwitq!$B$1:$N$13,12,FALSE)</f>
        <v>0.32</v>
      </c>
      <c r="F34" s="1">
        <f t="shared" si="3"/>
        <v>0.41597708772656239</v>
      </c>
      <c r="G34" s="1">
        <f t="shared" si="4"/>
        <v>0.41597708772656239</v>
      </c>
      <c r="H34" s="2">
        <f t="shared" si="0"/>
        <v>-3.0694913237568122E-2</v>
      </c>
      <c r="I34" s="2">
        <f>VLOOKUP(A34,[102]phykeq6qwrpwdnei!$B$1:$N$12,9,FALSE)/100</f>
        <v>3.5000000000000003E-2</v>
      </c>
      <c r="J34" s="2">
        <f>VLOOKUP(A34,[102]phykeq6qwrpwdnei!$B$1:$N$12,8,FALSE)/100</f>
        <v>3.5000000000000003E-2</v>
      </c>
      <c r="K34" s="2">
        <f t="shared" si="1"/>
        <v>2.1402540782282715</v>
      </c>
      <c r="L34" s="2">
        <f t="shared" si="2"/>
        <v>2.1402540782282715</v>
      </c>
      <c r="M34">
        <f>VLOOKUP(A34,[102]phykeq6qwrpwdnei!$B$1:$N$12,7,FALSE)</f>
        <v>2</v>
      </c>
      <c r="N34">
        <f>VLOOKUP(A34,[102]phykeq6qwrpwdnei!$B$1:$N$12,10,FALSE)</f>
        <v>0.71</v>
      </c>
    </row>
    <row r="35" spans="1:14" x14ac:dyDescent="0.3">
      <c r="A35" t="s">
        <v>139</v>
      </c>
      <c r="B35" t="str">
        <f>VLOOKUP(A35,'[5]Ticker List'!$H$4:$I$20,2,FALSE)</f>
        <v>SWX</v>
      </c>
      <c r="C35" t="str">
        <f>VLOOKUP(A35,[101]ncyj0l0bmvzjjrms!$B$1:$N$13,2,FALSE)</f>
        <v>SOUTHWEST GAS</v>
      </c>
      <c r="D35">
        <f>VLOOKUP(A35,[101]ncyj0l0bmvzjjrms!$B$1:$N$13,12,FALSE)</f>
        <v>1.21</v>
      </c>
      <c r="E35">
        <f>VLOOKUP(A35,[85]jbv8ebbst5awwitq!$B$1:$N$13,12,FALSE)</f>
        <v>1.65</v>
      </c>
      <c r="F35" s="1">
        <f t="shared" si="3"/>
        <v>1.7287920738700733</v>
      </c>
      <c r="G35" s="1">
        <f t="shared" si="4"/>
        <v>1.4707625625</v>
      </c>
      <c r="H35" s="2">
        <f t="shared" si="0"/>
        <v>8.0624086462209199E-2</v>
      </c>
      <c r="I35" s="2">
        <f>VLOOKUP(A35,[102]phykeq6qwrpwdnei!$B$1:$N$12,9,FALSE)/100</f>
        <v>9.3299999999999994E-2</v>
      </c>
      <c r="J35" s="2">
        <f>VLOOKUP(A35,[102]phykeq6qwrpwdnei!$B$1:$N$12,8,FALSE)/100</f>
        <v>0.05</v>
      </c>
      <c r="K35" s="2">
        <f t="shared" si="1"/>
        <v>0.15722241446707561</v>
      </c>
      <c r="L35" s="2">
        <f t="shared" si="2"/>
        <v>-0.37983793436919844</v>
      </c>
      <c r="M35">
        <f>VLOOKUP(A35,[102]phykeq6qwrpwdnei!$B$1:$N$12,7,FALSE)</f>
        <v>3</v>
      </c>
      <c r="N35">
        <f>VLOOKUP(A35,[102]phykeq6qwrpwdnei!$B$1:$N$12,10,FALSE)</f>
        <v>9.2899999999999991</v>
      </c>
    </row>
    <row r="36" spans="1:14" x14ac:dyDescent="0.3">
      <c r="A36" t="s">
        <v>148</v>
      </c>
      <c r="B36" t="str">
        <f>VLOOKUP(A36,'[5]Ticker List'!$H$4:$I$20,2,FALSE)</f>
        <v>AGLT</v>
      </c>
      <c r="C36" t="str">
        <f>VLOOKUP(A36,[101]ncyj0l0bmvzjjrms!$B$1:$N$13,2,FALSE)</f>
        <v>ATLANTA GAS LT</v>
      </c>
      <c r="D36">
        <f>VLOOKUP(A36,[101]ncyj0l0bmvzjjrms!$B$1:$N$13,12,FALSE)</f>
        <v>1.4550000000000001</v>
      </c>
      <c r="E36">
        <f>VLOOKUP(A36,[85]jbv8ebbst5awwitq!$B$1:$N$13,12,FALSE)</f>
        <v>0.91</v>
      </c>
      <c r="F36" s="1">
        <f t="shared" si="3"/>
        <v>1.7198892717733067</v>
      </c>
      <c r="G36" s="1">
        <f t="shared" si="4"/>
        <v>1.7351145639093744</v>
      </c>
      <c r="H36" s="2">
        <f t="shared" si="0"/>
        <v>-0.11070756119408975</v>
      </c>
      <c r="I36" s="2">
        <f>VLOOKUP(A36,[102]phykeq6qwrpwdnei!$B$1:$N$12,9,FALSE)/100</f>
        <v>4.2699999999999995E-2</v>
      </c>
      <c r="J36" s="2">
        <f>VLOOKUP(A36,[102]phykeq6qwrpwdnei!$B$1:$N$12,8,FALSE)/100</f>
        <v>4.4999999999999998E-2</v>
      </c>
      <c r="K36" s="2">
        <f t="shared" si="1"/>
        <v>1.3857008458992193</v>
      </c>
      <c r="L36" s="2">
        <f t="shared" si="2"/>
        <v>1.406476301298943</v>
      </c>
      <c r="M36">
        <f>VLOOKUP(A36,[102]phykeq6qwrpwdnei!$B$1:$N$12,7,FALSE)</f>
        <v>11</v>
      </c>
      <c r="N36">
        <f>VLOOKUP(A36,[102]phykeq6qwrpwdnei!$B$1:$N$12,10,FALSE)</f>
        <v>1.17</v>
      </c>
    </row>
    <row r="37" spans="1:14" x14ac:dyDescent="0.3">
      <c r="A37" t="s">
        <v>144</v>
      </c>
      <c r="B37" t="str">
        <f>VLOOKUP(A37,'[5]Ticker List'!$H$4:$I$20,2,FALSE)</f>
        <v>GAS</v>
      </c>
      <c r="C37" t="str">
        <f>VLOOKUP(A37,[101]ncyj0l0bmvzjjrms!$B$1:$N$13,2,FALSE)</f>
        <v>NICOR INC</v>
      </c>
      <c r="D37">
        <f>VLOOKUP(A37,[101]ncyj0l0bmvzjjrms!$B$1:$N$13,12,FALSE)</f>
        <v>2.06</v>
      </c>
      <c r="E37">
        <f>VLOOKUP(A37,[85]jbv8ebbst5awwitq!$B$1:$N$13,12,FALSE)</f>
        <v>2.42</v>
      </c>
      <c r="F37" s="1">
        <f t="shared" si="3"/>
        <v>2.5519787802874996</v>
      </c>
      <c r="G37" s="1">
        <f t="shared" si="4"/>
        <v>2.5519787802874996</v>
      </c>
      <c r="H37" s="2">
        <f t="shared" si="0"/>
        <v>4.1087030934841007E-2</v>
      </c>
      <c r="I37" s="2">
        <f>VLOOKUP(A37,[102]phykeq6qwrpwdnei!$B$1:$N$12,9,FALSE)/100</f>
        <v>5.5E-2</v>
      </c>
      <c r="J37" s="2">
        <f>VLOOKUP(A37,[102]phykeq6qwrpwdnei!$B$1:$N$12,8,FALSE)/100</f>
        <v>5.5E-2</v>
      </c>
      <c r="K37" s="2">
        <f t="shared" si="1"/>
        <v>0.33862191422941357</v>
      </c>
      <c r="L37" s="2">
        <f t="shared" si="2"/>
        <v>0.33862191422941357</v>
      </c>
      <c r="M37">
        <f>VLOOKUP(A37,[102]phykeq6qwrpwdnei!$B$1:$N$12,7,FALSE)</f>
        <v>8</v>
      </c>
      <c r="N37">
        <f>VLOOKUP(A37,[102]phykeq6qwrpwdnei!$B$1:$N$12,10,FALSE)</f>
        <v>0.93</v>
      </c>
    </row>
    <row r="38" spans="1:14" x14ac:dyDescent="0.3">
      <c r="A38" t="s">
        <v>146</v>
      </c>
      <c r="B38" t="str">
        <f>VLOOKUP(A38,'[5]Ticker List'!$H$4:$I$20,2,FALSE)</f>
        <v>PNY</v>
      </c>
      <c r="C38" t="str">
        <f>VLOOKUP(A38,[101]ncyj0l0bmvzjjrms!$B$1:$N$13,2,FALSE)</f>
        <v>PIEDMONT NAT GAS</v>
      </c>
      <c r="D38">
        <f>VLOOKUP(A38,[101]ncyj0l0bmvzjjrms!$B$1:$N$13,12,FALSE)</f>
        <v>0.755</v>
      </c>
      <c r="E38">
        <f>VLOOKUP(A38,[85]jbv8ebbst5awwitq!$B$1:$N$13,12,FALSE)</f>
        <v>0.93</v>
      </c>
      <c r="F38" s="1">
        <f t="shared" si="3"/>
        <v>0.97749857283804509</v>
      </c>
      <c r="G38" s="1">
        <f t="shared" si="4"/>
        <v>0.9531701048000002</v>
      </c>
      <c r="H38" s="2">
        <f t="shared" si="0"/>
        <v>5.3498688353770918E-2</v>
      </c>
      <c r="I38" s="2">
        <f>VLOOKUP(A38,[102]phykeq6qwrpwdnei!$B$1:$N$12,9,FALSE)/100</f>
        <v>6.6699999999999995E-2</v>
      </c>
      <c r="J38" s="2">
        <f>VLOOKUP(A38,[102]phykeq6qwrpwdnei!$B$1:$N$12,8,FALSE)/100</f>
        <v>0.06</v>
      </c>
      <c r="K38" s="2">
        <f t="shared" si="1"/>
        <v>0.24675953845695672</v>
      </c>
      <c r="L38" s="2">
        <f t="shared" si="2"/>
        <v>0.12152282319966125</v>
      </c>
      <c r="M38">
        <f>VLOOKUP(A38,[102]phykeq6qwrpwdnei!$B$1:$N$12,7,FALSE)</f>
        <v>6</v>
      </c>
      <c r="N38">
        <f>VLOOKUP(A38,[102]phykeq6qwrpwdnei!$B$1:$N$12,10,FALSE)</f>
        <v>1.97</v>
      </c>
    </row>
    <row r="39" spans="1:14" x14ac:dyDescent="0.3">
      <c r="A39" t="s">
        <v>145</v>
      </c>
      <c r="B39" t="str">
        <f>VLOOKUP(A39,'[5]Ticker List'!$H$4:$I$20,2,FALSE)</f>
        <v>WGL</v>
      </c>
      <c r="C39" t="str">
        <f>VLOOKUP(A39,[101]ncyj0l0bmvzjjrms!$B$1:$N$13,2,FALSE)</f>
        <v>WASH GAS LT</v>
      </c>
      <c r="D39">
        <f>VLOOKUP(A39,[101]ncyj0l0bmvzjjrms!$B$1:$N$13,12,FALSE)</f>
        <v>1.45</v>
      </c>
      <c r="E39">
        <f>VLOOKUP(A39,[85]jbv8ebbst5awwitq!$B$1:$N$13,12,FALSE)</f>
        <v>1.49</v>
      </c>
      <c r="F39" s="1">
        <f t="shared" si="3"/>
        <v>1.6949904461085465</v>
      </c>
      <c r="G39" s="1">
        <f t="shared" si="4"/>
        <v>1.6962949120000002</v>
      </c>
      <c r="H39" s="2">
        <f t="shared" si="0"/>
        <v>6.8263348115054079E-3</v>
      </c>
      <c r="I39" s="2">
        <f>VLOOKUP(A39,[102]phykeq6qwrpwdnei!$B$1:$N$12,9,FALSE)/100</f>
        <v>3.9800000000000002E-2</v>
      </c>
      <c r="J39" s="2">
        <f>VLOOKUP(A39,[102]phykeq6qwrpwdnei!$B$1:$N$12,8,FALSE)/100</f>
        <v>0.04</v>
      </c>
      <c r="K39" s="2">
        <f t="shared" si="1"/>
        <v>4.8303615481794582</v>
      </c>
      <c r="L39" s="2">
        <f t="shared" si="2"/>
        <v>4.8596598474165411</v>
      </c>
      <c r="M39">
        <f>VLOOKUP(A39,[102]phykeq6qwrpwdnei!$B$1:$N$12,7,FALSE)</f>
        <v>8</v>
      </c>
      <c r="N39">
        <f>VLOOKUP(A39,[102]phykeq6qwrpwdnei!$B$1:$N$12,10,FALSE)</f>
        <v>1.35</v>
      </c>
    </row>
    <row r="40" spans="1:14" x14ac:dyDescent="0.3">
      <c r="A40" t="s">
        <v>149</v>
      </c>
      <c r="B40" t="str">
        <f>VLOOKUP(A40,'[5]Ticker List'!$H$4:$I$20,2,FALSE)</f>
        <v>CGC</v>
      </c>
      <c r="C40" t="str">
        <f>VLOOKUP(A40,[101]ncyj0l0bmvzjjrms!$B$1:$N$13,2,FALSE)</f>
        <v>CASCADE NAT GAS</v>
      </c>
      <c r="D40">
        <f>VLOOKUP(A40,[101]ncyj0l0bmvzjjrms!$B$1:$N$13,12,FALSE)</f>
        <v>0.6</v>
      </c>
      <c r="E40">
        <f>VLOOKUP(A40,[85]jbv8ebbst5awwitq!$B$1:$N$13,12,FALSE)</f>
        <v>1.25</v>
      </c>
      <c r="F40" s="1">
        <f t="shared" si="3"/>
        <v>0.73851545304239508</v>
      </c>
      <c r="G40" s="1">
        <f t="shared" si="4"/>
        <v>0.72930375000000003</v>
      </c>
      <c r="H40" s="2">
        <f t="shared" si="0"/>
        <v>0.20140570706737715</v>
      </c>
      <c r="I40" s="2">
        <f>VLOOKUP(A40,[102]phykeq6qwrpwdnei!$B$1:$N$12,9,FALSE)/100</f>
        <v>5.33E-2</v>
      </c>
      <c r="J40" s="2">
        <f>VLOOKUP(A40,[102]phykeq6qwrpwdnei!$B$1:$N$12,8,FALSE)/100</f>
        <v>0.05</v>
      </c>
      <c r="K40" s="2">
        <f t="shared" si="1"/>
        <v>-0.73536003137106076</v>
      </c>
      <c r="L40" s="2">
        <f t="shared" si="2"/>
        <v>-0.75174486995409084</v>
      </c>
      <c r="M40">
        <f>VLOOKUP(A40,[102]phykeq6qwrpwdnei!$B$1:$N$12,7,FALSE)</f>
        <v>3</v>
      </c>
      <c r="N40">
        <f>VLOOKUP(A40,[102]phykeq6qwrpwdnei!$B$1:$N$12,10,FALSE)</f>
        <v>1.53</v>
      </c>
    </row>
  </sheetData>
  <mergeCells count="3">
    <mergeCell ref="P1:Q1"/>
    <mergeCell ref="P7:Q7"/>
    <mergeCell ref="P13:Q13"/>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3D0E28-5BB2-439A-8103-F52AFAD5D867}">
  <dimension ref="A1:Q43"/>
  <sheetViews>
    <sheetView workbookViewId="0">
      <selection activeCell="A33" sqref="A33"/>
    </sheetView>
  </sheetViews>
  <sheetFormatPr defaultRowHeight="14.4" x14ac:dyDescent="0.3"/>
  <cols>
    <col min="1" max="1" width="13.33203125" bestFit="1" customWidth="1"/>
    <col min="2" max="2" width="10.44140625" bestFit="1" customWidth="1"/>
    <col min="3" max="3" width="15.109375" bestFit="1" customWidth="1"/>
    <col min="4" max="5" width="15.44140625" bestFit="1" customWidth="1"/>
    <col min="6" max="6" width="14.33203125" bestFit="1" customWidth="1"/>
    <col min="7" max="7" width="16" bestFit="1" customWidth="1"/>
    <col min="8" max="8" width="18.33203125" bestFit="1" customWidth="1"/>
    <col min="9" max="9" width="21.44140625" bestFit="1" customWidth="1"/>
    <col min="10" max="10" width="23.109375" bestFit="1" customWidth="1"/>
    <col min="11" max="11" width="22" bestFit="1" customWidth="1"/>
    <col min="12" max="12" width="24.109375" bestFit="1" customWidth="1"/>
    <col min="13" max="13" width="19.88671875" bestFit="1" customWidth="1"/>
    <col min="14" max="14" width="8.33203125" bestFit="1" customWidth="1"/>
    <col min="16" max="16" width="51.88671875" bestFit="1" customWidth="1"/>
    <col min="17" max="17" width="10.109375" bestFit="1" customWidth="1"/>
  </cols>
  <sheetData>
    <row r="1" spans="1:17" x14ac:dyDescent="0.3">
      <c r="A1" t="s">
        <v>0</v>
      </c>
      <c r="B1" t="s">
        <v>1</v>
      </c>
      <c r="C1" t="s">
        <v>2</v>
      </c>
      <c r="D1" t="s">
        <v>104</v>
      </c>
      <c r="E1" t="s">
        <v>100</v>
      </c>
      <c r="F1" t="s">
        <v>5</v>
      </c>
      <c r="G1" t="s">
        <v>6</v>
      </c>
      <c r="H1" t="s">
        <v>7</v>
      </c>
      <c r="I1" t="s">
        <v>8</v>
      </c>
      <c r="J1" t="s">
        <v>9</v>
      </c>
      <c r="K1" t="s">
        <v>10</v>
      </c>
      <c r="L1" t="s">
        <v>11</v>
      </c>
      <c r="M1" t="s">
        <v>12</v>
      </c>
      <c r="N1" t="s">
        <v>13</v>
      </c>
      <c r="P1" s="111" t="s">
        <v>14</v>
      </c>
      <c r="Q1" s="111"/>
    </row>
    <row r="2" spans="1:17" x14ac:dyDescent="0.3">
      <c r="A2" t="s">
        <v>19</v>
      </c>
      <c r="B2" t="str">
        <f>VLOOKUP(A2,[103]WRDS!$A$1:$N$100,2,FALSE)</f>
        <v>BHP</v>
      </c>
      <c r="C2" t="str">
        <f>VLOOKUP(A2,[103]WRDS!$A$1:$N$100,3,FALSE)</f>
        <v>BLACK HILLS CORP</v>
      </c>
      <c r="D2">
        <f>VLOOKUP(A2,[103]WRDS!$A$1:$N$100,13,FALSE)</f>
        <v>1.1067</v>
      </c>
      <c r="E2">
        <f>VLOOKUP(A2,[87]WRDS!$A$1:$N$100,13,FALSE)</f>
        <v>1.4933000000000001</v>
      </c>
      <c r="F2" s="1">
        <f>D2*(1+I2)^4</f>
        <v>1.3061734776885336</v>
      </c>
      <c r="G2" s="1">
        <f>D2*(1+J2)^4</f>
        <v>1.2798083386343784</v>
      </c>
      <c r="H2" s="2">
        <f t="shared" ref="H2:H43" si="0">((E2/D2)^(1/4)-1)</f>
        <v>7.7777936507515077E-2</v>
      </c>
      <c r="I2" s="2">
        <f>VLOOKUP(A2,[104]WRDS!$A$1:$O$100,10,FALSE)/100</f>
        <v>4.2300000000000004E-2</v>
      </c>
      <c r="J2" s="2">
        <f>VLOOKUP(A2,[104]WRDS!$A$1:$O$100,9,FALSE)/100</f>
        <v>3.7000000000000005E-2</v>
      </c>
      <c r="K2" s="2">
        <f t="shared" ref="K2:K43" si="1">(I2-H2)/(ABS(H2))</f>
        <v>-0.45614396705018156</v>
      </c>
      <c r="L2" s="2">
        <f t="shared" ref="L2:L43" si="2">(J2-H2)/(ABS(H2))</f>
        <v>-0.52428668512663634</v>
      </c>
      <c r="M2">
        <f>VLOOKUP(A2,[104]WRDS!$A$1:$O$100,8,FALSE)</f>
        <v>3</v>
      </c>
      <c r="N2">
        <f>VLOOKUP(A2,[104]WRDS!$A$1:$O$100,11,FALSE)</f>
        <v>2.54</v>
      </c>
      <c r="P2" t="s">
        <v>16</v>
      </c>
      <c r="Q2" s="3">
        <f>AVERAGE(H2:H999)</f>
        <v>3.371119375254398E-3</v>
      </c>
    </row>
    <row r="3" spans="1:17" x14ac:dyDescent="0.3">
      <c r="A3" t="s">
        <v>88</v>
      </c>
      <c r="B3" t="str">
        <f>VLOOKUP(A3,[103]WRDS!$A$1:$N$100,2,FALSE)</f>
        <v>CIN</v>
      </c>
      <c r="C3" t="str">
        <f>VLOOKUP(A3,[103]WRDS!$A$1:$N$100,3,FALSE)</f>
        <v>CINN GAS &amp; EL</v>
      </c>
      <c r="D3">
        <f>VLOOKUP(A3,[103]WRDS!$A$1:$N$100,13,FALSE)</f>
        <v>2.16</v>
      </c>
      <c r="E3">
        <f>VLOOKUP(A3,[87]WRDS!$A$1:$N$100,13,FALSE)</f>
        <v>2.37</v>
      </c>
      <c r="F3" s="1">
        <f t="shared" ref="F3:F43" si="3">D3*(1+I3)^4</f>
        <v>2.408519315337764</v>
      </c>
      <c r="G3" s="1">
        <f t="shared" ref="G3:G43" si="4">D3*(1+J3)^4</f>
        <v>2.3888914163821364</v>
      </c>
      <c r="H3" s="2">
        <f t="shared" si="0"/>
        <v>2.3466539510718309E-2</v>
      </c>
      <c r="I3" s="2">
        <f>VLOOKUP(A3,[104]WRDS!$A$1:$O$100,10,FALSE)/100</f>
        <v>2.76E-2</v>
      </c>
      <c r="J3" s="2">
        <f>VLOOKUP(A3,[104]WRDS!$A$1:$O$100,9,FALSE)/100</f>
        <v>2.5499999999999998E-2</v>
      </c>
      <c r="K3" s="2">
        <f t="shared" si="1"/>
        <v>0.17614273665675068</v>
      </c>
      <c r="L3" s="2">
        <f t="shared" si="2"/>
        <v>8.6653615389389163E-2</v>
      </c>
      <c r="M3">
        <f>VLOOKUP(A3,[104]WRDS!$A$1:$O$100,8,FALSE)</f>
        <v>10</v>
      </c>
      <c r="N3">
        <f>VLOOKUP(A3,[104]WRDS!$A$1:$O$100,11,FALSE)</f>
        <v>1.46</v>
      </c>
      <c r="P3" t="s">
        <v>18</v>
      </c>
      <c r="Q3" s="3">
        <f>AVERAGE(I2:I999)</f>
        <v>4.543095238095237E-2</v>
      </c>
    </row>
    <row r="4" spans="1:17" x14ac:dyDescent="0.3">
      <c r="A4" t="s">
        <v>21</v>
      </c>
      <c r="B4" t="str">
        <f>VLOOKUP(A4,[103]WRDS!$A$1:$N$100,2,FALSE)</f>
        <v>CMS</v>
      </c>
      <c r="C4" t="str">
        <f>VLOOKUP(A4,[103]WRDS!$A$1:$N$100,3,FALSE)</f>
        <v>CMS ENERGY CORP</v>
      </c>
      <c r="D4">
        <f>VLOOKUP(A4,[103]WRDS!$A$1:$N$100,13,FALSE)</f>
        <v>1.9</v>
      </c>
      <c r="E4">
        <f>VLOOKUP(A4,[87]WRDS!$A$1:$N$100,13,FALSE)</f>
        <v>2.63</v>
      </c>
      <c r="F4" s="1">
        <f t="shared" si="3"/>
        <v>2.7848259216857363</v>
      </c>
      <c r="G4" s="1">
        <f t="shared" si="4"/>
        <v>2.444286066187499</v>
      </c>
      <c r="H4" s="2">
        <f t="shared" si="0"/>
        <v>8.4677263776815392E-2</v>
      </c>
      <c r="I4" s="2">
        <f>VLOOKUP(A4,[104]WRDS!$A$1:$O$100,10,FALSE)/100</f>
        <v>0.1003</v>
      </c>
      <c r="J4" s="2">
        <f>VLOOKUP(A4,[104]WRDS!$A$1:$O$100,9,FALSE)/100</f>
        <v>6.5000000000000002E-2</v>
      </c>
      <c r="K4" s="2">
        <f t="shared" si="1"/>
        <v>0.1844974143751455</v>
      </c>
      <c r="L4" s="2">
        <f t="shared" si="2"/>
        <v>-0.23237954203006519</v>
      </c>
      <c r="M4">
        <f>VLOOKUP(A4,[104]WRDS!$A$1:$O$100,8,FALSE)</f>
        <v>10</v>
      </c>
      <c r="N4">
        <f>VLOOKUP(A4,[104]WRDS!$A$1:$O$100,11,FALSE)</f>
        <v>9.15</v>
      </c>
      <c r="P4" t="s">
        <v>20</v>
      </c>
      <c r="Q4" s="3">
        <f>(Q3-Q2)/ABS(Q2)</f>
        <v>12.476518427213504</v>
      </c>
    </row>
    <row r="5" spans="1:17" x14ac:dyDescent="0.3">
      <c r="A5" t="s">
        <v>71</v>
      </c>
      <c r="B5" t="str">
        <f>VLOOKUP(A5,[103]WRDS!$A$1:$N$100,2,FALSE)</f>
        <v>CNL</v>
      </c>
      <c r="C5" t="str">
        <f>VLOOKUP(A5,[103]WRDS!$A$1:$N$100,3,FALSE)</f>
        <v>CENT LA ELEC INC</v>
      </c>
      <c r="D5">
        <f>VLOOKUP(A5,[103]WRDS!$A$1:$N$100,13,FALSE)</f>
        <v>1.2250000000000001</v>
      </c>
      <c r="E5">
        <f>VLOOKUP(A5,[87]WRDS!$A$1:$N$100,13,FALSE)</f>
        <v>1.1200000000000001</v>
      </c>
      <c r="F5" s="1">
        <f t="shared" si="3"/>
        <v>1.4237295686599838</v>
      </c>
      <c r="G5" s="1">
        <f t="shared" si="4"/>
        <v>1.4608352857656244</v>
      </c>
      <c r="H5" s="2">
        <f t="shared" si="0"/>
        <v>-2.2153955130197911E-2</v>
      </c>
      <c r="I5" s="2">
        <f>VLOOKUP(A5,[104]WRDS!$A$1:$O$100,10,FALSE)/100</f>
        <v>3.8300000000000001E-2</v>
      </c>
      <c r="J5" s="2">
        <f>VLOOKUP(A5,[104]WRDS!$A$1:$O$100,9,FALSE)/100</f>
        <v>4.4999999999999998E-2</v>
      </c>
      <c r="K5" s="2">
        <f t="shared" si="1"/>
        <v>2.7288109402999341</v>
      </c>
      <c r="L5" s="2">
        <f t="shared" si="2"/>
        <v>3.0312400081853013</v>
      </c>
      <c r="M5">
        <f>VLOOKUP(A5,[104]WRDS!$A$1:$O$100,8,FALSE)</f>
        <v>3</v>
      </c>
      <c r="N5">
        <f>VLOOKUP(A5,[104]WRDS!$A$1:$O$100,11,FALSE)</f>
        <v>1.61</v>
      </c>
      <c r="P5" t="s">
        <v>22</v>
      </c>
      <c r="Q5" s="3">
        <f>AVERAGE(J2:J999)</f>
        <v>4.3369047619047627E-2</v>
      </c>
    </row>
    <row r="6" spans="1:17" x14ac:dyDescent="0.3">
      <c r="A6" t="s">
        <v>84</v>
      </c>
      <c r="B6" t="str">
        <f>VLOOKUP(A6,[103]WRDS!$A$1:$N$100,2,FALSE)</f>
        <v>CV</v>
      </c>
      <c r="C6" t="str">
        <f>VLOOKUP(A6,[103]WRDS!$A$1:$N$100,3,FALSE)</f>
        <v>CNTRL VT PUB SVC</v>
      </c>
      <c r="D6">
        <f>VLOOKUP(A6,[103]WRDS!$A$1:$N$100,13,FALSE)</f>
        <v>1.64</v>
      </c>
      <c r="E6">
        <f>VLOOKUP(A6,[87]WRDS!$A$1:$N$100,13,FALSE)</f>
        <v>0.19</v>
      </c>
      <c r="F6" s="1">
        <f t="shared" si="3"/>
        <v>1.7133593953712396</v>
      </c>
      <c r="G6" s="1">
        <f t="shared" si="4"/>
        <v>1.7133593953712396</v>
      </c>
      <c r="H6" s="2">
        <f t="shared" si="0"/>
        <v>-0.41658520514773645</v>
      </c>
      <c r="I6" s="2">
        <f>VLOOKUP(A6,[104]WRDS!$A$1:$O$100,10,FALSE)/100</f>
        <v>1.1000000000000001E-2</v>
      </c>
      <c r="J6" s="2">
        <f>VLOOKUP(A6,[104]WRDS!$A$1:$O$100,9,FALSE)/100</f>
        <v>1.1000000000000001E-2</v>
      </c>
      <c r="K6" s="2">
        <f t="shared" si="1"/>
        <v>1.0264051624111303</v>
      </c>
      <c r="L6" s="2">
        <f t="shared" si="2"/>
        <v>1.0264051624111303</v>
      </c>
      <c r="M6">
        <f>VLOOKUP(A6,[104]WRDS!$A$1:$O$100,8,FALSE)</f>
        <v>2</v>
      </c>
      <c r="N6">
        <f>VLOOKUP(A6,[104]WRDS!$A$1:$O$100,11,FALSE)</f>
        <v>2.97</v>
      </c>
      <c r="P6" t="s">
        <v>24</v>
      </c>
      <c r="Q6" s="3">
        <f>(Q5-Q2)/ABS(Q2)</f>
        <v>11.864880412540963</v>
      </c>
    </row>
    <row r="7" spans="1:17" x14ac:dyDescent="0.3">
      <c r="A7" t="s">
        <v>25</v>
      </c>
      <c r="B7" t="str">
        <f>VLOOKUP(A7,[103]WRDS!$A$1:$N$100,2,FALSE)</f>
        <v>D</v>
      </c>
      <c r="C7" t="str">
        <f>VLOOKUP(A7,[103]WRDS!$A$1:$N$100,3,FALSE)</f>
        <v>DOMINION RES INC</v>
      </c>
      <c r="D7">
        <f>VLOOKUP(A7,[103]WRDS!$A$1:$N$100,13,FALSE)</f>
        <v>1.5649999999999999</v>
      </c>
      <c r="E7">
        <f>VLOOKUP(A7,[87]WRDS!$A$1:$N$100,13,FALSE)</f>
        <v>1.52</v>
      </c>
      <c r="F7" s="1">
        <f t="shared" si="3"/>
        <v>1.8167859219578402</v>
      </c>
      <c r="G7" s="1">
        <f t="shared" si="4"/>
        <v>1.7958734959781244</v>
      </c>
      <c r="H7" s="2">
        <f t="shared" si="0"/>
        <v>-7.2673365523122646E-3</v>
      </c>
      <c r="I7" s="2">
        <f>VLOOKUP(A7,[104]WRDS!$A$1:$O$100,10,FALSE)/100</f>
        <v>3.7999999999999999E-2</v>
      </c>
      <c r="J7" s="2">
        <f>VLOOKUP(A7,[104]WRDS!$A$1:$O$100,9,FALSE)/100</f>
        <v>3.5000000000000003E-2</v>
      </c>
      <c r="K7" s="2">
        <f t="shared" si="1"/>
        <v>6.228875768511017</v>
      </c>
      <c r="L7" s="2">
        <f t="shared" si="2"/>
        <v>5.8160697867864641</v>
      </c>
      <c r="M7">
        <f>VLOOKUP(A7,[104]WRDS!$A$1:$O$100,8,FALSE)</f>
        <v>15</v>
      </c>
      <c r="N7">
        <f>VLOOKUP(A7,[104]WRDS!$A$1:$O$100,11,FALSE)</f>
        <v>1.52</v>
      </c>
      <c r="P7" s="111" t="s">
        <v>26</v>
      </c>
      <c r="Q7" s="111"/>
    </row>
    <row r="8" spans="1:17" x14ac:dyDescent="0.3">
      <c r="A8" t="s">
        <v>86</v>
      </c>
      <c r="B8" t="str">
        <f>VLOOKUP(A8,[103]WRDS!$A$1:$N$100,2,FALSE)</f>
        <v>DPL</v>
      </c>
      <c r="C8" t="str">
        <f>VLOOKUP(A8,[103]WRDS!$A$1:$N$100,3,FALSE)</f>
        <v>DPL INC</v>
      </c>
      <c r="D8">
        <f>VLOOKUP(A8,[103]WRDS!$A$1:$N$100,13,FALSE)</f>
        <v>0.9133</v>
      </c>
      <c r="E8">
        <f>VLOOKUP(A8,[87]WRDS!$A$1:$N$100,13,FALSE)</f>
        <v>1.1970000000000001</v>
      </c>
      <c r="F8" s="1">
        <f t="shared" si="3"/>
        <v>1.0407610908955023</v>
      </c>
      <c r="G8" s="1">
        <f t="shared" si="4"/>
        <v>1.0460090394524506</v>
      </c>
      <c r="H8" s="2">
        <f t="shared" si="0"/>
        <v>6.9966482230642502E-2</v>
      </c>
      <c r="I8" s="2">
        <f>VLOOKUP(A8,[104]WRDS!$A$1:$O$100,10,FALSE)/100</f>
        <v>3.32E-2</v>
      </c>
      <c r="J8" s="2">
        <f>VLOOKUP(A8,[104]WRDS!$A$1:$O$100,9,FALSE)/100</f>
        <v>3.4500000000000003E-2</v>
      </c>
      <c r="K8" s="2">
        <f t="shared" si="1"/>
        <v>-0.52548707693267827</v>
      </c>
      <c r="L8" s="2">
        <f t="shared" si="2"/>
        <v>-0.50690675163184939</v>
      </c>
      <c r="M8">
        <f>VLOOKUP(A8,[104]WRDS!$A$1:$O$100,8,FALSE)</f>
        <v>10</v>
      </c>
      <c r="N8">
        <f>VLOOKUP(A8,[104]WRDS!$A$1:$O$100,11,FALSE)</f>
        <v>1.27</v>
      </c>
      <c r="P8" t="s">
        <v>28</v>
      </c>
      <c r="Q8" s="2">
        <f>MEDIAN(H2:H99)</f>
        <v>1.9506343770096857E-2</v>
      </c>
    </row>
    <row r="9" spans="1:17" x14ac:dyDescent="0.3">
      <c r="A9" t="s">
        <v>27</v>
      </c>
      <c r="B9" t="str">
        <f>VLOOKUP(A9,[103]WRDS!$A$1:$N$100,2,FALSE)</f>
        <v>DTE</v>
      </c>
      <c r="C9" t="str">
        <f>VLOOKUP(A9,[103]WRDS!$A$1:$N$100,3,FALSE)</f>
        <v>DETROIT EDISON</v>
      </c>
      <c r="D9">
        <f>VLOOKUP(A9,[103]WRDS!$A$1:$N$100,13,FALSE)</f>
        <v>3.33</v>
      </c>
      <c r="E9">
        <f>VLOOKUP(A9,[87]WRDS!$A$1:$N$100,13,FALSE)</f>
        <v>2.88</v>
      </c>
      <c r="F9" s="1">
        <f t="shared" si="3"/>
        <v>3.3971011670812481</v>
      </c>
      <c r="G9" s="1">
        <f t="shared" si="4"/>
        <v>3.6044990927999998</v>
      </c>
      <c r="H9" s="2">
        <f t="shared" si="0"/>
        <v>-3.5644717984832042E-2</v>
      </c>
      <c r="I9" s="2">
        <f>VLOOKUP(A9,[104]WRDS!$A$1:$O$100,10,FALSE)/100</f>
        <v>5.0000000000000001E-3</v>
      </c>
      <c r="J9" s="2">
        <f>VLOOKUP(A9,[104]WRDS!$A$1:$O$100,9,FALSE)/100</f>
        <v>0.02</v>
      </c>
      <c r="K9" s="2">
        <f t="shared" si="1"/>
        <v>1.1402732377382718</v>
      </c>
      <c r="L9" s="2">
        <f t="shared" si="2"/>
        <v>1.5610929509530875</v>
      </c>
      <c r="M9">
        <f>VLOOKUP(A9,[104]WRDS!$A$1:$O$100,8,FALSE)</f>
        <v>9</v>
      </c>
      <c r="N9">
        <f>VLOOKUP(A9,[104]WRDS!$A$1:$O$100,11,FALSE)</f>
        <v>3.52</v>
      </c>
      <c r="P9" t="s">
        <v>30</v>
      </c>
      <c r="Q9" s="2">
        <f>MEDIAN(I2:I100)</f>
        <v>4.0800000000000003E-2</v>
      </c>
    </row>
    <row r="10" spans="1:17" x14ac:dyDescent="0.3">
      <c r="A10" t="s">
        <v>29</v>
      </c>
      <c r="B10" t="str">
        <f>VLOOKUP(A10,[103]WRDS!$A$1:$N$100,2,FALSE)</f>
        <v>DUK</v>
      </c>
      <c r="C10" t="str">
        <f>VLOOKUP(A10,[103]WRDS!$A$1:$N$100,3,FALSE)</f>
        <v>DUKE POWER CO</v>
      </c>
      <c r="D10">
        <f>VLOOKUP(A10,[103]WRDS!$A$1:$N$100,13,FALSE)</f>
        <v>4.2</v>
      </c>
      <c r="E10">
        <f>VLOOKUP(A10,[87]WRDS!$A$1:$N$100,13,FALSE)</f>
        <v>4.2300000000000004</v>
      </c>
      <c r="F10" s="1">
        <f t="shared" si="3"/>
        <v>4.9646288257373801</v>
      </c>
      <c r="G10" s="1">
        <f t="shared" si="4"/>
        <v>4.9134059520000015</v>
      </c>
      <c r="H10" s="2">
        <f t="shared" si="0"/>
        <v>1.7809509549475688E-3</v>
      </c>
      <c r="I10" s="2">
        <f>VLOOKUP(A10,[104]WRDS!$A$1:$O$100,10,FALSE)/100</f>
        <v>4.2699999999999995E-2</v>
      </c>
      <c r="J10" s="2">
        <f>VLOOKUP(A10,[104]WRDS!$A$1:$O$100,9,FALSE)/100</f>
        <v>0.04</v>
      </c>
      <c r="K10" s="2">
        <f t="shared" si="1"/>
        <v>22.975955026373583</v>
      </c>
      <c r="L10" s="2">
        <f t="shared" si="2"/>
        <v>21.459911031731696</v>
      </c>
      <c r="M10">
        <f>VLOOKUP(A10,[104]WRDS!$A$1:$O$100,8,FALSE)</f>
        <v>14</v>
      </c>
      <c r="N10">
        <f>VLOOKUP(A10,[104]WRDS!$A$1:$O$100,11,FALSE)</f>
        <v>1.05</v>
      </c>
      <c r="P10" t="s">
        <v>32</v>
      </c>
      <c r="Q10" s="2">
        <f>(Q9-Q8)/ABS(Q8)</f>
        <v>1.091627240905404</v>
      </c>
    </row>
    <row r="11" spans="1:17" x14ac:dyDescent="0.3">
      <c r="A11" t="s">
        <v>31</v>
      </c>
      <c r="B11" t="str">
        <f>VLOOKUP(A11,[103]WRDS!$A$1:$N$100,2,FALSE)</f>
        <v>ED</v>
      </c>
      <c r="C11" t="str">
        <f>VLOOKUP(A11,[103]WRDS!$A$1:$N$100,3,FALSE)</f>
        <v>CONSOL EDISON</v>
      </c>
      <c r="D11">
        <f>VLOOKUP(A11,[103]WRDS!$A$1:$N$100,13,FALSE)</f>
        <v>2.66</v>
      </c>
      <c r="E11">
        <f>VLOOKUP(A11,[87]WRDS!$A$1:$N$100,13,FALSE)</f>
        <v>2.95</v>
      </c>
      <c r="F11" s="1">
        <f t="shared" si="3"/>
        <v>2.9522165469797823</v>
      </c>
      <c r="G11" s="1">
        <f t="shared" si="4"/>
        <v>2.9533672282024659</v>
      </c>
      <c r="H11" s="2">
        <f t="shared" si="0"/>
        <v>2.6207288471617129E-2</v>
      </c>
      <c r="I11" s="2">
        <f>VLOOKUP(A11,[104]WRDS!$A$1:$O$100,10,FALSE)/100</f>
        <v>2.64E-2</v>
      </c>
      <c r="J11" s="2">
        <f>VLOOKUP(A11,[104]WRDS!$A$1:$O$100,9,FALSE)/100</f>
        <v>2.6499999999999999E-2</v>
      </c>
      <c r="K11" s="2">
        <f t="shared" si="1"/>
        <v>7.3533562463579446E-3</v>
      </c>
      <c r="L11" s="2">
        <f t="shared" si="2"/>
        <v>1.1169088656382005E-2</v>
      </c>
      <c r="M11">
        <f>VLOOKUP(A11,[104]WRDS!$A$1:$O$100,8,FALSE)</f>
        <v>12</v>
      </c>
      <c r="N11">
        <f>VLOOKUP(A11,[104]WRDS!$A$1:$O$100,11,FALSE)</f>
        <v>0.57999999999999996</v>
      </c>
      <c r="P11" t="s">
        <v>34</v>
      </c>
      <c r="Q11" s="2">
        <f>MEDIAN(J2:J99)</f>
        <v>0.04</v>
      </c>
    </row>
    <row r="12" spans="1:17" x14ac:dyDescent="0.3">
      <c r="A12" t="s">
        <v>72</v>
      </c>
      <c r="B12" t="str">
        <f>VLOOKUP(A12,[103]WRDS!$A$1:$N$100,2,FALSE)</f>
        <v>EDE</v>
      </c>
      <c r="C12" t="str">
        <f>VLOOKUP(A12,[103]WRDS!$A$1:$N$100,3,FALSE)</f>
        <v>EMPIRE DIST ELEC</v>
      </c>
      <c r="D12">
        <f>VLOOKUP(A12,[103]WRDS!$A$1:$N$100,13,FALSE)</f>
        <v>1.1599999999999999</v>
      </c>
      <c r="E12">
        <f>VLOOKUP(A12,[87]WRDS!$A$1:$N$100,13,FALSE)</f>
        <v>1.28</v>
      </c>
      <c r="F12" s="1">
        <f t="shared" si="3"/>
        <v>1.3886241928889602</v>
      </c>
      <c r="G12" s="1">
        <f t="shared" si="4"/>
        <v>1.3886241928889602</v>
      </c>
      <c r="H12" s="2">
        <f t="shared" si="0"/>
        <v>2.4915344249358151E-2</v>
      </c>
      <c r="I12" s="2">
        <f>VLOOKUP(A12,[104]WRDS!$A$1:$O$100,10,FALSE)/100</f>
        <v>4.5999999999999999E-2</v>
      </c>
      <c r="J12" s="2">
        <f>VLOOKUP(A12,[104]WRDS!$A$1:$O$100,9,FALSE)/100</f>
        <v>4.5999999999999999E-2</v>
      </c>
      <c r="K12" s="2">
        <f t="shared" si="1"/>
        <v>0.84625183339319154</v>
      </c>
      <c r="L12" s="2">
        <f t="shared" si="2"/>
        <v>0.84625183339319154</v>
      </c>
      <c r="M12">
        <f>VLOOKUP(A12,[104]WRDS!$A$1:$O$100,8,FALSE)</f>
        <v>2</v>
      </c>
      <c r="N12">
        <f>VLOOKUP(A12,[104]WRDS!$A$1:$O$100,11,FALSE)</f>
        <v>3.39</v>
      </c>
      <c r="P12" t="s">
        <v>32</v>
      </c>
      <c r="Q12" s="2">
        <f>(Q11-Q8)/ABS(Q8)</f>
        <v>1.0506149420641213</v>
      </c>
    </row>
    <row r="13" spans="1:17" x14ac:dyDescent="0.3">
      <c r="A13" t="s">
        <v>59</v>
      </c>
      <c r="B13" t="str">
        <f>VLOOKUP(A13,[103]WRDS!$A$1:$N$100,2,FALSE)</f>
        <v>MSU</v>
      </c>
      <c r="C13" t="str">
        <f>VLOOKUP(A13,[103]WRDS!$A$1:$N$100,3,FALSE)</f>
        <v>ENTERGY CP</v>
      </c>
      <c r="D13">
        <f>VLOOKUP(A13,[103]WRDS!$A$1:$N$100,13,FALSE)</f>
        <v>2.82</v>
      </c>
      <c r="E13">
        <f>VLOOKUP(A13,[87]WRDS!$A$1:$N$100,13,FALSE)</f>
        <v>2.2400000000000002</v>
      </c>
      <c r="F13" s="1">
        <f t="shared" si="3"/>
        <v>3.4434241196642783</v>
      </c>
      <c r="G13" s="1">
        <f t="shared" si="4"/>
        <v>3.4277276249999997</v>
      </c>
      <c r="H13" s="2">
        <f t="shared" si="0"/>
        <v>-5.5939716061033207E-2</v>
      </c>
      <c r="I13" s="2">
        <f>VLOOKUP(A13,[104]WRDS!$A$1:$O$100,10,FALSE)/100</f>
        <v>5.1200000000000002E-2</v>
      </c>
      <c r="J13" s="2">
        <f>VLOOKUP(A13,[104]WRDS!$A$1:$O$100,9,FALSE)/100</f>
        <v>0.05</v>
      </c>
      <c r="K13" s="2">
        <f t="shared" si="1"/>
        <v>1.9152710025223951</v>
      </c>
      <c r="L13" s="2">
        <f t="shared" si="2"/>
        <v>1.8938193384007767</v>
      </c>
      <c r="M13">
        <f>VLOOKUP(A13,[104]WRDS!$A$1:$O$100,8,FALSE)</f>
        <v>12</v>
      </c>
      <c r="N13">
        <f>VLOOKUP(A13,[104]WRDS!$A$1:$O$100,11,FALSE)</f>
        <v>1.58</v>
      </c>
      <c r="P13" s="111" t="s">
        <v>37</v>
      </c>
      <c r="Q13" s="111"/>
    </row>
    <row r="14" spans="1:17" x14ac:dyDescent="0.3">
      <c r="A14" t="s">
        <v>89</v>
      </c>
      <c r="B14" t="str">
        <f>VLOOKUP(A14,[103]WRDS!$A$1:$N$100,2,FALSE)</f>
        <v>FPL</v>
      </c>
      <c r="C14" t="str">
        <f>VLOOKUP(A14,[103]WRDS!$A$1:$N$100,3,FALSE)</f>
        <v>FPL GROUP</v>
      </c>
      <c r="D14">
        <f>VLOOKUP(A14,[103]WRDS!$A$1:$N$100,13,FALSE)</f>
        <v>0.34379999999999999</v>
      </c>
      <c r="E14">
        <f>VLOOKUP(A14,[87]WRDS!$A$1:$N$100,13,FALSE)</f>
        <v>0.44629999999999997</v>
      </c>
      <c r="F14" s="1">
        <f t="shared" si="3"/>
        <v>0.37860308770248019</v>
      </c>
      <c r="G14" s="1">
        <f t="shared" si="4"/>
        <v>0.37580204499967962</v>
      </c>
      <c r="H14" s="2">
        <f t="shared" si="0"/>
        <v>6.7407508922736836E-2</v>
      </c>
      <c r="I14" s="2">
        <f>VLOOKUP(A14,[104]WRDS!$A$1:$O$100,10,FALSE)/100</f>
        <v>2.4399999999999998E-2</v>
      </c>
      <c r="J14" s="2">
        <f>VLOOKUP(A14,[104]WRDS!$A$1:$O$100,9,FALSE)/100</f>
        <v>2.2499999999999999E-2</v>
      </c>
      <c r="K14" s="2">
        <f t="shared" si="1"/>
        <v>-0.63802252315884389</v>
      </c>
      <c r="L14" s="2">
        <f t="shared" si="2"/>
        <v>-0.66620929389647487</v>
      </c>
      <c r="M14">
        <f>VLOOKUP(A14,[104]WRDS!$A$1:$O$100,8,FALSE)</f>
        <v>18</v>
      </c>
      <c r="N14">
        <f>VLOOKUP(A14,[104]WRDS!$A$1:$O$100,11,FALSE)</f>
        <v>1.02</v>
      </c>
      <c r="P14" t="s">
        <v>39</v>
      </c>
      <c r="Q14" s="1">
        <f>AVERAGE(M2:M1002)</f>
        <v>8.5238095238095237</v>
      </c>
    </row>
    <row r="15" spans="1:17" x14ac:dyDescent="0.3">
      <c r="A15" t="s">
        <v>36</v>
      </c>
      <c r="B15" t="str">
        <f>VLOOKUP(A15,[103]WRDS!$A$1:$N$100,2,FALSE)</f>
        <v>HE</v>
      </c>
      <c r="C15" t="str">
        <f>VLOOKUP(A15,[103]WRDS!$A$1:$N$100,3,FALSE)</f>
        <v>HAWAIIAN ELEC</v>
      </c>
      <c r="D15">
        <f>VLOOKUP(A15,[103]WRDS!$A$1:$N$100,13,FALSE)</f>
        <v>1.19</v>
      </c>
      <c r="E15">
        <f>VLOOKUP(A15,[87]WRDS!$A$1:$N$100,13,FALSE)</f>
        <v>1.42</v>
      </c>
      <c r="F15" s="1">
        <f t="shared" si="3"/>
        <v>1.3524063545152343</v>
      </c>
      <c r="G15" s="1">
        <f t="shared" si="4"/>
        <v>1.3393554838999999</v>
      </c>
      <c r="H15" s="2">
        <f t="shared" si="0"/>
        <v>4.5166174173383977E-2</v>
      </c>
      <c r="I15" s="2">
        <f>VLOOKUP(A15,[104]WRDS!$A$1:$O$100,10,FALSE)/100</f>
        <v>3.2500000000000001E-2</v>
      </c>
      <c r="J15" s="2">
        <f>VLOOKUP(A15,[104]WRDS!$A$1:$O$100,9,FALSE)/100</f>
        <v>0.03</v>
      </c>
      <c r="K15" s="2">
        <f t="shared" si="1"/>
        <v>-0.28043495835536231</v>
      </c>
      <c r="L15" s="2">
        <f t="shared" si="2"/>
        <v>-0.33578611540494985</v>
      </c>
      <c r="M15">
        <f>VLOOKUP(A15,[104]WRDS!$A$1:$O$100,8,FALSE)</f>
        <v>6</v>
      </c>
      <c r="N15">
        <f>VLOOKUP(A15,[104]WRDS!$A$1:$O$100,11,FALSE)</f>
        <v>1.08</v>
      </c>
      <c r="P15" t="s">
        <v>41</v>
      </c>
      <c r="Q15" s="1">
        <f>COUNT(N2:N1002)</f>
        <v>42</v>
      </c>
    </row>
    <row r="16" spans="1:17" x14ac:dyDescent="0.3">
      <c r="A16" t="s">
        <v>38</v>
      </c>
      <c r="B16" t="str">
        <f>VLOOKUP(A16,[103]WRDS!$A$1:$N$100,2,FALSE)</f>
        <v>IDA</v>
      </c>
      <c r="C16" t="str">
        <f>VLOOKUP(A16,[103]WRDS!$A$1:$N$100,3,FALSE)</f>
        <v>IDAHO POWER CO</v>
      </c>
      <c r="D16">
        <f>VLOOKUP(A16,[103]WRDS!$A$1:$N$100,13,FALSE)</f>
        <v>1.97</v>
      </c>
      <c r="E16">
        <f>VLOOKUP(A16,[87]WRDS!$A$1:$N$100,13,FALSE)</f>
        <v>2.3199999999999998</v>
      </c>
      <c r="F16" s="1">
        <f t="shared" si="3"/>
        <v>2.5314843241797309</v>
      </c>
      <c r="G16" s="1">
        <f t="shared" si="4"/>
        <v>2.5630155254707208</v>
      </c>
      <c r="H16" s="2">
        <f t="shared" si="0"/>
        <v>4.1730643851916049E-2</v>
      </c>
      <c r="I16" s="2">
        <f>VLOOKUP(A16,[104]WRDS!$A$1:$O$100,10,FALSE)/100</f>
        <v>6.4699999999999994E-2</v>
      </c>
      <c r="J16" s="2">
        <f>VLOOKUP(A16,[104]WRDS!$A$1:$O$100,9,FALSE)/100</f>
        <v>6.8000000000000005E-2</v>
      </c>
      <c r="K16" s="2">
        <f t="shared" si="1"/>
        <v>0.55041940473270012</v>
      </c>
      <c r="L16" s="2">
        <f t="shared" si="2"/>
        <v>0.62949798333575935</v>
      </c>
      <c r="M16">
        <f>VLOOKUP(A16,[104]WRDS!$A$1:$O$100,8,FALSE)</f>
        <v>7</v>
      </c>
      <c r="N16">
        <f>VLOOKUP(A16,[104]WRDS!$A$1:$O$100,11,FALSE)</f>
        <v>2.69</v>
      </c>
    </row>
    <row r="17" spans="1:14" x14ac:dyDescent="0.3">
      <c r="A17" t="s">
        <v>44</v>
      </c>
      <c r="B17" t="str">
        <f>VLOOKUP(A17,[103]WRDS!$A$1:$N$100,2,FALSE)</f>
        <v>OGE</v>
      </c>
      <c r="C17" t="str">
        <f>VLOOKUP(A17,[103]WRDS!$A$1:$N$100,3,FALSE)</f>
        <v>OKLAHOMA G&amp;E</v>
      </c>
      <c r="D17">
        <f>VLOOKUP(A17,[103]WRDS!$A$1:$N$100,13,FALSE)</f>
        <v>0.77500000000000002</v>
      </c>
      <c r="E17">
        <f>VLOOKUP(A17,[87]WRDS!$A$1:$N$100,13,FALSE)</f>
        <v>0.8075</v>
      </c>
      <c r="F17" s="1">
        <f t="shared" si="3"/>
        <v>0.82352966385724946</v>
      </c>
      <c r="G17" s="1">
        <f t="shared" si="4"/>
        <v>0.83888492400000003</v>
      </c>
      <c r="H17" s="2">
        <f t="shared" si="0"/>
        <v>1.0322923951226137E-2</v>
      </c>
      <c r="I17" s="2">
        <f>VLOOKUP(A17,[104]WRDS!$A$1:$O$100,10,FALSE)/100</f>
        <v>1.5300000000000001E-2</v>
      </c>
      <c r="J17" s="2">
        <f>VLOOKUP(A17,[104]WRDS!$A$1:$O$100,9,FALSE)/100</f>
        <v>0.02</v>
      </c>
      <c r="K17" s="2">
        <f t="shared" si="1"/>
        <v>0.4821382073809326</v>
      </c>
      <c r="L17" s="2">
        <f t="shared" si="2"/>
        <v>0.93743556520383342</v>
      </c>
      <c r="M17">
        <f>VLOOKUP(A17,[104]WRDS!$A$1:$O$100,8,FALSE)</f>
        <v>11</v>
      </c>
      <c r="N17">
        <f>VLOOKUP(A17,[104]WRDS!$A$1:$O$100,11,FALSE)</f>
        <v>1.85</v>
      </c>
    </row>
    <row r="18" spans="1:14" x14ac:dyDescent="0.3">
      <c r="A18" t="s">
        <v>69</v>
      </c>
      <c r="B18" t="str">
        <f>VLOOKUP(A18,[103]WRDS!$A$1:$N$100,2,FALSE)</f>
        <v>OTTR</v>
      </c>
      <c r="C18" t="str">
        <f>VLOOKUP(A18,[103]WRDS!$A$1:$N$100,3,FALSE)</f>
        <v>OTTER TAIL PWR</v>
      </c>
      <c r="D18">
        <f>VLOOKUP(A18,[103]WRDS!$A$1:$N$100,13,FALSE)</f>
        <v>1.1100000000000001</v>
      </c>
      <c r="E18">
        <f>VLOOKUP(A18,[87]WRDS!$A$1:$N$100,13,FALSE)</f>
        <v>1.2749999999999999</v>
      </c>
      <c r="F18" s="1">
        <f t="shared" si="3"/>
        <v>1.2575831245400626</v>
      </c>
      <c r="G18" s="1">
        <f t="shared" si="4"/>
        <v>1.2493147791000001</v>
      </c>
      <c r="H18" s="2">
        <f t="shared" si="0"/>
        <v>3.5253724192270131E-2</v>
      </c>
      <c r="I18" s="2">
        <f>VLOOKUP(A18,[104]WRDS!$A$1:$O$100,10,FALSE)/100</f>
        <v>3.1699999999999999E-2</v>
      </c>
      <c r="J18" s="2">
        <f>VLOOKUP(A18,[104]WRDS!$A$1:$O$100,9,FALSE)/100</f>
        <v>0.03</v>
      </c>
      <c r="K18" s="2">
        <f t="shared" si="1"/>
        <v>-0.10080422065165345</v>
      </c>
      <c r="L18" s="2">
        <f t="shared" si="2"/>
        <v>-0.14902607632648593</v>
      </c>
      <c r="M18">
        <f>VLOOKUP(A18,[104]WRDS!$A$1:$O$100,8,FALSE)</f>
        <v>3</v>
      </c>
      <c r="N18">
        <f>VLOOKUP(A18,[104]WRDS!$A$1:$O$100,11,FALSE)</f>
        <v>0.76</v>
      </c>
    </row>
    <row r="19" spans="1:14" x14ac:dyDescent="0.3">
      <c r="A19" t="s">
        <v>45</v>
      </c>
      <c r="B19" t="str">
        <f>VLOOKUP(A19,[103]WRDS!$A$1:$N$100,2,FALSE)</f>
        <v>PCG</v>
      </c>
      <c r="C19" t="str">
        <f>VLOOKUP(A19,[103]WRDS!$A$1:$N$100,3,FALSE)</f>
        <v>PACIFIC G&amp;E</v>
      </c>
      <c r="D19">
        <f>VLOOKUP(A19,[103]WRDS!$A$1:$N$100,13,FALSE)</f>
        <v>2.52</v>
      </c>
      <c r="E19">
        <f>VLOOKUP(A19,[87]WRDS!$A$1:$N$100,13,FALSE)</f>
        <v>1.75</v>
      </c>
      <c r="F19" s="1">
        <f t="shared" si="3"/>
        <v>2.966227286455223</v>
      </c>
      <c r="G19" s="1">
        <f t="shared" si="4"/>
        <v>2.9480435712000004</v>
      </c>
      <c r="H19" s="2">
        <f t="shared" si="0"/>
        <v>-8.7129070824723209E-2</v>
      </c>
      <c r="I19" s="2">
        <f>VLOOKUP(A19,[104]WRDS!$A$1:$O$100,10,FALSE)/100</f>
        <v>4.1599999999999998E-2</v>
      </c>
      <c r="J19" s="2">
        <f>VLOOKUP(A19,[104]WRDS!$A$1:$O$100,9,FALSE)/100</f>
        <v>0.04</v>
      </c>
      <c r="K19" s="2">
        <f t="shared" si="1"/>
        <v>1.4774525839221486</v>
      </c>
      <c r="L19" s="2">
        <f t="shared" si="2"/>
        <v>1.4590890230020661</v>
      </c>
      <c r="M19">
        <f>VLOOKUP(A19,[104]WRDS!$A$1:$O$100,8,FALSE)</f>
        <v>14</v>
      </c>
      <c r="N19">
        <f>VLOOKUP(A19,[104]WRDS!$A$1:$O$100,11,FALSE)</f>
        <v>1.31</v>
      </c>
    </row>
    <row r="20" spans="1:14" x14ac:dyDescent="0.3">
      <c r="A20" t="s">
        <v>46</v>
      </c>
      <c r="B20" t="str">
        <f>VLOOKUP(A20,[103]WRDS!$A$1:$N$100,2,FALSE)</f>
        <v>PEG</v>
      </c>
      <c r="C20" t="str">
        <f>VLOOKUP(A20,[103]WRDS!$A$1:$N$100,3,FALSE)</f>
        <v>PUB SVC ENTERS</v>
      </c>
      <c r="D20">
        <f>VLOOKUP(A20,[103]WRDS!$A$1:$N$100,13,FALSE)</f>
        <v>1.2450000000000001</v>
      </c>
      <c r="E20">
        <f>VLOOKUP(A20,[87]WRDS!$A$1:$N$100,13,FALSE)</f>
        <v>1.32</v>
      </c>
      <c r="F20" s="1">
        <f t="shared" si="3"/>
        <v>1.4369662803206276</v>
      </c>
      <c r="G20" s="1">
        <f t="shared" si="4"/>
        <v>1.3958246077848449</v>
      </c>
      <c r="H20" s="2">
        <f t="shared" si="0"/>
        <v>1.4731506282326778E-2</v>
      </c>
      <c r="I20" s="2">
        <f>VLOOKUP(A20,[104]WRDS!$A$1:$O$100,10,FALSE)/100</f>
        <v>3.6499999999999998E-2</v>
      </c>
      <c r="J20" s="2">
        <f>VLOOKUP(A20,[104]WRDS!$A$1:$O$100,9,FALSE)/100</f>
        <v>2.8999999999999998E-2</v>
      </c>
      <c r="K20" s="2">
        <f t="shared" si="1"/>
        <v>1.4776828180692314</v>
      </c>
      <c r="L20" s="2">
        <f t="shared" si="2"/>
        <v>0.96856991024678651</v>
      </c>
      <c r="M20">
        <f>VLOOKUP(A20,[104]WRDS!$A$1:$O$100,8,FALSE)</f>
        <v>14</v>
      </c>
      <c r="N20">
        <f>VLOOKUP(A20,[104]WRDS!$A$1:$O$100,11,FALSE)</f>
        <v>2.12</v>
      </c>
    </row>
    <row r="21" spans="1:14" x14ac:dyDescent="0.3">
      <c r="A21" t="s">
        <v>74</v>
      </c>
      <c r="B21" t="str">
        <f>VLOOKUP(A21,[103]WRDS!$A$1:$N$100,2,FALSE)</f>
        <v>PGN</v>
      </c>
      <c r="C21" t="str">
        <f>VLOOKUP(A21,[103]WRDS!$A$1:$N$100,3,FALSE)</f>
        <v>PORTLAND GEN CP</v>
      </c>
      <c r="D21">
        <f>VLOOKUP(A21,[103]WRDS!$A$1:$N$100,13,FALSE)</f>
        <v>2.04</v>
      </c>
      <c r="E21">
        <f>VLOOKUP(A21,[87]WRDS!$A$1:$N$100,13,FALSE)</f>
        <v>0.78400000000000003</v>
      </c>
      <c r="F21" s="1">
        <f t="shared" si="3"/>
        <v>2.3058620134951351</v>
      </c>
      <c r="G21" s="1">
        <f t="shared" si="4"/>
        <v>2.2960379723999997</v>
      </c>
      <c r="H21" s="2">
        <f t="shared" si="0"/>
        <v>-0.21264339726013171</v>
      </c>
      <c r="I21" s="2">
        <f>VLOOKUP(A21,[104]WRDS!$A$1:$O$100,10,FALSE)/100</f>
        <v>3.1099999999999999E-2</v>
      </c>
      <c r="J21" s="2">
        <f>VLOOKUP(A21,[104]WRDS!$A$1:$O$100,9,FALSE)/100</f>
        <v>0.03</v>
      </c>
      <c r="K21" s="2">
        <f t="shared" si="1"/>
        <v>1.1462542472548753</v>
      </c>
      <c r="L21" s="2">
        <f t="shared" si="2"/>
        <v>1.141081267448433</v>
      </c>
      <c r="M21">
        <f>VLOOKUP(A21,[104]WRDS!$A$1:$O$100,8,FALSE)</f>
        <v>7</v>
      </c>
      <c r="N21">
        <f>VLOOKUP(A21,[104]WRDS!$A$1:$O$100,11,FALSE)</f>
        <v>1.01</v>
      </c>
    </row>
    <row r="22" spans="1:14" x14ac:dyDescent="0.3">
      <c r="A22" t="s">
        <v>47</v>
      </c>
      <c r="B22" t="str">
        <f>VLOOKUP(A22,[103]WRDS!$A$1:$N$100,2,FALSE)</f>
        <v>PNM</v>
      </c>
      <c r="C22" t="str">
        <f>VLOOKUP(A22,[103]WRDS!$A$1:$N$100,3,FALSE)</f>
        <v>PUB SVC N MEX</v>
      </c>
      <c r="D22">
        <f>VLOOKUP(A22,[103]WRDS!$A$1:$N$100,13,FALSE)</f>
        <v>0.83330000000000004</v>
      </c>
      <c r="E22">
        <f>VLOOKUP(A22,[87]WRDS!$A$1:$N$100,13,FALSE)</f>
        <v>1.3067</v>
      </c>
      <c r="F22" s="1">
        <f t="shared" si="3"/>
        <v>1.1078857601274685</v>
      </c>
      <c r="G22" s="1">
        <f t="shared" si="4"/>
        <v>1.1025304309053634</v>
      </c>
      <c r="H22" s="2">
        <f t="shared" si="0"/>
        <v>0.11903488964566455</v>
      </c>
      <c r="I22" s="2">
        <f>VLOOKUP(A22,[104]WRDS!$A$1:$O$100,10,FALSE)/100</f>
        <v>7.3800000000000004E-2</v>
      </c>
      <c r="J22" s="2">
        <f>VLOOKUP(A22,[104]WRDS!$A$1:$O$100,9,FALSE)/100</f>
        <v>7.2499999999999995E-2</v>
      </c>
      <c r="K22" s="2">
        <f t="shared" si="1"/>
        <v>-0.38001370674024126</v>
      </c>
      <c r="L22" s="2">
        <f t="shared" si="2"/>
        <v>-0.39093487450768966</v>
      </c>
      <c r="M22">
        <f>VLOOKUP(A22,[104]WRDS!$A$1:$O$100,8,FALSE)</f>
        <v>4</v>
      </c>
      <c r="N22">
        <f>VLOOKUP(A22,[104]WRDS!$A$1:$O$100,11,FALSE)</f>
        <v>3.94</v>
      </c>
    </row>
    <row r="23" spans="1:14" x14ac:dyDescent="0.3">
      <c r="A23" t="s">
        <v>48</v>
      </c>
      <c r="B23" t="str">
        <f>VLOOKUP(A23,[103]WRDS!$A$1:$N$100,2,FALSE)</f>
        <v>AZP</v>
      </c>
      <c r="C23" t="str">
        <f>VLOOKUP(A23,[103]WRDS!$A$1:$N$100,3,FALSE)</f>
        <v>PINNACLE WST CAP</v>
      </c>
      <c r="D23">
        <f>VLOOKUP(A23,[103]WRDS!$A$1:$N$100,13,FALSE)</f>
        <v>1.95</v>
      </c>
      <c r="E23">
        <f>VLOOKUP(A23,[87]WRDS!$A$1:$N$100,13,FALSE)</f>
        <v>2.76</v>
      </c>
      <c r="F23" s="1">
        <f t="shared" si="3"/>
        <v>2.5713750823827968</v>
      </c>
      <c r="G23" s="1">
        <f t="shared" si="4"/>
        <v>2.3702371874999999</v>
      </c>
      <c r="H23" s="2">
        <f t="shared" si="0"/>
        <v>9.073341392720935E-2</v>
      </c>
      <c r="I23" s="2">
        <f>VLOOKUP(A23,[104]WRDS!$A$1:$O$100,10,FALSE)/100</f>
        <v>7.1599999999999997E-2</v>
      </c>
      <c r="J23" s="2">
        <f>VLOOKUP(A23,[104]WRDS!$A$1:$O$100,9,FALSE)/100</f>
        <v>0.05</v>
      </c>
      <c r="K23" s="2">
        <f t="shared" si="1"/>
        <v>-0.21087505803054082</v>
      </c>
      <c r="L23" s="2">
        <f t="shared" si="2"/>
        <v>-0.44893509639004242</v>
      </c>
      <c r="M23">
        <f>VLOOKUP(A23,[104]WRDS!$A$1:$O$100,8,FALSE)</f>
        <v>9</v>
      </c>
      <c r="N23">
        <f>VLOOKUP(A23,[104]WRDS!$A$1:$O$100,11,FALSE)</f>
        <v>5.33</v>
      </c>
    </row>
    <row r="24" spans="1:14" x14ac:dyDescent="0.3">
      <c r="A24" t="s">
        <v>49</v>
      </c>
      <c r="B24" t="str">
        <f>VLOOKUP(A24,[103]WRDS!$A$1:$N$100,2,FALSE)</f>
        <v>POM</v>
      </c>
      <c r="C24" t="str">
        <f>VLOOKUP(A24,[103]WRDS!$A$1:$N$100,3,FALSE)</f>
        <v>POTOMAC ELEC</v>
      </c>
      <c r="D24">
        <f>VLOOKUP(A24,[103]WRDS!$A$1:$N$100,13,FALSE)</f>
        <v>1.94</v>
      </c>
      <c r="E24">
        <f>VLOOKUP(A24,[87]WRDS!$A$1:$N$100,13,FALSE)</f>
        <v>1.68</v>
      </c>
      <c r="F24" s="1">
        <f t="shared" si="3"/>
        <v>2.2304995648363222</v>
      </c>
      <c r="G24" s="1">
        <f t="shared" si="4"/>
        <v>2.1962342456365218</v>
      </c>
      <c r="H24" s="2">
        <f t="shared" si="0"/>
        <v>-3.533418653837006E-2</v>
      </c>
      <c r="I24" s="2">
        <f>VLOOKUP(A24,[104]WRDS!$A$1:$O$100,10,FALSE)/100</f>
        <v>3.5499999999999997E-2</v>
      </c>
      <c r="J24" s="2">
        <f>VLOOKUP(A24,[104]WRDS!$A$1:$O$100,9,FALSE)/100</f>
        <v>3.15E-2</v>
      </c>
      <c r="K24" s="2">
        <f t="shared" si="1"/>
        <v>2.0046927205031277</v>
      </c>
      <c r="L24" s="2">
        <f t="shared" si="2"/>
        <v>1.8914879069253103</v>
      </c>
      <c r="M24">
        <f>VLOOKUP(A24,[104]WRDS!$A$1:$O$100,8,FALSE)</f>
        <v>14</v>
      </c>
      <c r="N24">
        <f>VLOOKUP(A24,[104]WRDS!$A$1:$O$100,11,FALSE)</f>
        <v>2.1</v>
      </c>
    </row>
    <row r="25" spans="1:14" x14ac:dyDescent="0.3">
      <c r="A25" t="s">
        <v>51</v>
      </c>
      <c r="B25" t="str">
        <f>VLOOKUP(A25,[103]WRDS!$A$1:$N$100,2,FALSE)</f>
        <v>PPL</v>
      </c>
      <c r="C25" t="str">
        <f>VLOOKUP(A25,[103]WRDS!$A$1:$N$100,3,FALSE)</f>
        <v>PENNA P&amp;L</v>
      </c>
      <c r="D25">
        <f>VLOOKUP(A25,[103]WRDS!$A$1:$N$100,13,FALSE)</f>
        <v>1.0649999999999999</v>
      </c>
      <c r="E25">
        <f>VLOOKUP(A25,[87]WRDS!$A$1:$N$100,13,FALSE)</f>
        <v>1.0149999999999999</v>
      </c>
      <c r="F25" s="1">
        <f t="shared" si="3"/>
        <v>1.2066000248965463</v>
      </c>
      <c r="G25" s="1">
        <f t="shared" si="4"/>
        <v>1.1986668826499998</v>
      </c>
      <c r="H25" s="2">
        <f t="shared" si="0"/>
        <v>-1.194957656079032E-2</v>
      </c>
      <c r="I25" s="2">
        <f>VLOOKUP(A25,[104]WRDS!$A$1:$O$100,10,FALSE)/100</f>
        <v>3.1699999999999999E-2</v>
      </c>
      <c r="J25" s="2">
        <f>VLOOKUP(A25,[104]WRDS!$A$1:$O$100,9,FALSE)/100</f>
        <v>0.03</v>
      </c>
      <c r="K25" s="2">
        <f t="shared" si="1"/>
        <v>3.6528136657173254</v>
      </c>
      <c r="L25" s="2">
        <f t="shared" si="2"/>
        <v>3.5105492104580365</v>
      </c>
      <c r="M25">
        <f>VLOOKUP(A25,[104]WRDS!$A$1:$O$100,8,FALSE)</f>
        <v>9</v>
      </c>
      <c r="N25">
        <f>VLOOKUP(A25,[104]WRDS!$A$1:$O$100,11,FALSE)</f>
        <v>1.19</v>
      </c>
    </row>
    <row r="26" spans="1:14" x14ac:dyDescent="0.3">
      <c r="A26" t="s">
        <v>91</v>
      </c>
      <c r="B26" t="str">
        <f>VLOOKUP(A26,[103]WRDS!$A$1:$N$100,2,FALSE)</f>
        <v>PSD</v>
      </c>
      <c r="C26" t="str">
        <f>VLOOKUP(A26,[103]WRDS!$A$1:$N$100,3,FALSE)</f>
        <v>PUGET SOUND P&amp;L</v>
      </c>
      <c r="D26">
        <f>VLOOKUP(A26,[103]WRDS!$A$1:$N$100,13,FALSE)</f>
        <v>2.02</v>
      </c>
      <c r="E26">
        <f>VLOOKUP(A26,[87]WRDS!$A$1:$N$100,13,FALSE)</f>
        <v>1.55</v>
      </c>
      <c r="F26" s="1">
        <f t="shared" si="3"/>
        <v>2.1839417296538137</v>
      </c>
      <c r="G26" s="1">
        <f t="shared" si="4"/>
        <v>2.1865129631999998</v>
      </c>
      <c r="H26" s="2">
        <f t="shared" si="0"/>
        <v>-6.4066306339839119E-2</v>
      </c>
      <c r="I26" s="2">
        <f>VLOOKUP(A26,[104]WRDS!$A$1:$O$100,10,FALSE)/100</f>
        <v>1.9699999999999999E-2</v>
      </c>
      <c r="J26" s="2">
        <f>VLOOKUP(A26,[104]WRDS!$A$1:$O$100,9,FALSE)/100</f>
        <v>0.02</v>
      </c>
      <c r="K26" s="2">
        <f t="shared" si="1"/>
        <v>1.3074939250516728</v>
      </c>
      <c r="L26" s="2">
        <f t="shared" si="2"/>
        <v>1.3121765736565207</v>
      </c>
      <c r="M26">
        <f>VLOOKUP(A26,[104]WRDS!$A$1:$O$100,8,FALSE)</f>
        <v>6</v>
      </c>
      <c r="N26">
        <f>VLOOKUP(A26,[104]WRDS!$A$1:$O$100,11,FALSE)</f>
        <v>0.94</v>
      </c>
    </row>
    <row r="27" spans="1:14" x14ac:dyDescent="0.3">
      <c r="A27" t="s">
        <v>52</v>
      </c>
      <c r="B27" t="str">
        <f>VLOOKUP(A27,[103]WRDS!$A$1:$N$100,2,FALSE)</f>
        <v>SCG</v>
      </c>
      <c r="C27" t="str">
        <f>VLOOKUP(A27,[103]WRDS!$A$1:$N$100,3,FALSE)</f>
        <v>SCANA CP</v>
      </c>
      <c r="D27">
        <f>VLOOKUP(A27,[103]WRDS!$A$1:$N$100,13,FALSE)</f>
        <v>1.86</v>
      </c>
      <c r="E27">
        <f>VLOOKUP(A27,[87]WRDS!$A$1:$N$100,13,FALSE)</f>
        <v>1.9</v>
      </c>
      <c r="F27" s="1">
        <f t="shared" si="3"/>
        <v>2.1327434870977395</v>
      </c>
      <c r="G27" s="1">
        <f t="shared" si="4"/>
        <v>2.0934463866000002</v>
      </c>
      <c r="H27" s="2">
        <f t="shared" si="0"/>
        <v>5.3335224709549767E-3</v>
      </c>
      <c r="I27" s="2">
        <f>VLOOKUP(A27,[104]WRDS!$A$1:$O$100,10,FALSE)/100</f>
        <v>3.4799999999999998E-2</v>
      </c>
      <c r="J27" s="2">
        <f>VLOOKUP(A27,[104]WRDS!$A$1:$O$100,9,FALSE)/100</f>
        <v>0.03</v>
      </c>
      <c r="K27" s="2">
        <f t="shared" si="1"/>
        <v>5.5247686101468689</v>
      </c>
      <c r="L27" s="2">
        <f t="shared" si="2"/>
        <v>4.6248005259886806</v>
      </c>
      <c r="M27">
        <f>VLOOKUP(A27,[104]WRDS!$A$1:$O$100,8,FALSE)</f>
        <v>9</v>
      </c>
      <c r="N27">
        <f>VLOOKUP(A27,[104]WRDS!$A$1:$O$100,11,FALSE)</f>
        <v>0.81</v>
      </c>
    </row>
    <row r="28" spans="1:14" x14ac:dyDescent="0.3">
      <c r="A28" t="s">
        <v>53</v>
      </c>
      <c r="B28" t="str">
        <f>VLOOKUP(A28,[103]WRDS!$A$1:$N$100,2,FALSE)</f>
        <v>SO</v>
      </c>
      <c r="C28" t="str">
        <f>VLOOKUP(A28,[103]WRDS!$A$1:$N$100,3,FALSE)</f>
        <v>SOUTHN CO</v>
      </c>
      <c r="D28">
        <f>VLOOKUP(A28,[103]WRDS!$A$1:$N$100,13,FALSE)</f>
        <v>1.57</v>
      </c>
      <c r="E28">
        <f>VLOOKUP(A28,[87]WRDS!$A$1:$N$100,13,FALSE)</f>
        <v>1.59</v>
      </c>
      <c r="F28" s="1">
        <f t="shared" si="3"/>
        <v>1.7746094907781185</v>
      </c>
      <c r="G28" s="1">
        <f t="shared" si="4"/>
        <v>1.7670488316999999</v>
      </c>
      <c r="H28" s="2">
        <f t="shared" si="0"/>
        <v>3.1696118483466318E-3</v>
      </c>
      <c r="I28" s="2">
        <f>VLOOKUP(A28,[104]WRDS!$A$1:$O$100,10,FALSE)/100</f>
        <v>3.1099999999999999E-2</v>
      </c>
      <c r="J28" s="2">
        <f>VLOOKUP(A28,[104]WRDS!$A$1:$O$100,9,FALSE)/100</f>
        <v>0.03</v>
      </c>
      <c r="K28" s="2">
        <f t="shared" si="1"/>
        <v>8.811926976554787</v>
      </c>
      <c r="L28" s="2">
        <f t="shared" si="2"/>
        <v>8.4648813278663546</v>
      </c>
      <c r="M28">
        <f>VLOOKUP(A28,[104]WRDS!$A$1:$O$100,8,FALSE)</f>
        <v>15</v>
      </c>
      <c r="N28">
        <f>VLOOKUP(A28,[104]WRDS!$A$1:$O$100,11,FALSE)</f>
        <v>0.83</v>
      </c>
    </row>
    <row r="29" spans="1:14" x14ac:dyDescent="0.3">
      <c r="A29" t="s">
        <v>75</v>
      </c>
      <c r="B29" t="str">
        <f>VLOOKUP(A29,[103]WRDS!$A$1:$N$100,2,FALSE)</f>
        <v>TE</v>
      </c>
      <c r="C29" t="str">
        <f>VLOOKUP(A29,[103]WRDS!$A$1:$N$100,3,FALSE)</f>
        <v>TECO ENERGY INC</v>
      </c>
      <c r="D29">
        <f>VLOOKUP(A29,[103]WRDS!$A$1:$N$100,13,FALSE)</f>
        <v>1.365</v>
      </c>
      <c r="E29">
        <f>VLOOKUP(A29,[87]WRDS!$A$1:$N$100,13,FALSE)</f>
        <v>1.54</v>
      </c>
      <c r="F29" s="1">
        <f t="shared" si="3"/>
        <v>1.6566392225991236</v>
      </c>
      <c r="G29" s="1">
        <f t="shared" si="4"/>
        <v>1.6591660312500001</v>
      </c>
      <c r="H29" s="2">
        <f t="shared" si="0"/>
        <v>3.0616324869535916E-2</v>
      </c>
      <c r="I29" s="2">
        <f>VLOOKUP(A29,[104]WRDS!$A$1:$O$100,10,FALSE)/100</f>
        <v>4.9599999999999998E-2</v>
      </c>
      <c r="J29" s="2">
        <f>VLOOKUP(A29,[104]WRDS!$A$1:$O$100,9,FALSE)/100</f>
        <v>0.05</v>
      </c>
      <c r="K29" s="2">
        <f t="shared" si="1"/>
        <v>0.62005074780720537</v>
      </c>
      <c r="L29" s="2">
        <f t="shared" si="2"/>
        <v>0.63311567319274742</v>
      </c>
      <c r="M29">
        <f>VLOOKUP(A29,[104]WRDS!$A$1:$O$100,8,FALSE)</f>
        <v>12</v>
      </c>
      <c r="N29">
        <f>VLOOKUP(A29,[104]WRDS!$A$1:$O$100,11,FALSE)</f>
        <v>1.1200000000000001</v>
      </c>
    </row>
    <row r="30" spans="1:14" x14ac:dyDescent="0.3">
      <c r="A30" t="s">
        <v>79</v>
      </c>
      <c r="B30" t="str">
        <f>VLOOKUP(A30,[103]WRDS!$A$1:$N$100,2,FALSE)</f>
        <v>UIL</v>
      </c>
      <c r="C30" t="str">
        <f>VLOOKUP(A30,[103]WRDS!$A$1:$N$100,3,FALSE)</f>
        <v>UTD ILLUM CO</v>
      </c>
      <c r="D30">
        <f>VLOOKUP(A30,[103]WRDS!$A$1:$N$100,13,FALSE)</f>
        <v>1.8779999999999999</v>
      </c>
      <c r="E30">
        <f>VLOOKUP(A30,[87]WRDS!$A$1:$N$100,13,FALSE)</f>
        <v>1.974</v>
      </c>
      <c r="F30" s="1">
        <f t="shared" si="3"/>
        <v>2.1692418880664537</v>
      </c>
      <c r="G30" s="1">
        <f t="shared" si="4"/>
        <v>2.1969943756800001</v>
      </c>
      <c r="H30" s="2">
        <f t="shared" si="0"/>
        <v>1.2541634914478461E-2</v>
      </c>
      <c r="I30" s="2">
        <f>VLOOKUP(A30,[104]WRDS!$A$1:$O$100,10,FALSE)/100</f>
        <v>3.6699999999999997E-2</v>
      </c>
      <c r="J30" s="2">
        <f>VLOOKUP(A30,[104]WRDS!$A$1:$O$100,9,FALSE)/100</f>
        <v>0.04</v>
      </c>
      <c r="K30" s="2">
        <f t="shared" si="1"/>
        <v>1.9262532556766065</v>
      </c>
      <c r="L30" s="2">
        <f t="shared" si="2"/>
        <v>2.1893768454240949</v>
      </c>
      <c r="M30">
        <f>VLOOKUP(A30,[104]WRDS!$A$1:$O$100,8,FALSE)</f>
        <v>3</v>
      </c>
      <c r="N30">
        <f>VLOOKUP(A30,[104]WRDS!$A$1:$O$100,11,FALSE)</f>
        <v>0.57999999999999996</v>
      </c>
    </row>
    <row r="31" spans="1:14" x14ac:dyDescent="0.3">
      <c r="A31" t="s">
        <v>55</v>
      </c>
      <c r="B31" t="str">
        <f>VLOOKUP(A31,[103]WRDS!$A$1:$N$100,2,FALSE)</f>
        <v>WPC</v>
      </c>
      <c r="C31" t="str">
        <f>VLOOKUP(A31,[103]WRDS!$A$1:$N$100,3,FALSE)</f>
        <v>WISCONSIN ENERGY</v>
      </c>
      <c r="D31">
        <f>VLOOKUP(A31,[103]WRDS!$A$1:$N$100,13,FALSE)</f>
        <v>0.91</v>
      </c>
      <c r="E31">
        <f>VLOOKUP(A31,[87]WRDS!$A$1:$N$100,13,FALSE)</f>
        <v>0.52</v>
      </c>
      <c r="F31" s="1">
        <f t="shared" si="3"/>
        <v>1.0914361219808069</v>
      </c>
      <c r="G31" s="1">
        <f t="shared" si="4"/>
        <v>1.0645712896000001</v>
      </c>
      <c r="H31" s="2">
        <f t="shared" si="0"/>
        <v>-0.13055825611001726</v>
      </c>
      <c r="I31" s="2">
        <f>VLOOKUP(A31,[104]WRDS!$A$1:$O$100,10,FALSE)/100</f>
        <v>4.6500000000000007E-2</v>
      </c>
      <c r="J31" s="2">
        <f>VLOOKUP(A31,[104]WRDS!$A$1:$O$100,9,FALSE)/100</f>
        <v>0.04</v>
      </c>
      <c r="K31" s="2">
        <f t="shared" si="1"/>
        <v>1.3561628455025927</v>
      </c>
      <c r="L31" s="2">
        <f t="shared" si="2"/>
        <v>1.3063766412925528</v>
      </c>
      <c r="M31">
        <f>VLOOKUP(A31,[104]WRDS!$A$1:$O$100,8,FALSE)</f>
        <v>17</v>
      </c>
      <c r="N31">
        <f>VLOOKUP(A31,[104]WRDS!$A$1:$O$100,11,FALSE)</f>
        <v>1.24</v>
      </c>
    </row>
    <row r="32" spans="1:14" x14ac:dyDescent="0.3">
      <c r="A32" t="s">
        <v>95</v>
      </c>
      <c r="B32" t="str">
        <f>VLOOKUP(A32,[103]WRDS!$A$1:$N$100,2,FALSE)</f>
        <v>WPS</v>
      </c>
      <c r="C32" t="str">
        <f>VLOOKUP(A32,[103]WRDS!$A$1:$N$100,3,FALSE)</f>
        <v>WISC PUB SVC</v>
      </c>
      <c r="D32">
        <f>VLOOKUP(A32,[103]WRDS!$A$1:$N$100,13,FALSE)</f>
        <v>2.4700000000000002</v>
      </c>
      <c r="E32">
        <f>VLOOKUP(A32,[87]WRDS!$A$1:$N$100,13,FALSE)</f>
        <v>2.2000000000000002</v>
      </c>
      <c r="F32" s="1">
        <f t="shared" si="3"/>
        <v>2.7584772839603202</v>
      </c>
      <c r="G32" s="1">
        <f t="shared" si="4"/>
        <v>2.7800067607000001</v>
      </c>
      <c r="H32" s="2">
        <f t="shared" si="0"/>
        <v>-2.8525440730125418E-2</v>
      </c>
      <c r="I32" s="2">
        <f>VLOOKUP(A32,[104]WRDS!$A$1:$O$100,10,FALSE)/100</f>
        <v>2.7999999999999997E-2</v>
      </c>
      <c r="J32" s="2">
        <f>VLOOKUP(A32,[104]WRDS!$A$1:$O$100,9,FALSE)/100</f>
        <v>0.03</v>
      </c>
      <c r="K32" s="2">
        <f t="shared" si="1"/>
        <v>1.9815799259651576</v>
      </c>
      <c r="L32" s="2">
        <f t="shared" si="2"/>
        <v>2.0516927778198117</v>
      </c>
      <c r="M32">
        <f>VLOOKUP(A32,[104]WRDS!$A$1:$O$100,8,FALSE)</f>
        <v>7</v>
      </c>
      <c r="N32">
        <f>VLOOKUP(A32,[104]WRDS!$A$1:$O$100,11,FALSE)</f>
        <v>0.66</v>
      </c>
    </row>
    <row r="33" spans="1:14" x14ac:dyDescent="0.3">
      <c r="A33" t="s">
        <v>64</v>
      </c>
      <c r="B33" t="str">
        <f>VLOOKUP(A33,[103]WRDS!$A$1:$N$100,2,FALSE)</f>
        <v>KAN</v>
      </c>
      <c r="C33" t="str">
        <f>VLOOKUP(A33,[103]WRDS!$A$1:$N$100,3,FALSE)</f>
        <v>WESTN RESOURCES</v>
      </c>
      <c r="D33">
        <f>VLOOKUP(A33,[103]WRDS!$A$1:$N$100,13,FALSE)</f>
        <v>2.77</v>
      </c>
      <c r="E33">
        <f>VLOOKUP(A33,[87]WRDS!$A$1:$N$100,13,FALSE)</f>
        <v>2.44</v>
      </c>
      <c r="F33" s="1">
        <f t="shared" si="3"/>
        <v>3.3197445786216413</v>
      </c>
      <c r="G33" s="1">
        <f t="shared" si="4"/>
        <v>3.3032765237312485</v>
      </c>
      <c r="H33" s="2">
        <f t="shared" si="0"/>
        <v>-3.1214758083286109E-2</v>
      </c>
      <c r="I33" s="2">
        <f>VLOOKUP(A33,[104]WRDS!$A$1:$O$100,10,FALSE)/100</f>
        <v>4.6300000000000001E-2</v>
      </c>
      <c r="J33" s="2">
        <f>VLOOKUP(A33,[104]WRDS!$A$1:$O$100,9,FALSE)/100</f>
        <v>4.4999999999999998E-2</v>
      </c>
      <c r="K33" s="2">
        <f t="shared" si="1"/>
        <v>2.4832727479887557</v>
      </c>
      <c r="L33" s="2">
        <f t="shared" si="2"/>
        <v>2.4416257809825916</v>
      </c>
      <c r="M33">
        <f>VLOOKUP(A33,[104]WRDS!$A$1:$O$100,8,FALSE)</f>
        <v>10</v>
      </c>
      <c r="N33">
        <f>VLOOKUP(A33,[104]WRDS!$A$1:$O$100,11,FALSE)</f>
        <v>1.8</v>
      </c>
    </row>
    <row r="34" spans="1:14" x14ac:dyDescent="0.3">
      <c r="A34" t="s">
        <v>132</v>
      </c>
      <c r="B34" t="str">
        <f>VLOOKUP(A34,'[5]Ticker List'!$H$4:$I$20,2,FALSE)</f>
        <v>EGAS</v>
      </c>
      <c r="C34" t="str">
        <f>VLOOKUP(A34,[105]zpbatbjcaumtwvkb!$B$1:$N$13,2,FALSE)</f>
        <v>ATMOS ENERGY CP</v>
      </c>
      <c r="D34">
        <f>VLOOKUP(A34,[105]zpbatbjcaumtwvkb!$B$1:$N$13,12,FALSE)</f>
        <v>1.1299999999999999</v>
      </c>
      <c r="E34">
        <f>VLOOKUP(A34,[89]rh1hoozgudibeavg!$B$1:$N$13,12,FALSE)</f>
        <v>1.84</v>
      </c>
      <c r="F34" s="1">
        <f t="shared" si="3"/>
        <v>1.7049348040697547</v>
      </c>
      <c r="G34" s="1">
        <f t="shared" si="4"/>
        <v>1.74653749270625</v>
      </c>
      <c r="H34" s="2">
        <f t="shared" si="0"/>
        <v>0.1296264295234697</v>
      </c>
      <c r="I34" s="2">
        <f>VLOOKUP(A34,[106]ligf450vqud1z1pf!$B$1:$N$11,9,FALSE)/100</f>
        <v>0.10830000000000001</v>
      </c>
      <c r="J34" s="2">
        <f>VLOOKUP(A34,[106]ligf450vqud1z1pf!$B$1:$N$11,8,FALSE)/100</f>
        <v>0.115</v>
      </c>
      <c r="K34" s="2">
        <f t="shared" si="1"/>
        <v>-0.1645222320931736</v>
      </c>
      <c r="L34" s="2">
        <f t="shared" si="2"/>
        <v>-0.11283524183485656</v>
      </c>
      <c r="M34">
        <f>VLOOKUP(A34,[106]ligf450vqud1z1pf!$B$1:$N$11,7,FALSE)</f>
        <v>3</v>
      </c>
      <c r="N34">
        <f>VLOOKUP(A34,[106]ligf450vqud1z1pf!$B$1:$N$11,10,FALSE)</f>
        <v>1.61</v>
      </c>
    </row>
    <row r="35" spans="1:14" x14ac:dyDescent="0.3">
      <c r="A35" t="s">
        <v>134</v>
      </c>
      <c r="B35" t="str">
        <f>VLOOKUP(A35,'[5]Ticker List'!$H$4:$I$20,2,FALSE)</f>
        <v>NJR</v>
      </c>
      <c r="C35" t="str">
        <f>VLOOKUP(A35,[105]zpbatbjcaumtwvkb!$B$1:$N$13,2,FALSE)</f>
        <v>NEW JERSEY RES</v>
      </c>
      <c r="D35">
        <f>VLOOKUP(A35,[105]zpbatbjcaumtwvkb!$B$1:$N$13,12,FALSE)</f>
        <v>0.4022</v>
      </c>
      <c r="E35">
        <f>VLOOKUP(A35,[89]rh1hoozgudibeavg!$B$1:$N$13,12,FALSE)</f>
        <v>0.51780000000000004</v>
      </c>
      <c r="F35" s="1">
        <f t="shared" si="3"/>
        <v>0.49036822704897542</v>
      </c>
      <c r="G35" s="1">
        <f t="shared" si="4"/>
        <v>0.47963098117137482</v>
      </c>
      <c r="H35" s="2">
        <f t="shared" si="0"/>
        <v>6.519714797031706E-2</v>
      </c>
      <c r="I35" s="2">
        <f>VLOOKUP(A35,[106]ligf450vqud1z1pf!$B$1:$N$11,9,FALSE)/100</f>
        <v>5.0799999999999998E-2</v>
      </c>
      <c r="J35" s="2">
        <f>VLOOKUP(A35,[106]ligf450vqud1z1pf!$B$1:$N$11,8,FALSE)/100</f>
        <v>4.4999999999999998E-2</v>
      </c>
      <c r="K35" s="2">
        <f t="shared" si="1"/>
        <v>-0.2208248124116072</v>
      </c>
      <c r="L35" s="2">
        <f t="shared" si="2"/>
        <v>-0.30978575902603001</v>
      </c>
      <c r="M35">
        <f>VLOOKUP(A35,[106]ligf450vqud1z1pf!$B$1:$N$11,7,FALSE)</f>
        <v>6</v>
      </c>
      <c r="N35">
        <f>VLOOKUP(A35,[106]ligf450vqud1z1pf!$B$1:$N$11,10,FALSE)</f>
        <v>1.8</v>
      </c>
    </row>
    <row r="36" spans="1:14" x14ac:dyDescent="0.3">
      <c r="A36" t="s">
        <v>135</v>
      </c>
      <c r="B36" t="str">
        <f>VLOOKUP(A36,'[5]Ticker List'!$H$4:$I$20,2,FALSE)</f>
        <v>NI</v>
      </c>
      <c r="C36" t="str">
        <f>VLOOKUP(A36,[105]zpbatbjcaumtwvkb!$B$1:$N$13,2,FALSE)</f>
        <v>NIPSCO IND INC</v>
      </c>
      <c r="D36">
        <f>VLOOKUP(A36,[105]zpbatbjcaumtwvkb!$B$1:$N$13,12,FALSE)</f>
        <v>1.1499999999999999</v>
      </c>
      <c r="E36">
        <f>VLOOKUP(A36,[89]rh1hoozgudibeavg!$B$1:$N$13,12,FALSE)</f>
        <v>1.5349999999999999</v>
      </c>
      <c r="F36" s="1">
        <f t="shared" si="3"/>
        <v>1.4224889725577872</v>
      </c>
      <c r="G36" s="1">
        <f t="shared" si="4"/>
        <v>1.3978321874999999</v>
      </c>
      <c r="H36" s="2">
        <f t="shared" si="0"/>
        <v>7.4861815574978952E-2</v>
      </c>
      <c r="I36" s="2">
        <f>VLOOKUP(A36,[106]ligf450vqud1z1pf!$B$1:$N$11,9,FALSE)/100</f>
        <v>5.4600000000000003E-2</v>
      </c>
      <c r="J36" s="2">
        <f>VLOOKUP(A36,[106]ligf450vqud1z1pf!$B$1:$N$11,8,FALSE)/100</f>
        <v>0.05</v>
      </c>
      <c r="K36" s="2">
        <f t="shared" si="1"/>
        <v>-0.2706562139771434</v>
      </c>
      <c r="L36" s="2">
        <f t="shared" si="2"/>
        <v>-0.33210276005232908</v>
      </c>
      <c r="M36">
        <f>VLOOKUP(A36,[106]ligf450vqud1z1pf!$B$1:$N$11,7,FALSE)</f>
        <v>13</v>
      </c>
      <c r="N36">
        <f>VLOOKUP(A36,[106]ligf450vqud1z1pf!$B$1:$N$11,10,FALSE)</f>
        <v>1.61</v>
      </c>
    </row>
    <row r="37" spans="1:14" x14ac:dyDescent="0.3">
      <c r="A37" t="s">
        <v>138</v>
      </c>
      <c r="B37" t="str">
        <f>VLOOKUP(A37,'[5]Ticker List'!$H$4:$I$20,2,FALSE)</f>
        <v>SJI</v>
      </c>
      <c r="C37" t="str">
        <f>VLOOKUP(A37,[105]zpbatbjcaumtwvkb!$B$1:$N$13,2,FALSE)</f>
        <v>SO JERSEY INDS</v>
      </c>
      <c r="D37">
        <f>VLOOKUP(A37,[105]zpbatbjcaumtwvkb!$B$1:$N$13,12,FALSE)</f>
        <v>0.38750000000000001</v>
      </c>
      <c r="E37">
        <f>VLOOKUP(A37,[89]rh1hoozgudibeavg!$B$1:$N$13,12,FALSE)</f>
        <v>0.42249999999999999</v>
      </c>
      <c r="F37" s="1">
        <f t="shared" si="3"/>
        <v>0.45332019200000012</v>
      </c>
      <c r="G37" s="1">
        <f t="shared" si="4"/>
        <v>0.45332019200000012</v>
      </c>
      <c r="H37" s="2">
        <f t="shared" si="0"/>
        <v>2.1853770151702534E-2</v>
      </c>
      <c r="I37" s="2">
        <f>VLOOKUP(A37,[106]ligf450vqud1z1pf!$B$1:$N$11,9,FALSE)/100</f>
        <v>0.04</v>
      </c>
      <c r="J37" s="2">
        <f>VLOOKUP(A37,[106]ligf450vqud1z1pf!$B$1:$N$11,8,FALSE)/100</f>
        <v>0.04</v>
      </c>
      <c r="K37" s="2">
        <f t="shared" si="1"/>
        <v>0.8303477945604627</v>
      </c>
      <c r="L37" s="2">
        <f t="shared" si="2"/>
        <v>0.8303477945604627</v>
      </c>
      <c r="M37">
        <f>VLOOKUP(A37,[106]ligf450vqud1z1pf!$B$1:$N$11,7,FALSE)</f>
        <v>1</v>
      </c>
      <c r="N37">
        <f>VLOOKUP(A37,[106]ligf450vqud1z1pf!$B$1:$N$11,10,FALSE)</f>
        <v>0</v>
      </c>
    </row>
    <row r="38" spans="1:14" x14ac:dyDescent="0.3">
      <c r="A38" t="s">
        <v>139</v>
      </c>
      <c r="B38" t="str">
        <f>VLOOKUP(A38,'[5]Ticker List'!$H$4:$I$20,2,FALSE)</f>
        <v>SWX</v>
      </c>
      <c r="C38" t="str">
        <f>VLOOKUP(A38,[105]zpbatbjcaumtwvkb!$B$1:$N$13,2,FALSE)</f>
        <v>SOUTHWEST GAS</v>
      </c>
      <c r="D38">
        <f>VLOOKUP(A38,[105]zpbatbjcaumtwvkb!$B$1:$N$13,12,FALSE)</f>
        <v>0.71</v>
      </c>
      <c r="E38">
        <f>VLOOKUP(A38,[89]rh1hoozgudibeavg!$B$1:$N$13,12,FALSE)</f>
        <v>0.76</v>
      </c>
      <c r="F38" s="1">
        <f t="shared" si="3"/>
        <v>1.1782617919437499</v>
      </c>
      <c r="G38" s="1">
        <f t="shared" si="4"/>
        <v>1.1782617919437499</v>
      </c>
      <c r="H38" s="2">
        <f t="shared" si="0"/>
        <v>1.7158917388491179E-2</v>
      </c>
      <c r="I38" s="2">
        <f>VLOOKUP(A38,[106]ligf450vqud1z1pf!$B$1:$N$11,9,FALSE)/100</f>
        <v>0.13500000000000001</v>
      </c>
      <c r="J38" s="2">
        <f>VLOOKUP(A38,[106]ligf450vqud1z1pf!$B$1:$N$11,8,FALSE)/100</f>
        <v>0.13500000000000001</v>
      </c>
      <c r="K38" s="2">
        <f t="shared" si="1"/>
        <v>6.8676292299505528</v>
      </c>
      <c r="L38" s="2">
        <f t="shared" si="2"/>
        <v>6.8676292299505528</v>
      </c>
      <c r="M38">
        <f>VLOOKUP(A38,[106]ligf450vqud1z1pf!$B$1:$N$11,7,FALSE)</f>
        <v>2</v>
      </c>
      <c r="N38">
        <f>VLOOKUP(A38,[106]ligf450vqud1z1pf!$B$1:$N$11,10,FALSE)</f>
        <v>12.02</v>
      </c>
    </row>
    <row r="39" spans="1:14" x14ac:dyDescent="0.3">
      <c r="A39" t="s">
        <v>148</v>
      </c>
      <c r="B39" t="str">
        <f>VLOOKUP(A39,'[5]Ticker List'!$H$4:$I$20,2,FALSE)</f>
        <v>AGLT</v>
      </c>
      <c r="C39" t="str">
        <f>VLOOKUP(A39,[105]zpbatbjcaumtwvkb!$B$1:$N$13,2,FALSE)</f>
        <v>ATLANTA GAS LT</v>
      </c>
      <c r="D39">
        <f>VLOOKUP(A39,[105]zpbatbjcaumtwvkb!$B$1:$N$13,12,FALSE)</f>
        <v>1.18</v>
      </c>
      <c r="E39">
        <f>VLOOKUP(A39,[89]rh1hoozgudibeavg!$B$1:$N$13,12,FALSE)</f>
        <v>1.41</v>
      </c>
      <c r="F39" s="1">
        <f t="shared" si="3"/>
        <v>1.4007195086980402</v>
      </c>
      <c r="G39" s="1">
        <f t="shared" si="4"/>
        <v>1.3937544335460934</v>
      </c>
      <c r="H39" s="2">
        <f t="shared" si="0"/>
        <v>4.5524649617067148E-2</v>
      </c>
      <c r="I39" s="2">
        <f>VLOOKUP(A39,[106]ligf450vqud1z1pf!$B$1:$N$11,9,FALSE)/100</f>
        <v>4.3799999999999999E-2</v>
      </c>
      <c r="J39" s="2">
        <f>VLOOKUP(A39,[106]ligf450vqud1z1pf!$B$1:$N$11,8,FALSE)/100</f>
        <v>4.2500000000000003E-2</v>
      </c>
      <c r="K39" s="2">
        <f t="shared" si="1"/>
        <v>-3.7883863611782302E-2</v>
      </c>
      <c r="L39" s="2">
        <f t="shared" si="2"/>
        <v>-6.6439821997733864E-2</v>
      </c>
      <c r="M39">
        <f>VLOOKUP(A39,[106]ligf450vqud1z1pf!$B$1:$N$11,7,FALSE)</f>
        <v>12</v>
      </c>
      <c r="N39">
        <f>VLOOKUP(A39,[106]ligf450vqud1z1pf!$B$1:$N$11,10,FALSE)</f>
        <v>1.37</v>
      </c>
    </row>
    <row r="40" spans="1:14" x14ac:dyDescent="0.3">
      <c r="A40" t="s">
        <v>144</v>
      </c>
      <c r="B40" t="str">
        <f>VLOOKUP(A40,'[5]Ticker List'!$H$4:$I$20,2,FALSE)</f>
        <v>GAS</v>
      </c>
      <c r="C40" t="str">
        <f>VLOOKUP(A40,[105]zpbatbjcaumtwvkb!$B$1:$N$13,2,FALSE)</f>
        <v>NICOR INC</v>
      </c>
      <c r="D40">
        <f>VLOOKUP(A40,[105]zpbatbjcaumtwvkb!$B$1:$N$13,12,FALSE)</f>
        <v>1.96</v>
      </c>
      <c r="E40">
        <f>VLOOKUP(A40,[89]rh1hoozgudibeavg!$B$1:$N$13,12,FALSE)</f>
        <v>2.62</v>
      </c>
      <c r="F40" s="1">
        <f t="shared" si="3"/>
        <v>2.4875533545578263</v>
      </c>
      <c r="G40" s="1">
        <f t="shared" si="4"/>
        <v>2.4744548416000005</v>
      </c>
      <c r="H40" s="2">
        <f t="shared" si="0"/>
        <v>7.5254589661664539E-2</v>
      </c>
      <c r="I40" s="2">
        <f>VLOOKUP(A40,[106]ligf450vqud1z1pf!$B$1:$N$11,9,FALSE)/100</f>
        <v>6.1399999999999996E-2</v>
      </c>
      <c r="J40" s="2">
        <f>VLOOKUP(A40,[106]ligf450vqud1z1pf!$B$1:$N$11,8,FALSE)/100</f>
        <v>0.06</v>
      </c>
      <c r="K40" s="2">
        <f t="shared" si="1"/>
        <v>-0.18410291948907156</v>
      </c>
      <c r="L40" s="2">
        <f t="shared" si="2"/>
        <v>-0.20270643598280605</v>
      </c>
      <c r="M40">
        <f>VLOOKUP(A40,[106]ligf450vqud1z1pf!$B$1:$N$11,7,FALSE)</f>
        <v>7</v>
      </c>
      <c r="N40">
        <f>VLOOKUP(A40,[106]ligf450vqud1z1pf!$B$1:$N$11,10,FALSE)</f>
        <v>2.12</v>
      </c>
    </row>
    <row r="41" spans="1:14" x14ac:dyDescent="0.3">
      <c r="A41" t="s">
        <v>146</v>
      </c>
      <c r="B41" t="str">
        <f>VLOOKUP(A41,'[5]Ticker List'!$H$4:$I$20,2,FALSE)</f>
        <v>PNY</v>
      </c>
      <c r="C41" t="str">
        <f>VLOOKUP(A41,[105]zpbatbjcaumtwvkb!$B$1:$N$13,2,FALSE)</f>
        <v>PIEDMONT NAT GAS</v>
      </c>
      <c r="D41">
        <f>VLOOKUP(A41,[105]zpbatbjcaumtwvkb!$B$1:$N$13,12,FALSE)</f>
        <v>0.68</v>
      </c>
      <c r="E41">
        <f>VLOOKUP(A41,[89]rh1hoozgudibeavg!$B$1:$N$13,12,FALSE)</f>
        <v>0.99</v>
      </c>
      <c r="F41" s="1">
        <f t="shared" si="3"/>
        <v>0.86922491900652088</v>
      </c>
      <c r="G41" s="1">
        <f t="shared" si="4"/>
        <v>0.84240076242499995</v>
      </c>
      <c r="H41" s="2">
        <f t="shared" si="0"/>
        <v>9.845323059735489E-2</v>
      </c>
      <c r="I41" s="2">
        <f>VLOOKUP(A41,[106]ligf450vqud1z1pf!$B$1:$N$11,9,FALSE)/100</f>
        <v>6.3299999999999995E-2</v>
      </c>
      <c r="J41" s="2">
        <f>VLOOKUP(A41,[106]ligf450vqud1z1pf!$B$1:$N$11,8,FALSE)/100</f>
        <v>5.5E-2</v>
      </c>
      <c r="K41" s="2">
        <f t="shared" si="1"/>
        <v>-0.35705512540387219</v>
      </c>
      <c r="L41" s="2">
        <f t="shared" si="2"/>
        <v>-0.44135911370004688</v>
      </c>
      <c r="M41">
        <f>VLOOKUP(A41,[106]ligf450vqud1z1pf!$B$1:$N$11,7,FALSE)</f>
        <v>6</v>
      </c>
      <c r="N41">
        <f>VLOOKUP(A41,[106]ligf450vqud1z1pf!$B$1:$N$11,10,FALSE)</f>
        <v>2.25</v>
      </c>
    </row>
    <row r="42" spans="1:14" x14ac:dyDescent="0.3">
      <c r="A42" t="s">
        <v>145</v>
      </c>
      <c r="B42" t="str">
        <f>VLOOKUP(A42,'[5]Ticker List'!$H$4:$I$20,2,FALSE)</f>
        <v>WGL</v>
      </c>
      <c r="C42" t="str">
        <f>VLOOKUP(A42,[105]zpbatbjcaumtwvkb!$B$1:$N$13,2,FALSE)</f>
        <v>WASH GAS LT</v>
      </c>
      <c r="D42">
        <f>VLOOKUP(A42,[105]zpbatbjcaumtwvkb!$B$1:$N$13,12,FALSE)</f>
        <v>1.425</v>
      </c>
      <c r="E42">
        <f>VLOOKUP(A42,[89]rh1hoozgudibeavg!$B$1:$N$13,12,FALSE)</f>
        <v>1.6</v>
      </c>
      <c r="F42" s="1">
        <f t="shared" si="3"/>
        <v>1.6831356506806638</v>
      </c>
      <c r="G42" s="1">
        <f t="shared" si="4"/>
        <v>1.6352202758906247</v>
      </c>
      <c r="H42" s="2">
        <f t="shared" si="0"/>
        <v>2.9381312076353527E-2</v>
      </c>
      <c r="I42" s="2">
        <f>VLOOKUP(A42,[106]ligf450vqud1z1pf!$B$1:$N$11,9,FALSE)/100</f>
        <v>4.2500000000000003E-2</v>
      </c>
      <c r="J42" s="2">
        <f>VLOOKUP(A42,[106]ligf450vqud1z1pf!$B$1:$N$11,8,FALSE)/100</f>
        <v>3.5000000000000003E-2</v>
      </c>
      <c r="K42" s="2">
        <f t="shared" si="1"/>
        <v>0.44649768837942982</v>
      </c>
      <c r="L42" s="2">
        <f t="shared" si="2"/>
        <v>0.19123339043011872</v>
      </c>
      <c r="M42">
        <f>VLOOKUP(A42,[106]ligf450vqud1z1pf!$B$1:$N$11,7,FALSE)</f>
        <v>8</v>
      </c>
      <c r="N42">
        <f>VLOOKUP(A42,[106]ligf450vqud1z1pf!$B$1:$N$11,10,FALSE)</f>
        <v>1.58</v>
      </c>
    </row>
    <row r="43" spans="1:14" x14ac:dyDescent="0.3">
      <c r="A43" t="s">
        <v>149</v>
      </c>
      <c r="B43" t="str">
        <f>VLOOKUP(A43,'[5]Ticker List'!$H$4:$I$20,2,FALSE)</f>
        <v>CGC</v>
      </c>
      <c r="C43" t="str">
        <f>VLOOKUP(A43,[105]zpbatbjcaumtwvkb!$B$1:$N$13,2,FALSE)</f>
        <v>CASCADE NAT GAS</v>
      </c>
      <c r="D43">
        <f>VLOOKUP(A43,[105]zpbatbjcaumtwvkb!$B$1:$N$13,12,FALSE)</f>
        <v>1.083</v>
      </c>
      <c r="E43">
        <f>VLOOKUP(A43,[89]rh1hoozgudibeavg!$B$1:$N$13,12,FALSE)</f>
        <v>0.84</v>
      </c>
      <c r="F43" s="1">
        <f t="shared" si="3"/>
        <v>1.384368510711856</v>
      </c>
      <c r="G43" s="1">
        <f t="shared" si="4"/>
        <v>1.41959207883</v>
      </c>
      <c r="H43" s="2">
        <f t="shared" si="0"/>
        <v>-6.1546610228983667E-2</v>
      </c>
      <c r="I43" s="2">
        <f>VLOOKUP(A43,[106]ligf450vqud1z1pf!$B$1:$N$11,9,FALSE)/100</f>
        <v>6.3299999999999995E-2</v>
      </c>
      <c r="J43" s="2">
        <f>VLOOKUP(A43,[106]ligf450vqud1z1pf!$B$1:$N$11,8,FALSE)/100</f>
        <v>7.0000000000000007E-2</v>
      </c>
      <c r="K43" s="2">
        <f t="shared" si="1"/>
        <v>2.0284888113982698</v>
      </c>
      <c r="L43" s="2">
        <f t="shared" si="2"/>
        <v>2.1373493964909778</v>
      </c>
      <c r="M43">
        <f>VLOOKUP(A43,[106]ligf450vqud1z1pf!$B$1:$N$11,7,FALSE)</f>
        <v>3</v>
      </c>
      <c r="N43">
        <f>VLOOKUP(A43,[106]ligf450vqud1z1pf!$B$1:$N$11,10,FALSE)</f>
        <v>2.08</v>
      </c>
    </row>
  </sheetData>
  <mergeCells count="3">
    <mergeCell ref="P1:Q1"/>
    <mergeCell ref="P7:Q7"/>
    <mergeCell ref="P13:Q13"/>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A787F-E3A2-46BA-B6EF-1C42514CA2C8}">
  <dimension ref="A1:Q43"/>
  <sheetViews>
    <sheetView workbookViewId="0">
      <selection activeCell="A33" sqref="A33"/>
    </sheetView>
  </sheetViews>
  <sheetFormatPr defaultRowHeight="14.4" x14ac:dyDescent="0.3"/>
  <cols>
    <col min="1" max="1" width="13.33203125" bestFit="1" customWidth="1"/>
    <col min="2" max="2" width="10.44140625" bestFit="1" customWidth="1"/>
    <col min="3" max="3" width="15.109375" bestFit="1" customWidth="1"/>
    <col min="4" max="5" width="15.44140625" bestFit="1" customWidth="1"/>
    <col min="6" max="6" width="14.33203125" bestFit="1" customWidth="1"/>
    <col min="7" max="7" width="16" bestFit="1" customWidth="1"/>
    <col min="8" max="8" width="18.33203125" bestFit="1" customWidth="1"/>
    <col min="9" max="9" width="21.44140625" bestFit="1" customWidth="1"/>
    <col min="10" max="10" width="23.109375" bestFit="1" customWidth="1"/>
    <col min="11" max="11" width="22" bestFit="1" customWidth="1"/>
    <col min="12" max="12" width="24.109375" bestFit="1" customWidth="1"/>
    <col min="13" max="13" width="19.88671875" bestFit="1" customWidth="1"/>
    <col min="14" max="14" width="8.33203125" bestFit="1" customWidth="1"/>
    <col min="16" max="16" width="51.88671875" bestFit="1" customWidth="1"/>
  </cols>
  <sheetData>
    <row r="1" spans="1:17" x14ac:dyDescent="0.3">
      <c r="A1" t="s">
        <v>0</v>
      </c>
      <c r="B1" t="s">
        <v>1</v>
      </c>
      <c r="C1" t="s">
        <v>2</v>
      </c>
      <c r="D1" t="s">
        <v>105</v>
      </c>
      <c r="E1" t="s">
        <v>101</v>
      </c>
      <c r="F1" t="s">
        <v>5</v>
      </c>
      <c r="G1" t="s">
        <v>6</v>
      </c>
      <c r="H1" t="s">
        <v>7</v>
      </c>
      <c r="I1" t="s">
        <v>8</v>
      </c>
      <c r="J1" t="s">
        <v>9</v>
      </c>
      <c r="K1" t="s">
        <v>10</v>
      </c>
      <c r="L1" t="s">
        <v>11</v>
      </c>
      <c r="M1" t="s">
        <v>12</v>
      </c>
      <c r="N1" t="s">
        <v>13</v>
      </c>
      <c r="P1" s="111" t="s">
        <v>14</v>
      </c>
      <c r="Q1" s="111"/>
    </row>
    <row r="2" spans="1:17" x14ac:dyDescent="0.3">
      <c r="A2" t="s">
        <v>19</v>
      </c>
      <c r="B2" t="str">
        <f>VLOOKUP(A2,[107]WRDS!$A$1:$N$100,2,FALSE)</f>
        <v>BHP</v>
      </c>
      <c r="C2" t="str">
        <f>VLOOKUP(A2,[107]WRDS!$A$1:$N$100,3,FALSE)</f>
        <v>BLACK HILLS CORP</v>
      </c>
      <c r="D2">
        <f>VLOOKUP(A2,[107]WRDS!$A$1:$N$100,13,FALSE)</f>
        <v>1.1533</v>
      </c>
      <c r="E2">
        <f>VLOOKUP(A2,[91]WRDS!$A$1:$N$100,13,FALSE)</f>
        <v>1.4</v>
      </c>
      <c r="F2" s="1">
        <f>D2*(1+I2)^4</f>
        <v>1.3491978772480002</v>
      </c>
      <c r="G2" s="1">
        <f>D2*(1+J2)^4</f>
        <v>1.298049310573</v>
      </c>
      <c r="H2" s="2">
        <f t="shared" ref="H2:H43" si="0">((E2/D2)^(1/4)-1)</f>
        <v>4.9654654499209583E-2</v>
      </c>
      <c r="I2" s="2">
        <f>VLOOKUP(A2,[108]WRDS!$A$1:$O$100,10,FALSE)/100</f>
        <v>0.04</v>
      </c>
      <c r="J2" s="2">
        <f>VLOOKUP(A2,[108]WRDS!$A$1:$O$100,9,FALSE)/100</f>
        <v>0.03</v>
      </c>
      <c r="K2" s="2">
        <f t="shared" ref="K2:K43" si="1">(I2-H2)/(ABS(H2))</f>
        <v>-0.19443604223171601</v>
      </c>
      <c r="L2" s="2">
        <f t="shared" ref="L2:L43" si="2">(J2-H2)/(ABS(H2))</f>
        <v>-0.39582703167378702</v>
      </c>
      <c r="M2">
        <f>VLOOKUP(A2,[108]WRDS!$A$1:$O$100,8,FALSE)</f>
        <v>3</v>
      </c>
      <c r="N2">
        <f>VLOOKUP(A2,[108]WRDS!$A$1:$O$100,11,FALSE)</f>
        <v>2.65</v>
      </c>
      <c r="P2" t="s">
        <v>16</v>
      </c>
      <c r="Q2" s="3">
        <f>AVERAGE(H2:H999)</f>
        <v>4.354411200436735E-2</v>
      </c>
    </row>
    <row r="3" spans="1:17" x14ac:dyDescent="0.3">
      <c r="A3" t="s">
        <v>88</v>
      </c>
      <c r="B3" t="str">
        <f>VLOOKUP(A3,[107]WRDS!$A$1:$N$100,2,FALSE)</f>
        <v>CIN</v>
      </c>
      <c r="C3" t="str">
        <f>VLOOKUP(A3,[107]WRDS!$A$1:$N$100,3,FALSE)</f>
        <v>CINN GAS &amp; EL</v>
      </c>
      <c r="D3">
        <f>VLOOKUP(A3,[107]WRDS!$A$1:$N$100,13,FALSE)</f>
        <v>2.0299999999999998</v>
      </c>
      <c r="E3">
        <f>VLOOKUP(A3,[91]WRDS!$A$1:$N$100,13,FALSE)</f>
        <v>2.2599999999999998</v>
      </c>
      <c r="F3" s="1">
        <f t="shared" ref="F3:F43" si="3">D3*(1+I3)^4</f>
        <v>2.1981991124250024</v>
      </c>
      <c r="G3" s="1">
        <f t="shared" ref="G3:G43" si="4">D3*(1+J3)^4</f>
        <v>2.1973372847999997</v>
      </c>
      <c r="H3" s="2">
        <f t="shared" si="0"/>
        <v>2.7195481464033833E-2</v>
      </c>
      <c r="I3" s="2">
        <f>VLOOKUP(A3,[108]WRDS!$A$1:$O$100,10,FALSE)/100</f>
        <v>2.0099999999999996E-2</v>
      </c>
      <c r="J3" s="2">
        <f>VLOOKUP(A3,[108]WRDS!$A$1:$O$100,9,FALSE)/100</f>
        <v>0.02</v>
      </c>
      <c r="K3" s="2">
        <f t="shared" si="1"/>
        <v>-0.26090663161884625</v>
      </c>
      <c r="L3" s="2">
        <f t="shared" si="2"/>
        <v>-0.2645837130535782</v>
      </c>
      <c r="M3">
        <f>VLOOKUP(A3,[108]WRDS!$A$1:$O$100,8,FALSE)</f>
        <v>9</v>
      </c>
      <c r="N3">
        <f>VLOOKUP(A3,[108]WRDS!$A$1:$O$100,11,FALSE)</f>
        <v>1.25</v>
      </c>
      <c r="P3" t="s">
        <v>18</v>
      </c>
      <c r="Q3" s="3">
        <f>AVERAGE(I2:I999)</f>
        <v>5.1828571428571432E-2</v>
      </c>
    </row>
    <row r="4" spans="1:17" x14ac:dyDescent="0.3">
      <c r="A4" t="s">
        <v>21</v>
      </c>
      <c r="B4" t="str">
        <f>VLOOKUP(A4,[107]WRDS!$A$1:$N$100,2,FALSE)</f>
        <v>CMS</v>
      </c>
      <c r="C4" t="str">
        <f>VLOOKUP(A4,[107]WRDS!$A$1:$N$100,3,FALSE)</f>
        <v>CMS ENERGY CORP</v>
      </c>
      <c r="D4">
        <f>VLOOKUP(A4,[107]WRDS!$A$1:$N$100,13,FALSE)</f>
        <v>0.56999999999999995</v>
      </c>
      <c r="E4">
        <f>VLOOKUP(A4,[91]WRDS!$A$1:$N$100,13,FALSE)</f>
        <v>2.4500000000000002</v>
      </c>
      <c r="F4" s="1">
        <f t="shared" si="3"/>
        <v>0.65763432492615093</v>
      </c>
      <c r="G4" s="1">
        <f t="shared" si="4"/>
        <v>0.6169863311999999</v>
      </c>
      <c r="H4" s="2">
        <f t="shared" si="0"/>
        <v>0.43986842182083552</v>
      </c>
      <c r="I4" s="2">
        <f>VLOOKUP(A4,[108]WRDS!$A$1:$O$100,10,FALSE)/100</f>
        <v>3.6400000000000002E-2</v>
      </c>
      <c r="J4" s="2">
        <f>VLOOKUP(A4,[108]WRDS!$A$1:$O$100,9,FALSE)/100</f>
        <v>0.02</v>
      </c>
      <c r="K4" s="2">
        <f t="shared" si="1"/>
        <v>-0.91724798100004046</v>
      </c>
      <c r="L4" s="2">
        <f t="shared" si="2"/>
        <v>-0.95453185769232984</v>
      </c>
      <c r="M4">
        <f>VLOOKUP(A4,[108]WRDS!$A$1:$O$100,8,FALSE)</f>
        <v>7</v>
      </c>
      <c r="N4">
        <f>VLOOKUP(A4,[108]WRDS!$A$1:$O$100,11,FALSE)</f>
        <v>3.77</v>
      </c>
      <c r="P4" t="s">
        <v>20</v>
      </c>
      <c r="Q4" s="3">
        <f>(Q3-Q2)/ABS(Q2)</f>
        <v>0.19025441197131715</v>
      </c>
    </row>
    <row r="5" spans="1:17" x14ac:dyDescent="0.3">
      <c r="A5" t="s">
        <v>71</v>
      </c>
      <c r="B5" t="str">
        <f>VLOOKUP(A5,[107]WRDS!$A$1:$N$100,2,FALSE)</f>
        <v>CNL</v>
      </c>
      <c r="C5" t="str">
        <f>VLOOKUP(A5,[107]WRDS!$A$1:$N$100,3,FALSE)</f>
        <v>CENT LA ELEC INC</v>
      </c>
      <c r="D5">
        <f>VLOOKUP(A5,[107]WRDS!$A$1:$N$100,13,FALSE)</f>
        <v>0.96499999999999997</v>
      </c>
      <c r="E5">
        <f>VLOOKUP(A5,[91]WRDS!$A$1:$N$100,13,FALSE)</f>
        <v>1.115</v>
      </c>
      <c r="F5" s="1">
        <f t="shared" si="3"/>
        <v>1.0954252119281642</v>
      </c>
      <c r="G5" s="1">
        <f t="shared" si="4"/>
        <v>1.0966992706783201</v>
      </c>
      <c r="H5" s="2">
        <f t="shared" si="0"/>
        <v>3.6780662847308188E-2</v>
      </c>
      <c r="I5" s="2">
        <f>VLOOKUP(A5,[108]WRDS!$A$1:$O$100,10,FALSE)/100</f>
        <v>3.2199999999999999E-2</v>
      </c>
      <c r="J5" s="2">
        <f>VLOOKUP(A5,[108]WRDS!$A$1:$O$100,9,FALSE)/100</f>
        <v>3.2500000000000001E-2</v>
      </c>
      <c r="K5" s="2">
        <f t="shared" si="1"/>
        <v>-0.12453997543014445</v>
      </c>
      <c r="L5" s="2">
        <f t="shared" si="2"/>
        <v>-0.1163835155739035</v>
      </c>
      <c r="M5">
        <f>VLOOKUP(A5,[108]WRDS!$A$1:$O$100,8,FALSE)</f>
        <v>4</v>
      </c>
      <c r="N5">
        <f>VLOOKUP(A5,[108]WRDS!$A$1:$O$100,11,FALSE)</f>
        <v>1.79</v>
      </c>
      <c r="P5" t="s">
        <v>22</v>
      </c>
      <c r="Q5" s="3">
        <f>AVERAGE(J2:J999)</f>
        <v>5.0773809523809534E-2</v>
      </c>
    </row>
    <row r="6" spans="1:17" x14ac:dyDescent="0.3">
      <c r="A6" t="s">
        <v>84</v>
      </c>
      <c r="B6" t="str">
        <f>VLOOKUP(A6,[107]WRDS!$A$1:$N$100,2,FALSE)</f>
        <v>CV</v>
      </c>
      <c r="C6" t="str">
        <f>VLOOKUP(A6,[107]WRDS!$A$1:$N$100,3,FALSE)</f>
        <v>CNTRL VT PUB SVC</v>
      </c>
      <c r="D6">
        <f>VLOOKUP(A6,[107]WRDS!$A$1:$N$100,13,FALSE)</f>
        <v>1.7130000000000001</v>
      </c>
      <c r="E6">
        <f>VLOOKUP(A6,[91]WRDS!$A$1:$N$100,13,FALSE)</f>
        <v>1.41</v>
      </c>
      <c r="F6" s="1">
        <f t="shared" si="3"/>
        <v>1.9152995480419932</v>
      </c>
      <c r="G6" s="1">
        <f t="shared" si="4"/>
        <v>1.9279965915299999</v>
      </c>
      <c r="H6" s="2">
        <f t="shared" si="0"/>
        <v>-4.7499006310234182E-2</v>
      </c>
      <c r="I6" s="2">
        <f>VLOOKUP(A6,[108]WRDS!$A$1:$O$100,10,FALSE)/100</f>
        <v>2.8300000000000002E-2</v>
      </c>
      <c r="J6" s="2">
        <f>VLOOKUP(A6,[108]WRDS!$A$1:$O$100,9,FALSE)/100</f>
        <v>0.03</v>
      </c>
      <c r="K6" s="2">
        <f t="shared" si="1"/>
        <v>1.5958019377323787</v>
      </c>
      <c r="L6" s="2">
        <f t="shared" si="2"/>
        <v>1.6315921601403305</v>
      </c>
      <c r="M6">
        <f>VLOOKUP(A6,[108]WRDS!$A$1:$O$100,8,FALSE)</f>
        <v>3</v>
      </c>
      <c r="N6">
        <f>VLOOKUP(A6,[108]WRDS!$A$1:$O$100,11,FALSE)</f>
        <v>0.76</v>
      </c>
      <c r="P6" t="s">
        <v>24</v>
      </c>
      <c r="Q6" s="3">
        <f>(Q5-Q2)/ABS(Q2)</f>
        <v>0.16603157549101163</v>
      </c>
    </row>
    <row r="7" spans="1:17" x14ac:dyDescent="0.3">
      <c r="A7" t="s">
        <v>25</v>
      </c>
      <c r="B7" t="str">
        <f>VLOOKUP(A7,[107]WRDS!$A$1:$N$100,2,FALSE)</f>
        <v>D</v>
      </c>
      <c r="C7" t="str">
        <f>VLOOKUP(A7,[107]WRDS!$A$1:$N$100,3,FALSE)</f>
        <v>DOMINION RES INC</v>
      </c>
      <c r="D7">
        <f>VLOOKUP(A7,[107]WRDS!$A$1:$N$100,13,FALSE)</f>
        <v>1.45</v>
      </c>
      <c r="E7">
        <f>VLOOKUP(A7,[91]WRDS!$A$1:$N$100,13,FALSE)</f>
        <v>1.4950000000000001</v>
      </c>
      <c r="F7" s="1">
        <f t="shared" si="3"/>
        <v>1.6956425849731684</v>
      </c>
      <c r="G7" s="1">
        <f t="shared" si="4"/>
        <v>1.6447003748351998</v>
      </c>
      <c r="H7" s="2">
        <f t="shared" si="0"/>
        <v>7.6699269505668966E-3</v>
      </c>
      <c r="I7" s="2">
        <f>VLOOKUP(A7,[108]WRDS!$A$1:$O$100,10,FALSE)/100</f>
        <v>3.9900000000000005E-2</v>
      </c>
      <c r="J7" s="2">
        <f>VLOOKUP(A7,[108]WRDS!$A$1:$O$100,9,FALSE)/100</f>
        <v>3.2000000000000001E-2</v>
      </c>
      <c r="K7" s="2">
        <f t="shared" si="1"/>
        <v>4.2021355949225736</v>
      </c>
      <c r="L7" s="2">
        <f t="shared" si="2"/>
        <v>3.1721388229955476</v>
      </c>
      <c r="M7">
        <f>VLOOKUP(A7,[108]WRDS!$A$1:$O$100,8,FALSE)</f>
        <v>14</v>
      </c>
      <c r="N7">
        <f>VLOOKUP(A7,[108]WRDS!$A$1:$O$100,11,FALSE)</f>
        <v>2.17</v>
      </c>
      <c r="P7" s="111" t="s">
        <v>26</v>
      </c>
      <c r="Q7" s="111"/>
    </row>
    <row r="8" spans="1:17" x14ac:dyDescent="0.3">
      <c r="A8" t="s">
        <v>86</v>
      </c>
      <c r="B8" t="str">
        <f>VLOOKUP(A8,[107]WRDS!$A$1:$N$100,2,FALSE)</f>
        <v>DPL</v>
      </c>
      <c r="C8" t="str">
        <f>VLOOKUP(A8,[107]WRDS!$A$1:$N$100,3,FALSE)</f>
        <v>DPL INC</v>
      </c>
      <c r="D8">
        <f>VLOOKUP(A8,[107]WRDS!$A$1:$N$100,13,FALSE)</f>
        <v>0.89329999999999998</v>
      </c>
      <c r="E8">
        <f>VLOOKUP(A8,[91]WRDS!$A$1:$N$100,13,FALSE)</f>
        <v>1.1467000000000001</v>
      </c>
      <c r="F8" s="1">
        <f t="shared" si="3"/>
        <v>1.0302421797326464</v>
      </c>
      <c r="G8" s="1">
        <f t="shared" si="4"/>
        <v>0.98603605519531223</v>
      </c>
      <c r="H8" s="2">
        <f t="shared" si="0"/>
        <v>6.4420229074544144E-2</v>
      </c>
      <c r="I8" s="2">
        <f>VLOOKUP(A8,[108]WRDS!$A$1:$O$100,10,FALSE)/100</f>
        <v>3.6299999999999999E-2</v>
      </c>
      <c r="J8" s="2">
        <f>VLOOKUP(A8,[108]WRDS!$A$1:$O$100,9,FALSE)/100</f>
        <v>2.5000000000000001E-2</v>
      </c>
      <c r="K8" s="2">
        <f t="shared" si="1"/>
        <v>-0.43651240423260063</v>
      </c>
      <c r="L8" s="2">
        <f t="shared" si="2"/>
        <v>-0.61192314341088194</v>
      </c>
      <c r="M8">
        <f>VLOOKUP(A8,[108]WRDS!$A$1:$O$100,8,FALSE)</f>
        <v>8</v>
      </c>
      <c r="N8">
        <f>VLOOKUP(A8,[108]WRDS!$A$1:$O$100,11,FALSE)</f>
        <v>2.67</v>
      </c>
      <c r="P8" t="s">
        <v>28</v>
      </c>
      <c r="Q8" s="2">
        <f>MEDIAN(H2:H99)</f>
        <v>4.7167144349696488E-2</v>
      </c>
    </row>
    <row r="9" spans="1:17" x14ac:dyDescent="0.3">
      <c r="A9" t="s">
        <v>27</v>
      </c>
      <c r="B9" t="str">
        <f>VLOOKUP(A9,[107]WRDS!$A$1:$N$100,2,FALSE)</f>
        <v>DTE</v>
      </c>
      <c r="C9" t="str">
        <f>VLOOKUP(A9,[107]WRDS!$A$1:$N$100,3,FALSE)</f>
        <v>DETROIT EDISON</v>
      </c>
      <c r="D9">
        <f>VLOOKUP(A9,[107]WRDS!$A$1:$N$100,13,FALSE)</f>
        <v>3.8</v>
      </c>
      <c r="E9">
        <f>VLOOKUP(A9,[91]WRDS!$A$1:$N$100,13,FALSE)</f>
        <v>2.81</v>
      </c>
      <c r="F9" s="1">
        <f t="shared" si="3"/>
        <v>4.2586923298366264</v>
      </c>
      <c r="G9" s="1">
        <f t="shared" si="4"/>
        <v>4.2769334779999992</v>
      </c>
      <c r="H9" s="2">
        <f t="shared" si="0"/>
        <v>-7.2677748864193092E-2</v>
      </c>
      <c r="I9" s="2">
        <f>VLOOKUP(A9,[108]WRDS!$A$1:$O$100,10,FALSE)/100</f>
        <v>2.8900000000000002E-2</v>
      </c>
      <c r="J9" s="2">
        <f>VLOOKUP(A9,[108]WRDS!$A$1:$O$100,9,FALSE)/100</f>
        <v>0.03</v>
      </c>
      <c r="K9" s="2">
        <f t="shared" si="1"/>
        <v>1.3976457781322182</v>
      </c>
      <c r="L9" s="2">
        <f t="shared" si="2"/>
        <v>1.4127810845663165</v>
      </c>
      <c r="M9">
        <f>VLOOKUP(A9,[108]WRDS!$A$1:$O$100,8,FALSE)</f>
        <v>8</v>
      </c>
      <c r="N9">
        <f>VLOOKUP(A9,[108]WRDS!$A$1:$O$100,11,FALSE)</f>
        <v>1.23</v>
      </c>
      <c r="P9" t="s">
        <v>30</v>
      </c>
      <c r="Q9" s="2">
        <f>MEDIAN(I2:I100)</f>
        <v>0.04</v>
      </c>
    </row>
    <row r="10" spans="1:17" x14ac:dyDescent="0.3">
      <c r="A10" t="s">
        <v>29</v>
      </c>
      <c r="B10" t="str">
        <f>VLOOKUP(A10,[107]WRDS!$A$1:$N$100,2,FALSE)</f>
        <v>DUK</v>
      </c>
      <c r="C10" t="str">
        <f>VLOOKUP(A10,[107]WRDS!$A$1:$N$100,3,FALSE)</f>
        <v>DUKE POWER CO</v>
      </c>
      <c r="D10">
        <f>VLOOKUP(A10,[107]WRDS!$A$1:$N$100,13,FALSE)</f>
        <v>3.57</v>
      </c>
      <c r="E10">
        <f>VLOOKUP(A10,[91]WRDS!$A$1:$N$100,13,FALSE)</f>
        <v>5.0549999999999997</v>
      </c>
      <c r="F10" s="1">
        <f t="shared" si="3"/>
        <v>4.197316220837962</v>
      </c>
      <c r="G10" s="1">
        <f t="shared" si="4"/>
        <v>4.1763950592000008</v>
      </c>
      <c r="H10" s="2">
        <f t="shared" si="0"/>
        <v>9.084547877900162E-2</v>
      </c>
      <c r="I10" s="2">
        <f>VLOOKUP(A10,[108]WRDS!$A$1:$O$100,10,FALSE)/100</f>
        <v>4.1299999999999996E-2</v>
      </c>
      <c r="J10" s="2">
        <f>VLOOKUP(A10,[108]WRDS!$A$1:$O$100,9,FALSE)/100</f>
        <v>0.04</v>
      </c>
      <c r="K10" s="2">
        <f t="shared" si="1"/>
        <v>-0.54538188850905989</v>
      </c>
      <c r="L10" s="2">
        <f t="shared" si="2"/>
        <v>-0.55969190170368988</v>
      </c>
      <c r="M10">
        <f>VLOOKUP(A10,[108]WRDS!$A$1:$O$100,8,FALSE)</f>
        <v>13</v>
      </c>
      <c r="N10">
        <f>VLOOKUP(A10,[108]WRDS!$A$1:$O$100,11,FALSE)</f>
        <v>0.76</v>
      </c>
      <c r="P10" t="s">
        <v>32</v>
      </c>
      <c r="Q10" s="2">
        <f>(Q9-Q8)/ABS(Q8)</f>
        <v>-0.15195205155010846</v>
      </c>
    </row>
    <row r="11" spans="1:17" x14ac:dyDescent="0.3">
      <c r="A11" t="s">
        <v>31</v>
      </c>
      <c r="B11" t="str">
        <f>VLOOKUP(A11,[107]WRDS!$A$1:$N$100,2,FALSE)</f>
        <v>ED</v>
      </c>
      <c r="C11" t="str">
        <f>VLOOKUP(A11,[107]WRDS!$A$1:$N$100,3,FALSE)</f>
        <v>CONSOL EDISON</v>
      </c>
      <c r="D11">
        <f>VLOOKUP(A11,[107]WRDS!$A$1:$N$100,13,FALSE)</f>
        <v>2.46</v>
      </c>
      <c r="E11">
        <f>VLOOKUP(A11,[91]WRDS!$A$1:$N$100,13,FALSE)</f>
        <v>2.93</v>
      </c>
      <c r="F11" s="1">
        <f t="shared" si="3"/>
        <v>2.7644532039008514</v>
      </c>
      <c r="G11" s="1">
        <f t="shared" si="4"/>
        <v>2.7687516725999997</v>
      </c>
      <c r="H11" s="2">
        <f t="shared" si="0"/>
        <v>4.4679634200183393E-2</v>
      </c>
      <c r="I11" s="2">
        <f>VLOOKUP(A11,[108]WRDS!$A$1:$O$100,10,FALSE)/100</f>
        <v>2.9600000000000001E-2</v>
      </c>
      <c r="J11" s="2">
        <f>VLOOKUP(A11,[108]WRDS!$A$1:$O$100,9,FALSE)/100</f>
        <v>0.03</v>
      </c>
      <c r="K11" s="2">
        <f t="shared" si="1"/>
        <v>-0.33750576678001309</v>
      </c>
      <c r="L11" s="2">
        <f t="shared" si="2"/>
        <v>-0.32855314200677005</v>
      </c>
      <c r="M11">
        <f>VLOOKUP(A11,[108]WRDS!$A$1:$O$100,8,FALSE)</f>
        <v>11</v>
      </c>
      <c r="N11">
        <f>VLOOKUP(A11,[108]WRDS!$A$1:$O$100,11,FALSE)</f>
        <v>0.74</v>
      </c>
      <c r="P11" t="s">
        <v>34</v>
      </c>
      <c r="Q11" s="2">
        <f>MEDIAN(J2:J99)</f>
        <v>3.7500000000000006E-2</v>
      </c>
    </row>
    <row r="12" spans="1:17" x14ac:dyDescent="0.3">
      <c r="A12" t="s">
        <v>72</v>
      </c>
      <c r="B12" t="str">
        <f>VLOOKUP(A12,[107]WRDS!$A$1:$N$100,2,FALSE)</f>
        <v>EDE</v>
      </c>
      <c r="C12" t="str">
        <f>VLOOKUP(A12,[107]WRDS!$A$1:$N$100,3,FALSE)</f>
        <v>EMPIRE DIST ELEC</v>
      </c>
      <c r="D12">
        <f>VLOOKUP(A12,[107]WRDS!$A$1:$N$100,13,FALSE)</f>
        <v>1.25</v>
      </c>
      <c r="E12">
        <f>VLOOKUP(A12,[91]WRDS!$A$1:$N$100,13,FALSE)</f>
        <v>1.21</v>
      </c>
      <c r="F12" s="1">
        <f t="shared" si="3"/>
        <v>1.4123576094012495</v>
      </c>
      <c r="G12" s="1">
        <f t="shared" si="4"/>
        <v>1.4123576094012495</v>
      </c>
      <c r="H12" s="2">
        <f t="shared" si="0"/>
        <v>-8.0978323947933362E-3</v>
      </c>
      <c r="I12" s="2">
        <f>VLOOKUP(A12,[108]WRDS!$A$1:$O$100,10,FALSE)/100</f>
        <v>3.1E-2</v>
      </c>
      <c r="J12" s="2">
        <f>VLOOKUP(A12,[108]WRDS!$A$1:$O$100,9,FALSE)/100</f>
        <v>3.1E-2</v>
      </c>
      <c r="K12" s="2">
        <f t="shared" si="1"/>
        <v>4.8281849374817973</v>
      </c>
      <c r="L12" s="2">
        <f t="shared" si="2"/>
        <v>4.8281849374817973</v>
      </c>
      <c r="M12">
        <f>VLOOKUP(A12,[108]WRDS!$A$1:$O$100,8,FALSE)</f>
        <v>2</v>
      </c>
      <c r="N12">
        <f>VLOOKUP(A12,[108]WRDS!$A$1:$O$100,11,FALSE)</f>
        <v>1.27</v>
      </c>
      <c r="P12" t="s">
        <v>32</v>
      </c>
      <c r="Q12" s="2">
        <f>(Q11-Q8)/ABS(Q8)</f>
        <v>-0.20495504832822659</v>
      </c>
    </row>
    <row r="13" spans="1:17" x14ac:dyDescent="0.3">
      <c r="A13" t="s">
        <v>35</v>
      </c>
      <c r="B13" t="str">
        <f>VLOOKUP(A13,[107]WRDS!$A$1:$N$100,2,FALSE)</f>
        <v>EXC</v>
      </c>
      <c r="C13" t="str">
        <f>VLOOKUP(A13,[107]WRDS!$A$1:$N$100,3,FALSE)</f>
        <v>EXCEL INDS INC</v>
      </c>
      <c r="D13">
        <f>VLOOKUP(A13,[107]WRDS!$A$1:$N$100,13,FALSE)</f>
        <v>1</v>
      </c>
      <c r="E13">
        <f>VLOOKUP(A13,[91]WRDS!$A$1:$N$100,13,FALSE)</f>
        <v>1.6839999999999999</v>
      </c>
      <c r="F13" s="1">
        <f t="shared" si="3"/>
        <v>1.5735193600000004</v>
      </c>
      <c r="G13" s="1">
        <f t="shared" si="4"/>
        <v>1.5735193600000004</v>
      </c>
      <c r="H13" s="2">
        <f t="shared" si="0"/>
        <v>0.13916208495572158</v>
      </c>
      <c r="I13" s="2">
        <f>VLOOKUP(A13,[108]WRDS!$A$1:$O$100,10,FALSE)/100</f>
        <v>0.12</v>
      </c>
      <c r="J13" s="2">
        <f>VLOOKUP(A13,[108]WRDS!$A$1:$O$100,9,FALSE)/100</f>
        <v>0.12</v>
      </c>
      <c r="K13" s="2">
        <f t="shared" si="1"/>
        <v>-0.13769616172263122</v>
      </c>
      <c r="L13" s="2">
        <f t="shared" si="2"/>
        <v>-0.13769616172263122</v>
      </c>
      <c r="M13">
        <f>VLOOKUP(A13,[108]WRDS!$A$1:$O$100,8,FALSE)</f>
        <v>2</v>
      </c>
      <c r="N13">
        <f>VLOOKUP(A13,[108]WRDS!$A$1:$O$100,11,FALSE)</f>
        <v>4.24</v>
      </c>
      <c r="P13" s="111" t="s">
        <v>37</v>
      </c>
      <c r="Q13" s="111"/>
    </row>
    <row r="14" spans="1:17" x14ac:dyDescent="0.3">
      <c r="A14" t="s">
        <v>89</v>
      </c>
      <c r="B14" t="str">
        <f>VLOOKUP(A14,[107]WRDS!$A$1:$N$100,2,FALSE)</f>
        <v>FPL</v>
      </c>
      <c r="C14" t="str">
        <f>VLOOKUP(A14,[107]WRDS!$A$1:$N$100,3,FALSE)</f>
        <v>FPL GROUP</v>
      </c>
      <c r="D14">
        <f>VLOOKUP(A14,[107]WRDS!$A$1:$N$100,13,FALSE)</f>
        <v>0.33</v>
      </c>
      <c r="E14">
        <f>VLOOKUP(A14,[91]WRDS!$A$1:$N$100,13,FALSE)</f>
        <v>0.4163</v>
      </c>
      <c r="F14" s="1">
        <f t="shared" si="3"/>
        <v>0.37460136780963127</v>
      </c>
      <c r="G14" s="1">
        <f t="shared" si="4"/>
        <v>0.37141790730000002</v>
      </c>
      <c r="H14" s="2">
        <f t="shared" si="0"/>
        <v>5.9798054059105654E-2</v>
      </c>
      <c r="I14" s="2">
        <f>VLOOKUP(A14,[108]WRDS!$A$1:$O$100,10,FALSE)/100</f>
        <v>3.2199999999999999E-2</v>
      </c>
      <c r="J14" s="2">
        <f>VLOOKUP(A14,[108]WRDS!$A$1:$O$100,9,FALSE)/100</f>
        <v>0.03</v>
      </c>
      <c r="K14" s="2">
        <f t="shared" si="1"/>
        <v>-0.461520938989539</v>
      </c>
      <c r="L14" s="2">
        <f t="shared" si="2"/>
        <v>-0.49831143384118542</v>
      </c>
      <c r="M14">
        <f>VLOOKUP(A14,[108]WRDS!$A$1:$O$100,8,FALSE)</f>
        <v>16</v>
      </c>
      <c r="N14">
        <f>VLOOKUP(A14,[108]WRDS!$A$1:$O$100,11,FALSE)</f>
        <v>1.56</v>
      </c>
      <c r="P14" t="s">
        <v>39</v>
      </c>
      <c r="Q14" s="1">
        <f>AVERAGE(M2:M1002)</f>
        <v>7.8571428571428568</v>
      </c>
    </row>
    <row r="15" spans="1:17" x14ac:dyDescent="0.3">
      <c r="A15" t="s">
        <v>36</v>
      </c>
      <c r="B15" t="str">
        <f>VLOOKUP(A15,[107]WRDS!$A$1:$N$100,2,FALSE)</f>
        <v>HE</v>
      </c>
      <c r="C15" t="str">
        <f>VLOOKUP(A15,[107]WRDS!$A$1:$N$100,3,FALSE)</f>
        <v>HAWAIIAN ELEC</v>
      </c>
      <c r="D15">
        <f>VLOOKUP(A15,[107]WRDS!$A$1:$N$100,13,FALSE)</f>
        <v>1.3149999999999999</v>
      </c>
      <c r="E15">
        <f>VLOOKUP(A15,[91]WRDS!$A$1:$N$100,13,FALSE)</f>
        <v>1.4350000000000001</v>
      </c>
      <c r="F15" s="1">
        <f t="shared" si="3"/>
        <v>1.6185797012512493</v>
      </c>
      <c r="G15" s="1">
        <f t="shared" si="4"/>
        <v>1.5383640064000002</v>
      </c>
      <c r="H15" s="2">
        <f t="shared" si="0"/>
        <v>2.2072108848216532E-2</v>
      </c>
      <c r="I15" s="2">
        <f>VLOOKUP(A15,[108]WRDS!$A$1:$O$100,10,FALSE)/100</f>
        <v>5.33E-2</v>
      </c>
      <c r="J15" s="2">
        <f>VLOOKUP(A15,[108]WRDS!$A$1:$O$100,9,FALSE)/100</f>
        <v>0.04</v>
      </c>
      <c r="K15" s="2">
        <f t="shared" si="1"/>
        <v>1.4148123030077726</v>
      </c>
      <c r="L15" s="2">
        <f t="shared" si="2"/>
        <v>0.81224187842984819</v>
      </c>
      <c r="M15">
        <f>VLOOKUP(A15,[108]WRDS!$A$1:$O$100,8,FALSE)</f>
        <v>3</v>
      </c>
      <c r="N15">
        <f>VLOOKUP(A15,[108]WRDS!$A$1:$O$100,11,FALSE)</f>
        <v>3.21</v>
      </c>
      <c r="P15" t="s">
        <v>41</v>
      </c>
      <c r="Q15" s="1">
        <f>COUNT(N2:N1002)</f>
        <v>42</v>
      </c>
    </row>
    <row r="16" spans="1:17" x14ac:dyDescent="0.3">
      <c r="A16" t="s">
        <v>38</v>
      </c>
      <c r="B16" t="str">
        <f>VLOOKUP(A16,[107]WRDS!$A$1:$N$100,2,FALSE)</f>
        <v>IDA</v>
      </c>
      <c r="C16" t="str">
        <f>VLOOKUP(A16,[107]WRDS!$A$1:$N$100,3,FALSE)</f>
        <v>IDAHO POWER CO</v>
      </c>
      <c r="D16">
        <f>VLOOKUP(A16,[107]WRDS!$A$1:$N$100,13,FALSE)</f>
        <v>1.54</v>
      </c>
      <c r="E16">
        <f>VLOOKUP(A16,[91]WRDS!$A$1:$N$100,13,FALSE)</f>
        <v>2.21</v>
      </c>
      <c r="F16" s="1">
        <f t="shared" si="3"/>
        <v>1.9604054859850164</v>
      </c>
      <c r="G16" s="1">
        <f t="shared" si="4"/>
        <v>1.9811581799624993</v>
      </c>
      <c r="H16" s="2">
        <f t="shared" si="0"/>
        <v>9.450534861047033E-2</v>
      </c>
      <c r="I16" s="2">
        <f>VLOOKUP(A16,[108]WRDS!$A$1:$O$100,10,FALSE)/100</f>
        <v>6.2199999999999998E-2</v>
      </c>
      <c r="J16" s="2">
        <f>VLOOKUP(A16,[108]WRDS!$A$1:$O$100,9,FALSE)/100</f>
        <v>6.5000000000000002E-2</v>
      </c>
      <c r="K16" s="2">
        <f t="shared" si="1"/>
        <v>-0.3418361932468571</v>
      </c>
      <c r="L16" s="2">
        <f t="shared" si="2"/>
        <v>-0.31220824053128149</v>
      </c>
      <c r="M16">
        <f>VLOOKUP(A16,[108]WRDS!$A$1:$O$100,8,FALSE)</f>
        <v>8</v>
      </c>
      <c r="N16">
        <f>VLOOKUP(A16,[108]WRDS!$A$1:$O$100,11,FALSE)</f>
        <v>2.84</v>
      </c>
    </row>
    <row r="17" spans="1:14" x14ac:dyDescent="0.3">
      <c r="A17" t="s">
        <v>78</v>
      </c>
      <c r="B17" t="str">
        <f>VLOOKUP(A17,[107]WRDS!$A$1:$N$100,2,FALSE)</f>
        <v>NU</v>
      </c>
      <c r="C17" t="str">
        <f>VLOOKUP(A17,[107]WRDS!$A$1:$N$100,3,FALSE)</f>
        <v>NORTHEAST UTILS</v>
      </c>
      <c r="D17">
        <f>VLOOKUP(A17,[107]WRDS!$A$1:$N$100,13,FALSE)</f>
        <v>2.0299999999999998</v>
      </c>
      <c r="E17">
        <f>VLOOKUP(A17,[91]WRDS!$A$1:$N$100,13,FALSE)</f>
        <v>0.59</v>
      </c>
      <c r="F17" s="1">
        <f t="shared" si="3"/>
        <v>2.2830088124555745</v>
      </c>
      <c r="G17" s="1">
        <f t="shared" si="4"/>
        <v>2.2847828842999998</v>
      </c>
      <c r="H17" s="2">
        <f t="shared" si="0"/>
        <v>-0.26575838867066748</v>
      </c>
      <c r="I17" s="2">
        <f>VLOOKUP(A17,[108]WRDS!$A$1:$O$100,10,FALSE)/100</f>
        <v>2.98E-2</v>
      </c>
      <c r="J17" s="2">
        <f>VLOOKUP(A17,[108]WRDS!$A$1:$O$100,9,FALSE)/100</f>
        <v>0.03</v>
      </c>
      <c r="K17" s="2">
        <f t="shared" si="1"/>
        <v>1.1121319261042355</v>
      </c>
      <c r="L17" s="2">
        <f t="shared" si="2"/>
        <v>1.1128844893666803</v>
      </c>
      <c r="M17">
        <f>VLOOKUP(A17,[108]WRDS!$A$1:$O$100,8,FALSE)</f>
        <v>11</v>
      </c>
      <c r="N17">
        <f>VLOOKUP(A17,[108]WRDS!$A$1:$O$100,11,FALSE)</f>
        <v>1.76</v>
      </c>
    </row>
    <row r="18" spans="1:14" x14ac:dyDescent="0.3">
      <c r="A18" t="s">
        <v>44</v>
      </c>
      <c r="B18" t="str">
        <f>VLOOKUP(A18,[107]WRDS!$A$1:$N$100,2,FALSE)</f>
        <v>OGE</v>
      </c>
      <c r="C18" t="str">
        <f>VLOOKUP(A18,[107]WRDS!$A$1:$N$100,3,FALSE)</f>
        <v>OKLAHOMA G&amp;E</v>
      </c>
      <c r="D18">
        <f>VLOOKUP(A18,[107]WRDS!$A$1:$N$100,13,FALSE)</f>
        <v>0.65</v>
      </c>
      <c r="E18">
        <f>VLOOKUP(A18,[91]WRDS!$A$1:$N$100,13,FALSE)</f>
        <v>0.8125</v>
      </c>
      <c r="F18" s="1">
        <f t="shared" si="3"/>
        <v>0.72253151827785345</v>
      </c>
      <c r="G18" s="1">
        <f t="shared" si="4"/>
        <v>0.73158072649999994</v>
      </c>
      <c r="H18" s="2">
        <f t="shared" si="0"/>
        <v>5.7371263440564091E-2</v>
      </c>
      <c r="I18" s="2">
        <f>VLOOKUP(A18,[108]WRDS!$A$1:$O$100,10,FALSE)/100</f>
        <v>2.6800000000000001E-2</v>
      </c>
      <c r="J18" s="2">
        <f>VLOOKUP(A18,[108]WRDS!$A$1:$O$100,9,FALSE)/100</f>
        <v>0.03</v>
      </c>
      <c r="K18" s="2">
        <f t="shared" si="1"/>
        <v>-0.53286718135875699</v>
      </c>
      <c r="L18" s="2">
        <f t="shared" si="2"/>
        <v>-0.47709012838666831</v>
      </c>
      <c r="M18">
        <f>VLOOKUP(A18,[108]WRDS!$A$1:$O$100,8,FALSE)</f>
        <v>9</v>
      </c>
      <c r="N18">
        <f>VLOOKUP(A18,[108]WRDS!$A$1:$O$100,11,FALSE)</f>
        <v>1.07</v>
      </c>
    </row>
    <row r="19" spans="1:14" x14ac:dyDescent="0.3">
      <c r="A19" t="s">
        <v>69</v>
      </c>
      <c r="B19" t="str">
        <f>VLOOKUP(A19,[107]WRDS!$A$1:$N$100,2,FALSE)</f>
        <v>OTTR</v>
      </c>
      <c r="C19" t="str">
        <f>VLOOKUP(A19,[107]WRDS!$A$1:$N$100,3,FALSE)</f>
        <v>OTTER TAIL PWR</v>
      </c>
      <c r="D19">
        <f>VLOOKUP(A19,[107]WRDS!$A$1:$N$100,13,FALSE)</f>
        <v>1.085</v>
      </c>
      <c r="E19">
        <f>VLOOKUP(A19,[91]WRDS!$A$1:$N$100,13,FALSE)</f>
        <v>1.23</v>
      </c>
      <c r="F19" s="1">
        <f t="shared" si="3"/>
        <v>1.2056020735776047</v>
      </c>
      <c r="G19" s="1">
        <f t="shared" si="4"/>
        <v>1.2211770588499999</v>
      </c>
      <c r="H19" s="2">
        <f t="shared" si="0"/>
        <v>3.1855404782523244E-2</v>
      </c>
      <c r="I19" s="2">
        <f>VLOOKUP(A19,[108]WRDS!$A$1:$O$100,10,FALSE)/100</f>
        <v>2.6699999999999998E-2</v>
      </c>
      <c r="J19" s="2">
        <f>VLOOKUP(A19,[108]WRDS!$A$1:$O$100,9,FALSE)/100</f>
        <v>0.03</v>
      </c>
      <c r="K19" s="2">
        <f t="shared" si="1"/>
        <v>-0.16183767927983272</v>
      </c>
      <c r="L19" s="2">
        <f t="shared" si="2"/>
        <v>-5.8244583460486173E-2</v>
      </c>
      <c r="M19">
        <f>VLOOKUP(A19,[108]WRDS!$A$1:$O$100,8,FALSE)</f>
        <v>3</v>
      </c>
      <c r="N19">
        <f>VLOOKUP(A19,[108]WRDS!$A$1:$O$100,11,FALSE)</f>
        <v>0.57999999999999996</v>
      </c>
    </row>
    <row r="20" spans="1:14" x14ac:dyDescent="0.3">
      <c r="A20" t="s">
        <v>45</v>
      </c>
      <c r="B20" t="str">
        <f>VLOOKUP(A20,[107]WRDS!$A$1:$N$100,2,FALSE)</f>
        <v>PCG</v>
      </c>
      <c r="C20" t="str">
        <f>VLOOKUP(A20,[107]WRDS!$A$1:$N$100,3,FALSE)</f>
        <v>PACIFIC G&amp;E</v>
      </c>
      <c r="D20">
        <f>VLOOKUP(A20,[107]WRDS!$A$1:$N$100,13,FALSE)</f>
        <v>2.58</v>
      </c>
      <c r="E20">
        <f>VLOOKUP(A20,[91]WRDS!$A$1:$N$100,13,FALSE)</f>
        <v>2.41</v>
      </c>
      <c r="F20" s="1">
        <f t="shared" si="3"/>
        <v>3.3165906788106976</v>
      </c>
      <c r="G20" s="1">
        <f t="shared" si="4"/>
        <v>3.3190831846124991</v>
      </c>
      <c r="H20" s="2">
        <f t="shared" si="0"/>
        <v>-1.6896291984089928E-2</v>
      </c>
      <c r="I20" s="2">
        <f>VLOOKUP(A20,[108]WRDS!$A$1:$O$100,10,FALSE)/100</f>
        <v>6.480000000000001E-2</v>
      </c>
      <c r="J20" s="2">
        <f>VLOOKUP(A20,[108]WRDS!$A$1:$O$100,9,FALSE)/100</f>
        <v>6.5000000000000002E-2</v>
      </c>
      <c r="K20" s="2">
        <f t="shared" si="1"/>
        <v>4.8351609963308926</v>
      </c>
      <c r="L20" s="2">
        <f t="shared" si="2"/>
        <v>4.8469979129862351</v>
      </c>
      <c r="M20">
        <f>VLOOKUP(A20,[108]WRDS!$A$1:$O$100,8,FALSE)</f>
        <v>14</v>
      </c>
      <c r="N20">
        <f>VLOOKUP(A20,[108]WRDS!$A$1:$O$100,11,FALSE)</f>
        <v>1.68</v>
      </c>
    </row>
    <row r="21" spans="1:14" x14ac:dyDescent="0.3">
      <c r="A21" t="s">
        <v>46</v>
      </c>
      <c r="B21" t="str">
        <f>VLOOKUP(A21,[107]WRDS!$A$1:$N$100,2,FALSE)</f>
        <v>PEG</v>
      </c>
      <c r="C21" t="str">
        <f>VLOOKUP(A21,[107]WRDS!$A$1:$N$100,3,FALSE)</f>
        <v>PUB SVC ENTERS</v>
      </c>
      <c r="D21">
        <f>VLOOKUP(A21,[107]WRDS!$A$1:$N$100,13,FALSE)</f>
        <v>0.98499999999999999</v>
      </c>
      <c r="E21">
        <f>VLOOKUP(A21,[91]WRDS!$A$1:$N$100,13,FALSE)</f>
        <v>1.33</v>
      </c>
      <c r="F21" s="1">
        <f t="shared" si="3"/>
        <v>1.0953397433867205</v>
      </c>
      <c r="G21" s="1">
        <f t="shared" si="4"/>
        <v>1.0872556972656247</v>
      </c>
      <c r="H21" s="2">
        <f t="shared" si="0"/>
        <v>7.7962995616140951E-2</v>
      </c>
      <c r="I21" s="2">
        <f>VLOOKUP(A21,[108]WRDS!$A$1:$O$100,10,FALSE)/100</f>
        <v>2.69E-2</v>
      </c>
      <c r="J21" s="2">
        <f>VLOOKUP(A21,[108]WRDS!$A$1:$O$100,9,FALSE)/100</f>
        <v>2.5000000000000001E-2</v>
      </c>
      <c r="K21" s="2">
        <f t="shared" si="1"/>
        <v>-0.65496451505731013</v>
      </c>
      <c r="L21" s="2">
        <f t="shared" si="2"/>
        <v>-0.67933505116850379</v>
      </c>
      <c r="M21">
        <f>VLOOKUP(A21,[108]WRDS!$A$1:$O$100,8,FALSE)</f>
        <v>14</v>
      </c>
      <c r="N21">
        <f>VLOOKUP(A21,[108]WRDS!$A$1:$O$100,11,FALSE)</f>
        <v>1.23</v>
      </c>
    </row>
    <row r="22" spans="1:14" x14ac:dyDescent="0.3">
      <c r="A22" t="s">
        <v>74</v>
      </c>
      <c r="B22" t="str">
        <f>VLOOKUP(A22,[107]WRDS!$A$1:$N$100,2,FALSE)</f>
        <v>PGN</v>
      </c>
      <c r="C22" t="str">
        <f>VLOOKUP(A22,[107]WRDS!$A$1:$N$100,3,FALSE)</f>
        <v>PORTLAND GEN CP</v>
      </c>
      <c r="D22">
        <f>VLOOKUP(A22,[107]WRDS!$A$1:$N$100,13,FALSE)</f>
        <v>1.92</v>
      </c>
      <c r="E22">
        <f>VLOOKUP(A22,[91]WRDS!$A$1:$N$100,13,FALSE)</f>
        <v>3</v>
      </c>
      <c r="F22" s="1">
        <f t="shared" si="3"/>
        <v>2.2608507083336296</v>
      </c>
      <c r="G22" s="1">
        <f t="shared" si="4"/>
        <v>2.2032441611999993</v>
      </c>
      <c r="H22" s="2">
        <f t="shared" si="0"/>
        <v>0.1180339887498949</v>
      </c>
      <c r="I22" s="2">
        <f>VLOOKUP(A22,[108]WRDS!$A$1:$O$100,10,FALSE)/100</f>
        <v>4.1700000000000001E-2</v>
      </c>
      <c r="J22" s="2">
        <f>VLOOKUP(A22,[108]WRDS!$A$1:$O$100,9,FALSE)/100</f>
        <v>3.5000000000000003E-2</v>
      </c>
      <c r="K22" s="2">
        <f t="shared" si="1"/>
        <v>-0.64671193067651767</v>
      </c>
      <c r="L22" s="2">
        <f t="shared" si="2"/>
        <v>-0.70347524157501484</v>
      </c>
      <c r="M22">
        <f>VLOOKUP(A22,[108]WRDS!$A$1:$O$100,8,FALSE)</f>
        <v>7</v>
      </c>
      <c r="N22">
        <f>VLOOKUP(A22,[108]WRDS!$A$1:$O$100,11,FALSE)</f>
        <v>3.38</v>
      </c>
    </row>
    <row r="23" spans="1:14" x14ac:dyDescent="0.3">
      <c r="A23" t="s">
        <v>47</v>
      </c>
      <c r="B23" t="str">
        <f>VLOOKUP(A23,[107]WRDS!$A$1:$N$100,2,FALSE)</f>
        <v>PNM</v>
      </c>
      <c r="C23" t="str">
        <f>VLOOKUP(A23,[107]WRDS!$A$1:$N$100,3,FALSE)</f>
        <v>PUB SVC N MEX</v>
      </c>
      <c r="D23">
        <f>VLOOKUP(A23,[107]WRDS!$A$1:$N$100,13,FALSE)</f>
        <v>0.5333</v>
      </c>
      <c r="E23">
        <f>VLOOKUP(A23,[91]WRDS!$A$1:$N$100,13,FALSE)</f>
        <v>1.1133</v>
      </c>
      <c r="F23" s="1">
        <f t="shared" si="3"/>
        <v>1.0904500582322008</v>
      </c>
      <c r="G23" s="1">
        <f t="shared" si="4"/>
        <v>1.302001953125</v>
      </c>
      <c r="H23" s="2">
        <f t="shared" si="0"/>
        <v>0.20201574470326755</v>
      </c>
      <c r="I23" s="2">
        <f>VLOOKUP(A23,[108]WRDS!$A$1:$O$100,10,FALSE)/100</f>
        <v>0.19579999999999997</v>
      </c>
      <c r="J23" s="2">
        <f>VLOOKUP(A23,[108]WRDS!$A$1:$O$100,9,FALSE)/100</f>
        <v>0.25</v>
      </c>
      <c r="K23" s="2">
        <f t="shared" si="1"/>
        <v>-3.0768615151247864E-2</v>
      </c>
      <c r="L23" s="2">
        <f t="shared" si="2"/>
        <v>0.2375273044544845</v>
      </c>
      <c r="M23">
        <f>VLOOKUP(A23,[108]WRDS!$A$1:$O$100,8,FALSE)</f>
        <v>6</v>
      </c>
      <c r="N23">
        <f>VLOOKUP(A23,[108]WRDS!$A$1:$O$100,11,FALSE)</f>
        <v>12.11</v>
      </c>
    </row>
    <row r="24" spans="1:14" x14ac:dyDescent="0.3">
      <c r="A24" t="s">
        <v>48</v>
      </c>
      <c r="B24" t="str">
        <f>VLOOKUP(A24,[107]WRDS!$A$1:$N$100,2,FALSE)</f>
        <v>AZP</v>
      </c>
      <c r="C24" t="str">
        <f>VLOOKUP(A24,[107]WRDS!$A$1:$N$100,3,FALSE)</f>
        <v>PINNACLE WST CAP</v>
      </c>
      <c r="D24">
        <f>VLOOKUP(A24,[107]WRDS!$A$1:$N$100,13,FALSE)</f>
        <v>1.72</v>
      </c>
      <c r="E24">
        <f>VLOOKUP(A24,[91]WRDS!$A$1:$N$100,13,FALSE)</f>
        <v>2.41</v>
      </c>
      <c r="F24" s="1">
        <f t="shared" si="3"/>
        <v>2.7905424320813341</v>
      </c>
      <c r="G24" s="1">
        <f t="shared" si="4"/>
        <v>2.5182520000000008</v>
      </c>
      <c r="H24" s="2">
        <f t="shared" si="0"/>
        <v>8.7983098851551755E-2</v>
      </c>
      <c r="I24" s="2">
        <f>VLOOKUP(A24,[108]WRDS!$A$1:$O$100,10,FALSE)/100</f>
        <v>0.12859999999999999</v>
      </c>
      <c r="J24" s="2">
        <f>VLOOKUP(A24,[108]WRDS!$A$1:$O$100,9,FALSE)/100</f>
        <v>0.1</v>
      </c>
      <c r="K24" s="2">
        <f t="shared" si="1"/>
        <v>0.46164435759393441</v>
      </c>
      <c r="L24" s="2">
        <f t="shared" si="2"/>
        <v>0.13658192658937368</v>
      </c>
      <c r="M24">
        <f>VLOOKUP(A24,[108]WRDS!$A$1:$O$100,8,FALSE)</f>
        <v>7</v>
      </c>
      <c r="N24">
        <f>VLOOKUP(A24,[108]WRDS!$A$1:$O$100,11,FALSE)</f>
        <v>7.92</v>
      </c>
    </row>
    <row r="25" spans="1:14" x14ac:dyDescent="0.3">
      <c r="A25" t="s">
        <v>49</v>
      </c>
      <c r="B25" t="str">
        <f>VLOOKUP(A25,[107]WRDS!$A$1:$N$100,2,FALSE)</f>
        <v>POM</v>
      </c>
      <c r="C25" t="str">
        <f>VLOOKUP(A25,[107]WRDS!$A$1:$N$100,3,FALSE)</f>
        <v>POTOMAC ELEC</v>
      </c>
      <c r="D25">
        <f>VLOOKUP(A25,[107]WRDS!$A$1:$N$100,13,FALSE)</f>
        <v>1.63</v>
      </c>
      <c r="E25">
        <f>VLOOKUP(A25,[91]WRDS!$A$1:$N$100,13,FALSE)</f>
        <v>1.86</v>
      </c>
      <c r="F25" s="1">
        <f t="shared" si="3"/>
        <v>1.8431438088228163</v>
      </c>
      <c r="G25" s="1">
        <f t="shared" si="4"/>
        <v>1.8345793602999998</v>
      </c>
      <c r="H25" s="2">
        <f t="shared" si="0"/>
        <v>3.3549627884344346E-2</v>
      </c>
      <c r="I25" s="2">
        <f>VLOOKUP(A25,[108]WRDS!$A$1:$O$100,10,FALSE)/100</f>
        <v>3.1200000000000002E-2</v>
      </c>
      <c r="J25" s="2">
        <f>VLOOKUP(A25,[108]WRDS!$A$1:$O$100,9,FALSE)/100</f>
        <v>0.03</v>
      </c>
      <c r="K25" s="2">
        <f t="shared" si="1"/>
        <v>-7.0034394791030713E-2</v>
      </c>
      <c r="L25" s="2">
        <f t="shared" si="2"/>
        <v>-0.10580230268368346</v>
      </c>
      <c r="M25">
        <f>VLOOKUP(A25,[108]WRDS!$A$1:$O$100,8,FALSE)</f>
        <v>13</v>
      </c>
      <c r="N25">
        <f>VLOOKUP(A25,[108]WRDS!$A$1:$O$100,11,FALSE)</f>
        <v>1.43</v>
      </c>
    </row>
    <row r="26" spans="1:14" x14ac:dyDescent="0.3">
      <c r="A26" t="s">
        <v>51</v>
      </c>
      <c r="B26" t="str">
        <f>VLOOKUP(A26,[107]WRDS!$A$1:$N$100,2,FALSE)</f>
        <v>PPL</v>
      </c>
      <c r="C26" t="str">
        <f>VLOOKUP(A26,[107]WRDS!$A$1:$N$100,3,FALSE)</f>
        <v>PENNA P&amp;L</v>
      </c>
      <c r="D26">
        <f>VLOOKUP(A26,[107]WRDS!$A$1:$N$100,13,FALSE)</f>
        <v>1</v>
      </c>
      <c r="E26">
        <f>VLOOKUP(A26,[91]WRDS!$A$1:$N$100,13,FALSE)</f>
        <v>1.0449999999999999</v>
      </c>
      <c r="F26" s="1">
        <f t="shared" si="3"/>
        <v>1.1259459644581202</v>
      </c>
      <c r="G26" s="1">
        <f t="shared" si="4"/>
        <v>1.1255088099999999</v>
      </c>
      <c r="H26" s="2">
        <f t="shared" si="0"/>
        <v>1.1064990499148664E-2</v>
      </c>
      <c r="I26" s="2">
        <f>VLOOKUP(A26,[108]WRDS!$A$1:$O$100,10,FALSE)/100</f>
        <v>3.0099999999999998E-2</v>
      </c>
      <c r="J26" s="2">
        <f>VLOOKUP(A26,[108]WRDS!$A$1:$O$100,9,FALSE)/100</f>
        <v>0.03</v>
      </c>
      <c r="K26" s="2">
        <f t="shared" si="1"/>
        <v>1.7202915359318096</v>
      </c>
      <c r="L26" s="2">
        <f t="shared" si="2"/>
        <v>1.7112540225233983</v>
      </c>
      <c r="M26">
        <f>VLOOKUP(A26,[108]WRDS!$A$1:$O$100,8,FALSE)</f>
        <v>10</v>
      </c>
      <c r="N26">
        <f>VLOOKUP(A26,[108]WRDS!$A$1:$O$100,11,FALSE)</f>
        <v>0.95</v>
      </c>
    </row>
    <row r="27" spans="1:14" x14ac:dyDescent="0.3">
      <c r="A27" t="s">
        <v>91</v>
      </c>
      <c r="B27" t="str">
        <f>VLOOKUP(A27,[107]WRDS!$A$1:$N$100,2,FALSE)</f>
        <v>PSD</v>
      </c>
      <c r="C27" t="str">
        <f>VLOOKUP(A27,[107]WRDS!$A$1:$N$100,3,FALSE)</f>
        <v>PUGET SOUND P&amp;L</v>
      </c>
      <c r="D27">
        <f>VLOOKUP(A27,[107]WRDS!$A$1:$N$100,13,FALSE)</f>
        <v>2.17</v>
      </c>
      <c r="E27">
        <f>VLOOKUP(A27,[91]WRDS!$A$1:$N$100,13,FALSE)</f>
        <v>1.89</v>
      </c>
      <c r="F27" s="1">
        <f t="shared" si="3"/>
        <v>2.3655020417148958</v>
      </c>
      <c r="G27" s="1">
        <f t="shared" si="4"/>
        <v>2.3534868175288346</v>
      </c>
      <c r="H27" s="2">
        <f t="shared" si="0"/>
        <v>-3.394796969449787E-2</v>
      </c>
      <c r="I27" s="2">
        <f>VLOOKUP(A27,[108]WRDS!$A$1:$O$100,10,FALSE)/100</f>
        <v>2.18E-2</v>
      </c>
      <c r="J27" s="2">
        <f>VLOOKUP(A27,[108]WRDS!$A$1:$O$100,9,FALSE)/100</f>
        <v>2.0499999999999997E-2</v>
      </c>
      <c r="K27" s="2">
        <f t="shared" si="1"/>
        <v>1.6421591687568062</v>
      </c>
      <c r="L27" s="2">
        <f t="shared" si="2"/>
        <v>1.6038652733722258</v>
      </c>
      <c r="M27">
        <f>VLOOKUP(A27,[108]WRDS!$A$1:$O$100,8,FALSE)</f>
        <v>6</v>
      </c>
      <c r="N27">
        <f>VLOOKUP(A27,[108]WRDS!$A$1:$O$100,11,FALSE)</f>
        <v>1.17</v>
      </c>
    </row>
    <row r="28" spans="1:14" x14ac:dyDescent="0.3">
      <c r="A28" t="s">
        <v>52</v>
      </c>
      <c r="B28" t="str">
        <f>VLOOKUP(A28,[107]WRDS!$A$1:$N$100,2,FALSE)</f>
        <v>SCG</v>
      </c>
      <c r="C28" t="str">
        <f>VLOOKUP(A28,[107]WRDS!$A$1:$N$100,3,FALSE)</f>
        <v>SCANA CP</v>
      </c>
      <c r="D28">
        <f>VLOOKUP(A28,[107]WRDS!$A$1:$N$100,13,FALSE)</f>
        <v>1.5349999999999999</v>
      </c>
      <c r="E28">
        <f>VLOOKUP(A28,[91]WRDS!$A$1:$N$100,13,FALSE)</f>
        <v>2</v>
      </c>
      <c r="F28" s="1">
        <f t="shared" si="3"/>
        <v>1.7363946969650623</v>
      </c>
      <c r="G28" s="1">
        <f t="shared" si="4"/>
        <v>1.7276560233499998</v>
      </c>
      <c r="H28" s="2">
        <f t="shared" si="0"/>
        <v>6.8391450298390888E-2</v>
      </c>
      <c r="I28" s="2">
        <f>VLOOKUP(A28,[108]WRDS!$A$1:$O$100,10,FALSE)/100</f>
        <v>3.1300000000000001E-2</v>
      </c>
      <c r="J28" s="2">
        <f>VLOOKUP(A28,[108]WRDS!$A$1:$O$100,9,FALSE)/100</f>
        <v>0.03</v>
      </c>
      <c r="K28" s="2">
        <f t="shared" si="1"/>
        <v>-0.54234045537214715</v>
      </c>
      <c r="L28" s="2">
        <f t="shared" si="2"/>
        <v>-0.56134867927042864</v>
      </c>
      <c r="M28">
        <f>VLOOKUP(A28,[108]WRDS!$A$1:$O$100,8,FALSE)</f>
        <v>8</v>
      </c>
      <c r="N28">
        <f>VLOOKUP(A28,[108]WRDS!$A$1:$O$100,11,FALSE)</f>
        <v>0.64</v>
      </c>
    </row>
    <row r="29" spans="1:14" x14ac:dyDescent="0.3">
      <c r="A29" t="s">
        <v>53</v>
      </c>
      <c r="B29" t="str">
        <f>VLOOKUP(A29,[107]WRDS!$A$1:$N$100,2,FALSE)</f>
        <v>SO</v>
      </c>
      <c r="C29" t="str">
        <f>VLOOKUP(A29,[107]WRDS!$A$1:$N$100,3,FALSE)</f>
        <v>SOUTHN CO</v>
      </c>
      <c r="D29">
        <f>VLOOKUP(A29,[107]WRDS!$A$1:$N$100,13,FALSE)</f>
        <v>1.49</v>
      </c>
      <c r="E29">
        <f>VLOOKUP(A29,[91]WRDS!$A$1:$N$100,13,FALSE)</f>
        <v>1.68</v>
      </c>
      <c r="F29" s="1">
        <f t="shared" si="3"/>
        <v>1.7297195039726403</v>
      </c>
      <c r="G29" s="1">
        <f t="shared" si="4"/>
        <v>1.6770081268999999</v>
      </c>
      <c r="H29" s="2">
        <f t="shared" si="0"/>
        <v>3.0459086887255182E-2</v>
      </c>
      <c r="I29" s="2">
        <f>VLOOKUP(A29,[108]WRDS!$A$1:$O$100,10,FALSE)/100</f>
        <v>3.7999999999999999E-2</v>
      </c>
      <c r="J29" s="2">
        <f>VLOOKUP(A29,[108]WRDS!$A$1:$O$100,9,FALSE)/100</f>
        <v>0.03</v>
      </c>
      <c r="K29" s="2">
        <f t="shared" si="1"/>
        <v>0.24757515353817508</v>
      </c>
      <c r="L29" s="2">
        <f t="shared" si="2"/>
        <v>-1.5072247206703904E-2</v>
      </c>
      <c r="M29">
        <f>VLOOKUP(A29,[108]WRDS!$A$1:$O$100,8,FALSE)</f>
        <v>14</v>
      </c>
      <c r="N29">
        <f>VLOOKUP(A29,[108]WRDS!$A$1:$O$100,11,FALSE)</f>
        <v>1.91</v>
      </c>
    </row>
    <row r="30" spans="1:14" x14ac:dyDescent="0.3">
      <c r="A30" t="s">
        <v>75</v>
      </c>
      <c r="B30" t="str">
        <f>VLOOKUP(A30,[107]WRDS!$A$1:$N$100,2,FALSE)</f>
        <v>TE</v>
      </c>
      <c r="C30" t="str">
        <f>VLOOKUP(A30,[107]WRDS!$A$1:$N$100,3,FALSE)</f>
        <v>TECO ENERGY INC</v>
      </c>
      <c r="D30">
        <f>VLOOKUP(A30,[107]WRDS!$A$1:$N$100,13,FALSE)</f>
        <v>1.3</v>
      </c>
      <c r="E30">
        <f>VLOOKUP(A30,[91]WRDS!$A$1:$N$100,13,FALSE)</f>
        <v>1.71</v>
      </c>
      <c r="F30" s="1">
        <f t="shared" si="3"/>
        <v>1.6025488339640215</v>
      </c>
      <c r="G30" s="1">
        <f t="shared" si="4"/>
        <v>1.5801581250000001</v>
      </c>
      <c r="H30" s="2">
        <f t="shared" si="0"/>
        <v>7.0935190445428287E-2</v>
      </c>
      <c r="I30" s="2">
        <f>VLOOKUP(A30,[108]WRDS!$A$1:$O$100,10,FALSE)/100</f>
        <v>5.3699999999999998E-2</v>
      </c>
      <c r="J30" s="2">
        <f>VLOOKUP(A30,[108]WRDS!$A$1:$O$100,9,FALSE)/100</f>
        <v>0.05</v>
      </c>
      <c r="K30" s="2">
        <f t="shared" si="1"/>
        <v>-0.2429709476664848</v>
      </c>
      <c r="L30" s="2">
        <f t="shared" si="2"/>
        <v>-0.29513123618853326</v>
      </c>
      <c r="M30">
        <f>VLOOKUP(A30,[108]WRDS!$A$1:$O$100,8,FALSE)</f>
        <v>12</v>
      </c>
      <c r="N30">
        <f>VLOOKUP(A30,[108]WRDS!$A$1:$O$100,11,FALSE)</f>
        <v>0.93</v>
      </c>
    </row>
    <row r="31" spans="1:14" x14ac:dyDescent="0.3">
      <c r="A31" t="s">
        <v>79</v>
      </c>
      <c r="B31" t="str">
        <f>VLOOKUP(A31,[107]WRDS!$A$1:$N$100,2,FALSE)</f>
        <v>UIL</v>
      </c>
      <c r="C31" t="str">
        <f>VLOOKUP(A31,[107]WRDS!$A$1:$N$100,3,FALSE)</f>
        <v>UTD ILLUM CO</v>
      </c>
      <c r="D31">
        <f>VLOOKUP(A31,[107]WRDS!$A$1:$N$100,13,FALSE)</f>
        <v>2.0579999999999998</v>
      </c>
      <c r="E31">
        <f>VLOOKUP(A31,[91]WRDS!$A$1:$N$100,13,FALSE)</f>
        <v>2.1840000000000002</v>
      </c>
      <c r="F31" s="1">
        <f t="shared" si="3"/>
        <v>2.3799092445193368</v>
      </c>
      <c r="G31" s="1">
        <f t="shared" si="4"/>
        <v>2.4075689164800003</v>
      </c>
      <c r="H31" s="2">
        <f t="shared" si="0"/>
        <v>1.4966751807873546E-2</v>
      </c>
      <c r="I31" s="2">
        <f>VLOOKUP(A31,[108]WRDS!$A$1:$O$100,10,FALSE)/100</f>
        <v>3.7000000000000005E-2</v>
      </c>
      <c r="J31" s="2">
        <f>VLOOKUP(A31,[108]WRDS!$A$1:$O$100,9,FALSE)/100</f>
        <v>0.04</v>
      </c>
      <c r="K31" s="2">
        <f t="shared" si="1"/>
        <v>1.4721462929942786</v>
      </c>
      <c r="L31" s="2">
        <f t="shared" si="2"/>
        <v>1.6725905870208415</v>
      </c>
      <c r="M31">
        <f>VLOOKUP(A31,[108]WRDS!$A$1:$O$100,8,FALSE)</f>
        <v>5</v>
      </c>
      <c r="N31">
        <f>VLOOKUP(A31,[108]WRDS!$A$1:$O$100,11,FALSE)</f>
        <v>1.48</v>
      </c>
    </row>
    <row r="32" spans="1:14" x14ac:dyDescent="0.3">
      <c r="A32" t="s">
        <v>55</v>
      </c>
      <c r="B32" t="str">
        <f>VLOOKUP(A32,[107]WRDS!$A$1:$N$100,2,FALSE)</f>
        <v>WPC</v>
      </c>
      <c r="C32" t="str">
        <f>VLOOKUP(A32,[107]WRDS!$A$1:$N$100,3,FALSE)</f>
        <v>WISCONSIN ENERGY</v>
      </c>
      <c r="D32">
        <f>VLOOKUP(A32,[107]WRDS!$A$1:$N$100,13,FALSE)</f>
        <v>0.83499999999999996</v>
      </c>
      <c r="E32">
        <f>VLOOKUP(A32,[91]WRDS!$A$1:$N$100,13,FALSE)</f>
        <v>0.98499999999999999</v>
      </c>
      <c r="F32" s="1">
        <f t="shared" si="3"/>
        <v>0.98247967030362748</v>
      </c>
      <c r="G32" s="1">
        <f t="shared" si="4"/>
        <v>0.99194700422016002</v>
      </c>
      <c r="H32" s="2">
        <f t="shared" si="0"/>
        <v>4.2167291678385066E-2</v>
      </c>
      <c r="I32" s="2">
        <f>VLOOKUP(A32,[108]WRDS!$A$1:$O$100,10,FALSE)/100</f>
        <v>4.1500000000000002E-2</v>
      </c>
      <c r="J32" s="2">
        <f>VLOOKUP(A32,[108]WRDS!$A$1:$O$100,9,FALSE)/100</f>
        <v>4.4000000000000004E-2</v>
      </c>
      <c r="K32" s="2">
        <f t="shared" si="1"/>
        <v>-1.5824864529469348E-2</v>
      </c>
      <c r="L32" s="2">
        <f t="shared" si="2"/>
        <v>4.3462794233815681E-2</v>
      </c>
      <c r="M32">
        <f>VLOOKUP(A32,[108]WRDS!$A$1:$O$100,8,FALSE)</f>
        <v>15</v>
      </c>
      <c r="N32">
        <f>VLOOKUP(A32,[108]WRDS!$A$1:$O$100,11,FALSE)</f>
        <v>1.24</v>
      </c>
    </row>
    <row r="33" spans="1:14" x14ac:dyDescent="0.3">
      <c r="A33" t="s">
        <v>64</v>
      </c>
      <c r="B33" t="str">
        <f>VLOOKUP(A33,[107]WRDS!$A$1:$N$100,2,FALSE)</f>
        <v>KAN</v>
      </c>
      <c r="C33" t="str">
        <f>VLOOKUP(A33,[107]WRDS!$A$1:$N$100,3,FALSE)</f>
        <v>WESTN RESOURCES</v>
      </c>
      <c r="D33">
        <f>VLOOKUP(A33,[107]WRDS!$A$1:$N$100,13,FALSE)</f>
        <v>2.2000000000000002</v>
      </c>
      <c r="E33">
        <f>VLOOKUP(A33,[91]WRDS!$A$1:$N$100,13,FALSE)</f>
        <v>2.6</v>
      </c>
      <c r="F33" s="1">
        <f t="shared" si="3"/>
        <v>2.7826934914461381</v>
      </c>
      <c r="G33" s="1">
        <f t="shared" si="4"/>
        <v>2.6741137500000001</v>
      </c>
      <c r="H33" s="2">
        <f t="shared" si="0"/>
        <v>4.264788543842446E-2</v>
      </c>
      <c r="I33" s="2">
        <f>VLOOKUP(A33,[108]WRDS!$A$1:$O$100,10,FALSE)/100</f>
        <v>6.0499999999999998E-2</v>
      </c>
      <c r="J33" s="2">
        <f>VLOOKUP(A33,[108]WRDS!$A$1:$O$100,9,FALSE)/100</f>
        <v>0.05</v>
      </c>
      <c r="K33" s="2">
        <f t="shared" si="1"/>
        <v>0.41859319349726354</v>
      </c>
      <c r="L33" s="2">
        <f t="shared" si="2"/>
        <v>0.17239106900600304</v>
      </c>
      <c r="M33">
        <f>VLOOKUP(A33,[108]WRDS!$A$1:$O$100,8,FALSE)</f>
        <v>10</v>
      </c>
      <c r="N33">
        <f>VLOOKUP(A33,[108]WRDS!$A$1:$O$100,11,FALSE)</f>
        <v>3.17</v>
      </c>
    </row>
    <row r="34" spans="1:14" x14ac:dyDescent="0.3">
      <c r="A34" t="s">
        <v>132</v>
      </c>
      <c r="B34" t="str">
        <f>VLOOKUP(A34,'[5]Ticker List'!$H$4:$I$20,2,FALSE)</f>
        <v>EGAS</v>
      </c>
      <c r="C34" t="str">
        <f>VLOOKUP(A34,[109]n23hiuisxfitqcvf!$B$1:$N$12,2,FALSE)</f>
        <v>ATMOS ENERGY CP</v>
      </c>
      <c r="D34">
        <f>VLOOKUP(A34,[109]n23hiuisxfitqcvf!$B$1:$N$12,12,FALSE)</f>
        <v>1.48</v>
      </c>
      <c r="E34">
        <f>VLOOKUP(A34,[93]elb6lsq2xczghsvs!$B$1:$N$13,12,FALSE)</f>
        <v>1.34</v>
      </c>
      <c r="F34" s="1">
        <f t="shared" si="3"/>
        <v>1.9949445585578116</v>
      </c>
      <c r="G34" s="1">
        <f t="shared" si="4"/>
        <v>1.9949445585578116</v>
      </c>
      <c r="H34" s="2">
        <f t="shared" si="0"/>
        <v>-2.4537067841453819E-2</v>
      </c>
      <c r="I34" s="2">
        <f>VLOOKUP(A34,[110]nhjwdycqi5urzji7!$B$1:$N$11,9,FALSE)/100</f>
        <v>7.7499999999999999E-2</v>
      </c>
      <c r="J34" s="2">
        <f>VLOOKUP(A34,[110]nhjwdycqi5urzji7!$B$1:$N$11,8,FALSE)/100</f>
        <v>7.7499999999999999E-2</v>
      </c>
      <c r="K34" s="2">
        <f t="shared" si="1"/>
        <v>4.1584866007937862</v>
      </c>
      <c r="L34" s="2">
        <f t="shared" si="2"/>
        <v>4.1584866007937862</v>
      </c>
      <c r="M34">
        <f>VLOOKUP(A34,[110]nhjwdycqi5urzji7!$B$1:$N$11,7,FALSE)</f>
        <v>2</v>
      </c>
      <c r="N34">
        <f>VLOOKUP(A34,[110]nhjwdycqi5urzji7!$B$1:$N$11,10,FALSE)</f>
        <v>5.3</v>
      </c>
    </row>
    <row r="35" spans="1:14" x14ac:dyDescent="0.3">
      <c r="A35" t="s">
        <v>134</v>
      </c>
      <c r="B35" t="str">
        <f>VLOOKUP(A35,'[5]Ticker List'!$H$4:$I$20,2,FALSE)</f>
        <v>NJR</v>
      </c>
      <c r="C35" t="str">
        <f>VLOOKUP(A35,[109]n23hiuisxfitqcvf!$B$1:$N$12,2,FALSE)</f>
        <v>NEW JERSEY RES</v>
      </c>
      <c r="D35">
        <f>VLOOKUP(A35,[109]n23hiuisxfitqcvf!$B$1:$N$12,12,FALSE)</f>
        <v>0.38669999999999999</v>
      </c>
      <c r="E35">
        <f>VLOOKUP(A35,[93]elb6lsq2xczghsvs!$B$1:$N$13,12,FALSE)</f>
        <v>0.49109999999999998</v>
      </c>
      <c r="F35" s="1">
        <f t="shared" si="3"/>
        <v>0.54186331990917136</v>
      </c>
      <c r="G35" s="1">
        <f t="shared" si="4"/>
        <v>0.50688481706699995</v>
      </c>
      <c r="H35" s="2">
        <f t="shared" si="0"/>
        <v>6.1570742252949007E-2</v>
      </c>
      <c r="I35" s="2">
        <f>VLOOKUP(A35,[110]nhjwdycqi5urzji7!$B$1:$N$11,9,FALSE)/100</f>
        <v>8.8000000000000009E-2</v>
      </c>
      <c r="J35" s="2">
        <f>VLOOKUP(A35,[110]nhjwdycqi5urzji7!$B$1:$N$11,8,FALSE)/100</f>
        <v>7.0000000000000007E-2</v>
      </c>
      <c r="K35" s="2">
        <f t="shared" si="1"/>
        <v>0.42925027017658113</v>
      </c>
      <c r="L35" s="2">
        <f t="shared" si="2"/>
        <v>0.13690362400409864</v>
      </c>
      <c r="M35">
        <f>VLOOKUP(A35,[110]nhjwdycqi5urzji7!$B$1:$N$11,7,FALSE)</f>
        <v>5</v>
      </c>
      <c r="N35">
        <f>VLOOKUP(A35,[110]nhjwdycqi5urzji7!$B$1:$N$11,10,FALSE)</f>
        <v>6.83</v>
      </c>
    </row>
    <row r="36" spans="1:14" x14ac:dyDescent="0.3">
      <c r="A36" t="s">
        <v>135</v>
      </c>
      <c r="B36" t="str">
        <f>VLOOKUP(A36,'[5]Ticker List'!$H$4:$I$20,2,FALSE)</f>
        <v>NI</v>
      </c>
      <c r="C36" t="str">
        <f>VLOOKUP(A36,[109]n23hiuisxfitqcvf!$B$1:$N$12,2,FALSE)</f>
        <v>NIPSCO IND INC</v>
      </c>
      <c r="D36">
        <f>VLOOKUP(A36,[109]n23hiuisxfitqcvf!$B$1:$N$12,12,FALSE)</f>
        <v>0.995</v>
      </c>
      <c r="E36">
        <f>VLOOKUP(A36,[93]elb6lsq2xczghsvs!$B$1:$N$13,12,FALSE)</f>
        <v>1.4350000000000001</v>
      </c>
      <c r="F36" s="1">
        <f t="shared" si="3"/>
        <v>1.2391864355671087</v>
      </c>
      <c r="G36" s="1">
        <f t="shared" si="4"/>
        <v>1.2561645752000004</v>
      </c>
      <c r="H36" s="2">
        <f t="shared" si="0"/>
        <v>9.5865374788223878E-2</v>
      </c>
      <c r="I36" s="2">
        <f>VLOOKUP(A36,[110]nhjwdycqi5urzji7!$B$1:$N$11,9,FALSE)/100</f>
        <v>5.6399999999999999E-2</v>
      </c>
      <c r="J36" s="2">
        <f>VLOOKUP(A36,[110]nhjwdycqi5urzji7!$B$1:$N$11,8,FALSE)/100</f>
        <v>0.06</v>
      </c>
      <c r="K36" s="2">
        <f t="shared" si="1"/>
        <v>-0.41167496476602533</v>
      </c>
      <c r="L36" s="2">
        <f t="shared" si="2"/>
        <v>-0.37412230294258014</v>
      </c>
      <c r="M36">
        <f>VLOOKUP(A36,[110]nhjwdycqi5urzji7!$B$1:$N$11,7,FALSE)</f>
        <v>13</v>
      </c>
      <c r="N36">
        <f>VLOOKUP(A36,[110]nhjwdycqi5urzji7!$B$1:$N$11,10,FALSE)</f>
        <v>2.15</v>
      </c>
    </row>
    <row r="37" spans="1:14" x14ac:dyDescent="0.3">
      <c r="A37" t="s">
        <v>138</v>
      </c>
      <c r="B37" t="str">
        <f>VLOOKUP(A37,'[5]Ticker List'!$H$4:$I$20,2,FALSE)</f>
        <v>SJI</v>
      </c>
      <c r="C37" t="str">
        <f>VLOOKUP(A37,[109]n23hiuisxfitqcvf!$B$1:$N$12,2,FALSE)</f>
        <v>SO JERSEY INDS</v>
      </c>
      <c r="D37">
        <f>VLOOKUP(A37,[109]n23hiuisxfitqcvf!$B$1:$N$12,12,FALSE)</f>
        <v>0.40450000000000003</v>
      </c>
      <c r="E37">
        <f>VLOOKUP(A37,[93]elb6lsq2xczghsvs!$B$1:$N$13,12,FALSE)</f>
        <v>0.4375</v>
      </c>
      <c r="F37" s="1">
        <f t="shared" si="3"/>
        <v>0.47320778752000014</v>
      </c>
      <c r="G37" s="1">
        <f t="shared" si="4"/>
        <v>0.47320778752000014</v>
      </c>
      <c r="H37" s="2">
        <f t="shared" si="0"/>
        <v>1.9799706997084554E-2</v>
      </c>
      <c r="I37" s="2">
        <f>VLOOKUP(A37,[110]nhjwdycqi5urzji7!$B$1:$N$11,9,FALSE)/100</f>
        <v>0.04</v>
      </c>
      <c r="J37" s="2">
        <f>VLOOKUP(A37,[110]nhjwdycqi5urzji7!$B$1:$N$11,8,FALSE)/100</f>
        <v>0.04</v>
      </c>
      <c r="K37" s="2">
        <f t="shared" si="1"/>
        <v>1.0202319158505668</v>
      </c>
      <c r="L37" s="2">
        <f t="shared" si="2"/>
        <v>1.0202319158505668</v>
      </c>
      <c r="M37">
        <f>VLOOKUP(A37,[110]nhjwdycqi5urzji7!$B$1:$N$11,7,FALSE)</f>
        <v>1</v>
      </c>
      <c r="N37">
        <f>VLOOKUP(A37,[110]nhjwdycqi5urzji7!$B$1:$N$11,10,FALSE)</f>
        <v>0</v>
      </c>
    </row>
    <row r="38" spans="1:14" x14ac:dyDescent="0.3">
      <c r="A38" t="s">
        <v>139</v>
      </c>
      <c r="B38" t="str">
        <f>VLOOKUP(A38,'[5]Ticker List'!$H$4:$I$20,2,FALSE)</f>
        <v>SWX</v>
      </c>
      <c r="C38" t="str">
        <f>VLOOKUP(A38,[109]n23hiuisxfitqcvf!$B$1:$N$12,2,FALSE)</f>
        <v>SOUTHWEST GAS</v>
      </c>
      <c r="D38">
        <f>VLOOKUP(A38,[109]n23hiuisxfitqcvf!$B$1:$N$12,12,FALSE)</f>
        <v>0.81</v>
      </c>
      <c r="E38">
        <f>VLOOKUP(A38,[93]elb6lsq2xczghsvs!$B$1:$N$13,12,FALSE)</f>
        <v>0.28000000000000003</v>
      </c>
      <c r="F38" s="1">
        <f t="shared" si="3"/>
        <v>1.16450537000625</v>
      </c>
      <c r="G38" s="1">
        <f t="shared" si="4"/>
        <v>1.16450537000625</v>
      </c>
      <c r="H38" s="2">
        <f t="shared" si="0"/>
        <v>-0.23322445540293124</v>
      </c>
      <c r="I38" s="2">
        <f>VLOOKUP(A38,[110]nhjwdycqi5urzji7!$B$1:$N$11,9,FALSE)/100</f>
        <v>9.5000000000000001E-2</v>
      </c>
      <c r="J38" s="2">
        <f>VLOOKUP(A38,[110]nhjwdycqi5urzji7!$B$1:$N$11,8,FALSE)/100</f>
        <v>9.5000000000000001E-2</v>
      </c>
      <c r="K38" s="2">
        <f t="shared" si="1"/>
        <v>1.4073329267116212</v>
      </c>
      <c r="L38" s="2">
        <f t="shared" si="2"/>
        <v>1.4073329267116212</v>
      </c>
      <c r="M38">
        <f>VLOOKUP(A38,[110]nhjwdycqi5urzji7!$B$1:$N$11,7,FALSE)</f>
        <v>2</v>
      </c>
      <c r="N38">
        <f>VLOOKUP(A38,[110]nhjwdycqi5urzji7!$B$1:$N$11,10,FALSE)</f>
        <v>6.36</v>
      </c>
    </row>
    <row r="39" spans="1:14" x14ac:dyDescent="0.3">
      <c r="A39" t="s">
        <v>148</v>
      </c>
      <c r="B39" t="str">
        <f>VLOOKUP(A39,'[5]Ticker List'!$H$4:$I$20,2,FALSE)</f>
        <v>AGLT</v>
      </c>
      <c r="C39" t="str">
        <f>VLOOKUP(A39,[109]n23hiuisxfitqcvf!$B$1:$N$12,2,FALSE)</f>
        <v>ATLANTA GAS LT</v>
      </c>
      <c r="D39">
        <f>VLOOKUP(A39,[109]n23hiuisxfitqcvf!$B$1:$N$12,12,FALSE)</f>
        <v>1.0900000000000001</v>
      </c>
      <c r="E39">
        <f>VLOOKUP(A39,[93]elb6lsq2xczghsvs!$B$1:$N$13,12,FALSE)</f>
        <v>1.38</v>
      </c>
      <c r="F39" s="1">
        <f t="shared" si="3"/>
        <v>1.3901741872046396</v>
      </c>
      <c r="G39" s="1">
        <f t="shared" si="4"/>
        <v>1.4287676509</v>
      </c>
      <c r="H39" s="2">
        <f t="shared" si="0"/>
        <v>6.0750260553876778E-2</v>
      </c>
      <c r="I39" s="2">
        <f>VLOOKUP(A39,[110]nhjwdycqi5urzji7!$B$1:$N$11,9,FALSE)/100</f>
        <v>6.2699999999999992E-2</v>
      </c>
      <c r="J39" s="2">
        <f>VLOOKUP(A39,[110]nhjwdycqi5urzji7!$B$1:$N$11,8,FALSE)/100</f>
        <v>7.0000000000000007E-2</v>
      </c>
      <c r="K39" s="2">
        <f t="shared" si="1"/>
        <v>3.2094338828293156E-2</v>
      </c>
      <c r="L39" s="2">
        <f t="shared" si="2"/>
        <v>0.15225843250367682</v>
      </c>
      <c r="M39">
        <f>VLOOKUP(A39,[110]nhjwdycqi5urzji7!$B$1:$N$11,7,FALSE)</f>
        <v>11</v>
      </c>
      <c r="N39">
        <f>VLOOKUP(A39,[110]nhjwdycqi5urzji7!$B$1:$N$11,10,FALSE)</f>
        <v>1.95</v>
      </c>
    </row>
    <row r="40" spans="1:14" x14ac:dyDescent="0.3">
      <c r="A40" t="s">
        <v>144</v>
      </c>
      <c r="B40" t="str">
        <f>VLOOKUP(A40,'[5]Ticker List'!$H$4:$I$20,2,FALSE)</f>
        <v>GAS</v>
      </c>
      <c r="C40" t="str">
        <f>VLOOKUP(A40,[109]n23hiuisxfitqcvf!$B$1:$N$12,2,FALSE)</f>
        <v>NICOR INC</v>
      </c>
      <c r="D40">
        <f>VLOOKUP(A40,[109]n23hiuisxfitqcvf!$B$1:$N$12,12,FALSE)</f>
        <v>1.91</v>
      </c>
      <c r="E40">
        <f>VLOOKUP(A40,[93]elb6lsq2xczghsvs!$B$1:$N$13,12,FALSE)</f>
        <v>2.41</v>
      </c>
      <c r="F40" s="1">
        <f t="shared" si="3"/>
        <v>2.3661550826937496</v>
      </c>
      <c r="G40" s="1">
        <f t="shared" si="4"/>
        <v>2.3661550826937496</v>
      </c>
      <c r="H40" s="2">
        <f t="shared" si="0"/>
        <v>5.9853696428754599E-2</v>
      </c>
      <c r="I40" s="2">
        <f>VLOOKUP(A40,[110]nhjwdycqi5urzji7!$B$1:$N$11,9,FALSE)/100</f>
        <v>5.5E-2</v>
      </c>
      <c r="J40" s="2">
        <f>VLOOKUP(A40,[110]nhjwdycqi5urzji7!$B$1:$N$11,8,FALSE)/100</f>
        <v>5.5E-2</v>
      </c>
      <c r="K40" s="2">
        <f t="shared" si="1"/>
        <v>-8.109267628160742E-2</v>
      </c>
      <c r="L40" s="2">
        <f t="shared" si="2"/>
        <v>-8.109267628160742E-2</v>
      </c>
      <c r="M40">
        <f>VLOOKUP(A40,[110]nhjwdycqi5urzji7!$B$1:$N$11,7,FALSE)</f>
        <v>6</v>
      </c>
      <c r="N40">
        <f>VLOOKUP(A40,[110]nhjwdycqi5urzji7!$B$1:$N$11,10,FALSE)</f>
        <v>1.38</v>
      </c>
    </row>
    <row r="41" spans="1:14" x14ac:dyDescent="0.3">
      <c r="A41" t="s">
        <v>146</v>
      </c>
      <c r="B41" t="str">
        <f>VLOOKUP(A41,'[5]Ticker List'!$H$4:$I$20,2,FALSE)</f>
        <v>PNY</v>
      </c>
      <c r="C41" t="str">
        <f>VLOOKUP(A41,[109]n23hiuisxfitqcvf!$B$1:$N$12,2,FALSE)</f>
        <v>PIEDMONT NAT GAS</v>
      </c>
      <c r="D41">
        <f>VLOOKUP(A41,[109]n23hiuisxfitqcvf!$B$1:$N$12,12,FALSE)</f>
        <v>0.72750000000000004</v>
      </c>
      <c r="E41">
        <f>VLOOKUP(A41,[93]elb6lsq2xczghsvs!$B$1:$N$13,12,FALSE)</f>
        <v>0.90500000000000003</v>
      </c>
      <c r="F41" s="1">
        <f t="shared" si="3"/>
        <v>0.98975571840000032</v>
      </c>
      <c r="G41" s="1">
        <f t="shared" si="4"/>
        <v>1.0269256212750002</v>
      </c>
      <c r="H41" s="2">
        <f t="shared" si="0"/>
        <v>5.6097210202825654E-2</v>
      </c>
      <c r="I41" s="2">
        <f>VLOOKUP(A41,[110]nhjwdycqi5urzji7!$B$1:$N$11,9,FALSE)/100</f>
        <v>0.08</v>
      </c>
      <c r="J41" s="2">
        <f>VLOOKUP(A41,[110]nhjwdycqi5urzji7!$B$1:$N$11,8,FALSE)/100</f>
        <v>0.09</v>
      </c>
      <c r="K41" s="2">
        <f t="shared" si="1"/>
        <v>0.4260958737654007</v>
      </c>
      <c r="L41" s="2">
        <f t="shared" si="2"/>
        <v>0.60435785798607566</v>
      </c>
      <c r="M41">
        <f>VLOOKUP(A41,[110]nhjwdycqi5urzji7!$B$1:$N$11,7,FALSE)</f>
        <v>6</v>
      </c>
      <c r="N41">
        <f>VLOOKUP(A41,[110]nhjwdycqi5urzji7!$B$1:$N$11,10,FALSE)</f>
        <v>2.4500000000000002</v>
      </c>
    </row>
    <row r="42" spans="1:14" x14ac:dyDescent="0.3">
      <c r="A42" t="s">
        <v>145</v>
      </c>
      <c r="B42" t="str">
        <f>VLOOKUP(A42,'[5]Ticker List'!$H$4:$I$20,2,FALSE)</f>
        <v>WGL</v>
      </c>
      <c r="C42" t="str">
        <f>VLOOKUP(A42,[109]n23hiuisxfitqcvf!$B$1:$N$12,2,FALSE)</f>
        <v>WASH GAS LT</v>
      </c>
      <c r="D42">
        <f>VLOOKUP(A42,[109]n23hiuisxfitqcvf!$B$1:$N$12,12,FALSE)</f>
        <v>1.325</v>
      </c>
      <c r="E42">
        <f>VLOOKUP(A42,[93]elb6lsq2xczghsvs!$B$1:$N$13,12,FALSE)</f>
        <v>1.85</v>
      </c>
      <c r="F42" s="1">
        <f t="shared" si="3"/>
        <v>1.5758576715883748</v>
      </c>
      <c r="G42" s="1">
        <f t="shared" si="4"/>
        <v>1.6105457812499999</v>
      </c>
      <c r="H42" s="2">
        <f t="shared" si="0"/>
        <v>8.7023573778891139E-2</v>
      </c>
      <c r="I42" s="2">
        <f>VLOOKUP(A42,[110]nhjwdycqi5urzji7!$B$1:$N$11,9,FALSE)/100</f>
        <v>4.4299999999999999E-2</v>
      </c>
      <c r="J42" s="2">
        <f>VLOOKUP(A42,[110]nhjwdycqi5urzji7!$B$1:$N$11,8,FALSE)/100</f>
        <v>0.05</v>
      </c>
      <c r="K42" s="2">
        <f t="shared" si="1"/>
        <v>-0.49094253342712496</v>
      </c>
      <c r="L42" s="2">
        <f t="shared" si="2"/>
        <v>-0.42544303998546834</v>
      </c>
      <c r="M42">
        <f>VLOOKUP(A42,[110]nhjwdycqi5urzji7!$B$1:$N$11,7,FALSE)</f>
        <v>7</v>
      </c>
      <c r="N42">
        <f>VLOOKUP(A42,[110]nhjwdycqi5urzji7!$B$1:$N$11,10,FALSE)</f>
        <v>1.1299999999999999</v>
      </c>
    </row>
    <row r="43" spans="1:14" x14ac:dyDescent="0.3">
      <c r="A43" t="s">
        <v>149</v>
      </c>
      <c r="B43" t="str">
        <f>VLOOKUP(A43,'[5]Ticker List'!$H$4:$I$20,2,FALSE)</f>
        <v>CGC</v>
      </c>
      <c r="C43" t="str">
        <f>VLOOKUP(A43,[109]n23hiuisxfitqcvf!$B$1:$N$12,2,FALSE)</f>
        <v>CASCADE NAT GAS</v>
      </c>
      <c r="D43">
        <f>VLOOKUP(A43,[109]n23hiuisxfitqcvf!$B$1:$N$12,12,FALSE)</f>
        <v>0.60670000000000002</v>
      </c>
      <c r="E43">
        <f>VLOOKUP(A43,[93]elb6lsq2xczghsvs!$B$1:$N$13,12,FALSE)</f>
        <v>0.97</v>
      </c>
      <c r="F43" s="1">
        <f t="shared" si="3"/>
        <v>0.76594477163200025</v>
      </c>
      <c r="G43" s="1">
        <f t="shared" si="4"/>
        <v>0.76594477163200025</v>
      </c>
      <c r="H43" s="2">
        <f t="shared" si="0"/>
        <v>0.12447404315129407</v>
      </c>
      <c r="I43" s="2">
        <f>VLOOKUP(A43,[110]nhjwdycqi5urzji7!$B$1:$N$11,9,FALSE)/100</f>
        <v>0.06</v>
      </c>
      <c r="J43" s="2">
        <f>VLOOKUP(A43,[110]nhjwdycqi5urzji7!$B$1:$N$11,8,FALSE)/100</f>
        <v>0.06</v>
      </c>
      <c r="K43" s="2">
        <f t="shared" si="1"/>
        <v>-0.51797179170060392</v>
      </c>
      <c r="L43" s="2">
        <f t="shared" si="2"/>
        <v>-0.51797179170060392</v>
      </c>
      <c r="M43">
        <f>VLOOKUP(A43,[110]nhjwdycqi5urzji7!$B$1:$N$11,7,FALSE)</f>
        <v>2</v>
      </c>
      <c r="N43">
        <f>VLOOKUP(A43,[110]nhjwdycqi5urzji7!$B$1:$N$11,10,FALSE)</f>
        <v>2.83</v>
      </c>
    </row>
  </sheetData>
  <mergeCells count="3">
    <mergeCell ref="P1:Q1"/>
    <mergeCell ref="P7:Q7"/>
    <mergeCell ref="P13:Q13"/>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DFB16-E502-407B-8A00-07A51CCEAD63}">
  <dimension ref="A1:Q42"/>
  <sheetViews>
    <sheetView workbookViewId="0">
      <selection activeCell="A33" sqref="A33"/>
    </sheetView>
  </sheetViews>
  <sheetFormatPr defaultRowHeight="14.4" x14ac:dyDescent="0.3"/>
  <cols>
    <col min="1" max="1" width="13.33203125" bestFit="1" customWidth="1"/>
    <col min="2" max="2" width="10.44140625" bestFit="1" customWidth="1"/>
    <col min="3" max="3" width="15.109375" bestFit="1" customWidth="1"/>
    <col min="4" max="5" width="15.44140625" bestFit="1" customWidth="1"/>
    <col min="6" max="6" width="14.33203125" bestFit="1" customWidth="1"/>
    <col min="7" max="7" width="16" bestFit="1" customWidth="1"/>
    <col min="8" max="8" width="18.33203125" bestFit="1" customWidth="1"/>
    <col min="9" max="9" width="21.44140625" bestFit="1" customWidth="1"/>
    <col min="10" max="10" width="23.109375" bestFit="1" customWidth="1"/>
    <col min="11" max="11" width="22" bestFit="1" customWidth="1"/>
    <col min="12" max="12" width="24.109375" bestFit="1" customWidth="1"/>
    <col min="13" max="13" width="19.88671875" bestFit="1" customWidth="1"/>
    <col min="14" max="14" width="8.33203125" bestFit="1" customWidth="1"/>
    <col min="16" max="16" width="51.88671875" bestFit="1" customWidth="1"/>
  </cols>
  <sheetData>
    <row r="1" spans="1:17" x14ac:dyDescent="0.3">
      <c r="A1" t="s">
        <v>0</v>
      </c>
      <c r="B1" t="s">
        <v>1</v>
      </c>
      <c r="C1" t="s">
        <v>2</v>
      </c>
      <c r="D1" t="s">
        <v>106</v>
      </c>
      <c r="E1" t="s">
        <v>102</v>
      </c>
      <c r="F1" t="s">
        <v>5</v>
      </c>
      <c r="G1" t="s">
        <v>6</v>
      </c>
      <c r="H1" t="s">
        <v>7</v>
      </c>
      <c r="I1" t="s">
        <v>8</v>
      </c>
      <c r="J1" t="s">
        <v>9</v>
      </c>
      <c r="K1" t="s">
        <v>10</v>
      </c>
      <c r="L1" t="s">
        <v>11</v>
      </c>
      <c r="M1" t="s">
        <v>12</v>
      </c>
      <c r="N1" t="s">
        <v>13</v>
      </c>
      <c r="P1" s="111" t="s">
        <v>14</v>
      </c>
      <c r="Q1" s="111"/>
    </row>
    <row r="2" spans="1:17" x14ac:dyDescent="0.3">
      <c r="A2" t="s">
        <v>19</v>
      </c>
      <c r="B2" t="str">
        <f>VLOOKUP(A2,[111]WRDS!$A$1:$N$100,2,FALSE)</f>
        <v>BHP</v>
      </c>
      <c r="C2" t="str">
        <f>VLOOKUP(A2,[111]WRDS!$A$1:$N$100,3,FALSE)</f>
        <v>BLACK HILLS CORP</v>
      </c>
      <c r="D2">
        <f>VLOOKUP(A2,[111]WRDS!$A$1:$N$100,13,FALSE)</f>
        <v>1.1113</v>
      </c>
      <c r="E2">
        <f>VLOOKUP(A2,[95]WRDS!$A$1:$N$100,13,FALSE)</f>
        <v>1.1867000000000001</v>
      </c>
      <c r="F2" s="1">
        <f>D2*(1+I2)^4</f>
        <v>1.3507920956249999</v>
      </c>
      <c r="G2" s="1">
        <f>D2*(1+J2)^4</f>
        <v>1.3000638177280002</v>
      </c>
      <c r="H2" s="2">
        <f t="shared" ref="H2:H42" si="0">((E2/D2)^(1/4)-1)</f>
        <v>1.6546868880147558E-2</v>
      </c>
      <c r="I2" s="2">
        <f>VLOOKUP(A2,[112]WRDS!$A$1:$O$100,10,FALSE)/100</f>
        <v>0.05</v>
      </c>
      <c r="J2" s="2">
        <f>VLOOKUP(A2,[112]WRDS!$A$1:$O$100,9,FALSE)/100</f>
        <v>0.04</v>
      </c>
      <c r="K2" s="2">
        <f t="shared" ref="K2:K42" si="1">(I2-H2)/(ABS(H2))</f>
        <v>2.0217197200364909</v>
      </c>
      <c r="L2" s="2">
        <f t="shared" ref="L2:L42" si="2">(J2-H2)/(ABS(H2))</f>
        <v>1.4173757760291925</v>
      </c>
      <c r="M2">
        <f>VLOOKUP(A2,[112]WRDS!$A$1:$O$100,8,FALSE)</f>
        <v>3</v>
      </c>
      <c r="N2">
        <f>VLOOKUP(A2,[112]WRDS!$A$1:$O$100,11,FALSE)</f>
        <v>1.73</v>
      </c>
      <c r="P2" t="s">
        <v>16</v>
      </c>
      <c r="Q2" s="3">
        <f>AVERAGE(H2:H999)</f>
        <v>5.6261009870046466E-2</v>
      </c>
    </row>
    <row r="3" spans="1:17" x14ac:dyDescent="0.3">
      <c r="A3" t="s">
        <v>88</v>
      </c>
      <c r="B3" t="str">
        <f>VLOOKUP(A3,[111]WRDS!$A$1:$N$100,2,FALSE)</f>
        <v>CIN</v>
      </c>
      <c r="C3" t="str">
        <f>VLOOKUP(A3,[111]WRDS!$A$1:$N$100,3,FALSE)</f>
        <v>CINN GAS &amp; EL</v>
      </c>
      <c r="D3">
        <f>VLOOKUP(A3,[111]WRDS!$A$1:$N$100,13,FALSE)</f>
        <v>2.2400000000000002</v>
      </c>
      <c r="E3">
        <f>VLOOKUP(A3,[95]WRDS!$A$1:$N$100,13,FALSE)</f>
        <v>2.2200000000000002</v>
      </c>
      <c r="F3" s="1">
        <f t="shared" ref="F3:F42" si="3">D3*(1+I3)^4</f>
        <v>2.4132580496815468</v>
      </c>
      <c r="G3" s="1">
        <f t="shared" ref="G3:G42" si="4">D3*(1+J3)^4</f>
        <v>2.4725408749999995</v>
      </c>
      <c r="H3" s="2">
        <f t="shared" si="0"/>
        <v>-2.2396557157785546E-3</v>
      </c>
      <c r="I3" s="2">
        <f>VLOOKUP(A3,[112]WRDS!$A$1:$O$100,10,FALSE)/100</f>
        <v>1.8799999999999997E-2</v>
      </c>
      <c r="J3" s="2">
        <f>VLOOKUP(A3,[112]WRDS!$A$1:$O$100,9,FALSE)/100</f>
        <v>2.5000000000000001E-2</v>
      </c>
      <c r="K3" s="2">
        <f t="shared" si="1"/>
        <v>9.3941473091388499</v>
      </c>
      <c r="L3" s="2">
        <f t="shared" si="2"/>
        <v>12.162429932365493</v>
      </c>
      <c r="M3">
        <f>VLOOKUP(A3,[112]WRDS!$A$1:$O$100,8,FALSE)</f>
        <v>8</v>
      </c>
      <c r="N3">
        <f>VLOOKUP(A3,[112]WRDS!$A$1:$O$100,11,FALSE)</f>
        <v>2.12</v>
      </c>
      <c r="P3" t="s">
        <v>18</v>
      </c>
      <c r="Q3" s="3">
        <f>AVERAGE(I2:I999)</f>
        <v>4.3963414634146339E-2</v>
      </c>
    </row>
    <row r="4" spans="1:17" x14ac:dyDescent="0.3">
      <c r="A4" t="s">
        <v>21</v>
      </c>
      <c r="B4" t="str">
        <f>VLOOKUP(A4,[111]WRDS!$A$1:$N$100,2,FALSE)</f>
        <v>CMS</v>
      </c>
      <c r="C4" t="str">
        <f>VLOOKUP(A4,[111]WRDS!$A$1:$N$100,3,FALSE)</f>
        <v>CMS ENERGY CORP</v>
      </c>
      <c r="D4">
        <f>VLOOKUP(A4,[111]WRDS!$A$1:$N$100,13,FALSE)</f>
        <v>0.62</v>
      </c>
      <c r="E4">
        <f>VLOOKUP(A4,[95]WRDS!$A$1:$N$100,13,FALSE)</f>
        <v>2.27</v>
      </c>
      <c r="F4" s="1">
        <f t="shared" si="3"/>
        <v>0.67691664919162464</v>
      </c>
      <c r="G4" s="1">
        <f t="shared" si="4"/>
        <v>0.6711079392</v>
      </c>
      <c r="H4" s="2">
        <f t="shared" si="0"/>
        <v>0.38327504440091897</v>
      </c>
      <c r="I4" s="2">
        <f>VLOOKUP(A4,[112]WRDS!$A$1:$O$100,10,FALSE)/100</f>
        <v>2.2200000000000001E-2</v>
      </c>
      <c r="J4" s="2">
        <f>VLOOKUP(A4,[112]WRDS!$A$1:$O$100,9,FALSE)/100</f>
        <v>0.02</v>
      </c>
      <c r="K4" s="2">
        <f t="shared" si="1"/>
        <v>-0.94207814903602738</v>
      </c>
      <c r="L4" s="2">
        <f t="shared" si="2"/>
        <v>-0.94781815228470934</v>
      </c>
      <c r="M4">
        <f>VLOOKUP(A4,[112]WRDS!$A$1:$O$100,8,FALSE)</f>
        <v>9</v>
      </c>
      <c r="N4">
        <f>VLOOKUP(A4,[112]WRDS!$A$1:$O$100,11,FALSE)</f>
        <v>4.63</v>
      </c>
      <c r="P4" t="s">
        <v>20</v>
      </c>
      <c r="Q4" s="3">
        <f>(Q3-Q2)/ABS(Q2)</f>
        <v>-0.21858113219626732</v>
      </c>
    </row>
    <row r="5" spans="1:17" x14ac:dyDescent="0.3">
      <c r="A5" t="s">
        <v>71</v>
      </c>
      <c r="B5" t="str">
        <f>VLOOKUP(A5,[111]WRDS!$A$1:$N$100,2,FALSE)</f>
        <v>CNL</v>
      </c>
      <c r="C5" t="str">
        <f>VLOOKUP(A5,[111]WRDS!$A$1:$N$100,3,FALSE)</f>
        <v>CENT LA ELEC INC</v>
      </c>
      <c r="D5">
        <f>VLOOKUP(A5,[111]WRDS!$A$1:$N$100,13,FALSE)</f>
        <v>0.96</v>
      </c>
      <c r="E5">
        <f>VLOOKUP(A5,[95]WRDS!$A$1:$N$100,13,FALSE)</f>
        <v>1.04</v>
      </c>
      <c r="F5" s="1">
        <f t="shared" si="3"/>
        <v>1.0897494336280182</v>
      </c>
      <c r="G5" s="1">
        <f t="shared" si="4"/>
        <v>1.0910168910374998</v>
      </c>
      <c r="H5" s="2">
        <f t="shared" si="0"/>
        <v>2.0212232691348531E-2</v>
      </c>
      <c r="I5" s="2">
        <f>VLOOKUP(A5,[112]WRDS!$A$1:$O$100,10,FALSE)/100</f>
        <v>3.2199999999999999E-2</v>
      </c>
      <c r="J5" s="2">
        <f>VLOOKUP(A5,[112]WRDS!$A$1:$O$100,9,FALSE)/100</f>
        <v>3.2500000000000001E-2</v>
      </c>
      <c r="K5" s="2">
        <f t="shared" si="1"/>
        <v>0.59309466161957503</v>
      </c>
      <c r="L5" s="2">
        <f t="shared" si="2"/>
        <v>0.60793715846696239</v>
      </c>
      <c r="M5">
        <f>VLOOKUP(A5,[112]WRDS!$A$1:$O$100,8,FALSE)</f>
        <v>4</v>
      </c>
      <c r="N5">
        <f>VLOOKUP(A5,[112]WRDS!$A$1:$O$100,11,FALSE)</f>
        <v>1.79</v>
      </c>
      <c r="P5" t="s">
        <v>22</v>
      </c>
      <c r="Q5" s="3">
        <f>AVERAGE(J2:J999)</f>
        <v>4.2658536585365864E-2</v>
      </c>
    </row>
    <row r="6" spans="1:17" x14ac:dyDescent="0.3">
      <c r="A6" t="s">
        <v>84</v>
      </c>
      <c r="B6" t="str">
        <f>VLOOKUP(A6,[111]WRDS!$A$1:$N$100,2,FALSE)</f>
        <v>CV</v>
      </c>
      <c r="C6" t="str">
        <f>VLOOKUP(A6,[111]WRDS!$A$1:$N$100,3,FALSE)</f>
        <v>CNTRL VT PUB SVC</v>
      </c>
      <c r="D6">
        <f>VLOOKUP(A6,[111]WRDS!$A$1:$N$100,13,FALSE)</f>
        <v>1.66</v>
      </c>
      <c r="E6">
        <f>VLOOKUP(A6,[95]WRDS!$A$1:$N$100,13,FALSE)</f>
        <v>1.87</v>
      </c>
      <c r="F6" s="1">
        <f t="shared" si="3"/>
        <v>1.8997400860041553</v>
      </c>
      <c r="G6" s="1">
        <f t="shared" si="4"/>
        <v>1.8902070303088592</v>
      </c>
      <c r="H6" s="2">
        <f t="shared" si="0"/>
        <v>3.0228072276681672E-2</v>
      </c>
      <c r="I6" s="2">
        <f>VLOOKUP(A6,[112]WRDS!$A$1:$O$100,10,FALSE)/100</f>
        <v>3.4300000000000004E-2</v>
      </c>
      <c r="J6" s="2">
        <f>VLOOKUP(A6,[112]WRDS!$A$1:$O$100,9,FALSE)/100</f>
        <v>3.3000000000000002E-2</v>
      </c>
      <c r="K6" s="2">
        <f t="shared" si="1"/>
        <v>0.13470682768148168</v>
      </c>
      <c r="L6" s="2">
        <f t="shared" si="2"/>
        <v>9.1700446457402121E-2</v>
      </c>
      <c r="M6">
        <f>VLOOKUP(A6,[112]WRDS!$A$1:$O$100,8,FALSE)</f>
        <v>3</v>
      </c>
      <c r="N6">
        <f>VLOOKUP(A6,[112]WRDS!$A$1:$O$100,11,FALSE)</f>
        <v>1.5</v>
      </c>
      <c r="P6" t="s">
        <v>24</v>
      </c>
      <c r="Q6" s="3">
        <f>(Q5-Q2)/ABS(Q2)</f>
        <v>-0.24177442452775097</v>
      </c>
    </row>
    <row r="7" spans="1:17" x14ac:dyDescent="0.3">
      <c r="A7" t="s">
        <v>25</v>
      </c>
      <c r="B7" t="str">
        <f>VLOOKUP(A7,[111]WRDS!$A$1:$N$100,2,FALSE)</f>
        <v>D</v>
      </c>
      <c r="C7" t="str">
        <f>VLOOKUP(A7,[111]WRDS!$A$1:$N$100,3,FALSE)</f>
        <v>DOMINION RES INC</v>
      </c>
      <c r="D7">
        <f>VLOOKUP(A7,[111]WRDS!$A$1:$N$100,13,FALSE)</f>
        <v>1.4730000000000001</v>
      </c>
      <c r="E7">
        <f>VLOOKUP(A7,[95]WRDS!$A$1:$N$100,13,FALSE)</f>
        <v>1.4650000000000001</v>
      </c>
      <c r="F7" s="1">
        <f t="shared" si="3"/>
        <v>1.6942243289648897</v>
      </c>
      <c r="G7" s="1">
        <f t="shared" si="4"/>
        <v>1.6968434192263682</v>
      </c>
      <c r="H7" s="2">
        <f t="shared" si="0"/>
        <v>-1.3605473679397795E-3</v>
      </c>
      <c r="I7" s="2">
        <f>VLOOKUP(A7,[112]WRDS!$A$1:$O$100,10,FALSE)/100</f>
        <v>3.56E-2</v>
      </c>
      <c r="J7" s="2">
        <f>VLOOKUP(A7,[112]WRDS!$A$1:$O$100,9,FALSE)/100</f>
        <v>3.6000000000000004E-2</v>
      </c>
      <c r="K7" s="2">
        <f t="shared" si="1"/>
        <v>27.165939414448765</v>
      </c>
      <c r="L7" s="2">
        <f t="shared" si="2"/>
        <v>27.459938733712235</v>
      </c>
      <c r="M7">
        <f>VLOOKUP(A7,[112]WRDS!$A$1:$O$100,8,FALSE)</f>
        <v>14</v>
      </c>
      <c r="N7">
        <f>VLOOKUP(A7,[112]WRDS!$A$1:$O$100,11,FALSE)</f>
        <v>0.5</v>
      </c>
      <c r="P7" s="111" t="s">
        <v>26</v>
      </c>
      <c r="Q7" s="111"/>
    </row>
    <row r="8" spans="1:17" x14ac:dyDescent="0.3">
      <c r="A8" t="s">
        <v>86</v>
      </c>
      <c r="B8" t="str">
        <f>VLOOKUP(A8,[111]WRDS!$A$1:$N$100,2,FALSE)</f>
        <v>DPL</v>
      </c>
      <c r="C8" t="str">
        <f>VLOOKUP(A8,[111]WRDS!$A$1:$N$100,3,FALSE)</f>
        <v>DPL INC</v>
      </c>
      <c r="D8">
        <f>VLOOKUP(A8,[111]WRDS!$A$1:$N$100,13,FALSE)</f>
        <v>0.76870000000000005</v>
      </c>
      <c r="E8">
        <f>VLOOKUP(A8,[95]WRDS!$A$1:$N$100,13,FALSE)</f>
        <v>1.0867</v>
      </c>
      <c r="F8" s="1">
        <f t="shared" si="3"/>
        <v>0.8366432184271545</v>
      </c>
      <c r="G8" s="1">
        <f t="shared" si="4"/>
        <v>0.83206560139200003</v>
      </c>
      <c r="H8" s="2">
        <f t="shared" si="0"/>
        <v>9.0405909469610579E-2</v>
      </c>
      <c r="I8" s="2">
        <f>VLOOKUP(A8,[112]WRDS!$A$1:$O$100,10,FALSE)/100</f>
        <v>2.1400000000000002E-2</v>
      </c>
      <c r="J8" s="2">
        <f>VLOOKUP(A8,[112]WRDS!$A$1:$O$100,9,FALSE)/100</f>
        <v>0.02</v>
      </c>
      <c r="K8" s="2">
        <f t="shared" si="1"/>
        <v>-0.76328981008488739</v>
      </c>
      <c r="L8" s="2">
        <f t="shared" si="2"/>
        <v>-0.77877552344381995</v>
      </c>
      <c r="M8">
        <f>VLOOKUP(A8,[112]WRDS!$A$1:$O$100,8,FALSE)</f>
        <v>7</v>
      </c>
      <c r="N8">
        <f>VLOOKUP(A8,[112]WRDS!$A$1:$O$100,11,FALSE)</f>
        <v>1.21</v>
      </c>
      <c r="P8" t="s">
        <v>28</v>
      </c>
      <c r="Q8" s="2">
        <f>MEDIAN(H2:H99)</f>
        <v>3.0228072276681672E-2</v>
      </c>
    </row>
    <row r="9" spans="1:17" x14ac:dyDescent="0.3">
      <c r="A9" t="s">
        <v>27</v>
      </c>
      <c r="B9" t="str">
        <f>VLOOKUP(A9,[111]WRDS!$A$1:$N$100,2,FALSE)</f>
        <v>DTE</v>
      </c>
      <c r="C9" t="str">
        <f>VLOOKUP(A9,[111]WRDS!$A$1:$N$100,3,FALSE)</f>
        <v>DETROIT EDISON</v>
      </c>
      <c r="D9">
        <f>VLOOKUP(A9,[111]WRDS!$A$1:$N$100,13,FALSE)</f>
        <v>3.65</v>
      </c>
      <c r="E9">
        <f>VLOOKUP(A9,[95]WRDS!$A$1:$N$100,13,FALSE)</f>
        <v>3.09</v>
      </c>
      <c r="F9" s="1">
        <f t="shared" si="3"/>
        <v>4.1787550259706459</v>
      </c>
      <c r="G9" s="1">
        <f t="shared" si="4"/>
        <v>4.269983744000001</v>
      </c>
      <c r="H9" s="2">
        <f t="shared" si="0"/>
        <v>-4.0784023338083841E-2</v>
      </c>
      <c r="I9" s="2">
        <f>VLOOKUP(A9,[112]WRDS!$A$1:$O$100,10,FALSE)/100</f>
        <v>3.44E-2</v>
      </c>
      <c r="J9" s="2">
        <f>VLOOKUP(A9,[112]WRDS!$A$1:$O$100,9,FALSE)/100</f>
        <v>0.04</v>
      </c>
      <c r="K9" s="2">
        <f t="shared" si="1"/>
        <v>1.843467544014411</v>
      </c>
      <c r="L9" s="2">
        <f t="shared" si="2"/>
        <v>1.9807762139702456</v>
      </c>
      <c r="M9">
        <f>VLOOKUP(A9,[112]WRDS!$A$1:$O$100,8,FALSE)</f>
        <v>11</v>
      </c>
      <c r="N9">
        <f>VLOOKUP(A9,[112]WRDS!$A$1:$O$100,11,FALSE)</f>
        <v>1.58</v>
      </c>
      <c r="P9" t="s">
        <v>30</v>
      </c>
      <c r="Q9" s="2">
        <f>MEDIAN(I2:I100)</f>
        <v>0.04</v>
      </c>
    </row>
    <row r="10" spans="1:17" x14ac:dyDescent="0.3">
      <c r="A10" t="s">
        <v>29</v>
      </c>
      <c r="B10" t="str">
        <f>VLOOKUP(A10,[111]WRDS!$A$1:$N$100,2,FALSE)</f>
        <v>DUK</v>
      </c>
      <c r="C10" t="str">
        <f>VLOOKUP(A10,[111]WRDS!$A$1:$N$100,3,FALSE)</f>
        <v>DUKE POWER CO</v>
      </c>
      <c r="D10">
        <f>VLOOKUP(A10,[111]WRDS!$A$1:$N$100,13,FALSE)</f>
        <v>3.9</v>
      </c>
      <c r="E10">
        <f>VLOOKUP(A10,[95]WRDS!$A$1:$N$100,13,FALSE)</f>
        <v>5.13</v>
      </c>
      <c r="F10" s="1">
        <f t="shared" si="3"/>
        <v>4.6437057533158708</v>
      </c>
      <c r="G10" s="1">
        <f t="shared" si="4"/>
        <v>4.6153202425238984</v>
      </c>
      <c r="H10" s="2">
        <f t="shared" si="0"/>
        <v>7.0935190445428287E-2</v>
      </c>
      <c r="I10" s="2">
        <f>VLOOKUP(A10,[112]WRDS!$A$1:$O$100,10,FALSE)/100</f>
        <v>4.4600000000000001E-2</v>
      </c>
      <c r="J10" s="2">
        <f>VLOOKUP(A10,[112]WRDS!$A$1:$O$100,9,FALSE)/100</f>
        <v>4.2999999999999997E-2</v>
      </c>
      <c r="K10" s="2">
        <f t="shared" si="1"/>
        <v>-0.37125706268017172</v>
      </c>
      <c r="L10" s="2">
        <f t="shared" si="2"/>
        <v>-0.3938128631221387</v>
      </c>
      <c r="M10">
        <f>VLOOKUP(A10,[112]WRDS!$A$1:$O$100,8,FALSE)</f>
        <v>15</v>
      </c>
      <c r="N10">
        <f>VLOOKUP(A10,[112]WRDS!$A$1:$O$100,11,FALSE)</f>
        <v>0.9</v>
      </c>
      <c r="P10" t="s">
        <v>32</v>
      </c>
      <c r="Q10" s="2">
        <f>(Q9-Q8)/ABS(Q8)</f>
        <v>0.32327326843321469</v>
      </c>
    </row>
    <row r="11" spans="1:17" x14ac:dyDescent="0.3">
      <c r="A11" t="s">
        <v>31</v>
      </c>
      <c r="B11" t="str">
        <f>VLOOKUP(A11,[111]WRDS!$A$1:$N$100,2,FALSE)</f>
        <v>ED</v>
      </c>
      <c r="C11" t="str">
        <f>VLOOKUP(A11,[111]WRDS!$A$1:$N$100,3,FALSE)</f>
        <v>CONSOL EDISON</v>
      </c>
      <c r="D11">
        <f>VLOOKUP(A11,[111]WRDS!$A$1:$N$100,13,FALSE)</f>
        <v>2.3199999999999998</v>
      </c>
      <c r="E11">
        <f>VLOOKUP(A11,[95]WRDS!$A$1:$N$100,13,FALSE)</f>
        <v>2.93</v>
      </c>
      <c r="F11" s="1">
        <f t="shared" si="3"/>
        <v>2.5648456648108278</v>
      </c>
      <c r="G11" s="1">
        <f t="shared" si="4"/>
        <v>2.5859213218406256</v>
      </c>
      <c r="H11" s="2">
        <f t="shared" si="0"/>
        <v>6.009529957024573E-2</v>
      </c>
      <c r="I11" s="2">
        <f>VLOOKUP(A11,[112]WRDS!$A$1:$O$100,10,FALSE)/100</f>
        <v>2.5399999999999999E-2</v>
      </c>
      <c r="J11" s="2">
        <f>VLOOKUP(A11,[112]WRDS!$A$1:$O$100,9,FALSE)/100</f>
        <v>2.75E-2</v>
      </c>
      <c r="K11" s="2">
        <f t="shared" si="1"/>
        <v>-0.57733799179568446</v>
      </c>
      <c r="L11" s="2">
        <f t="shared" si="2"/>
        <v>-0.54239349505438283</v>
      </c>
      <c r="M11">
        <f>VLOOKUP(A11,[112]WRDS!$A$1:$O$100,8,FALSE)</f>
        <v>12</v>
      </c>
      <c r="N11">
        <f>VLOOKUP(A11,[112]WRDS!$A$1:$O$100,11,FALSE)</f>
        <v>1.07</v>
      </c>
      <c r="P11" t="s">
        <v>34</v>
      </c>
      <c r="Q11" s="2">
        <f>MEDIAN(J2:J99)</f>
        <v>0.04</v>
      </c>
    </row>
    <row r="12" spans="1:17" x14ac:dyDescent="0.3">
      <c r="A12" t="s">
        <v>72</v>
      </c>
      <c r="B12" t="str">
        <f>VLOOKUP(A12,[111]WRDS!$A$1:$N$100,2,FALSE)</f>
        <v>EDE</v>
      </c>
      <c r="C12" t="str">
        <f>VLOOKUP(A12,[111]WRDS!$A$1:$N$100,3,FALSE)</f>
        <v>EMPIRE DIST ELEC</v>
      </c>
      <c r="D12">
        <f>VLOOKUP(A12,[111]WRDS!$A$1:$N$100,13,FALSE)</f>
        <v>1.2949999999999999</v>
      </c>
      <c r="E12">
        <f>VLOOKUP(A12,[95]WRDS!$A$1:$N$100,13,FALSE)</f>
        <v>0.91</v>
      </c>
      <c r="F12" s="1">
        <f t="shared" si="3"/>
        <v>1.5208020401404947</v>
      </c>
      <c r="G12" s="1">
        <f t="shared" si="4"/>
        <v>1.5208020401404947</v>
      </c>
      <c r="H12" s="2">
        <f t="shared" si="0"/>
        <v>-8.4427149657161693E-2</v>
      </c>
      <c r="I12" s="2">
        <f>VLOOKUP(A12,[112]WRDS!$A$1:$O$100,10,FALSE)/100</f>
        <v>4.0999999999999995E-2</v>
      </c>
      <c r="J12" s="2">
        <f>VLOOKUP(A12,[112]WRDS!$A$1:$O$100,9,FALSE)/100</f>
        <v>4.0999999999999995E-2</v>
      </c>
      <c r="K12" s="2">
        <f t="shared" si="1"/>
        <v>1.4856257751978019</v>
      </c>
      <c r="L12" s="2">
        <f t="shared" si="2"/>
        <v>1.4856257751978019</v>
      </c>
      <c r="M12">
        <f>VLOOKUP(A12,[112]WRDS!$A$1:$O$100,8,FALSE)</f>
        <v>2</v>
      </c>
      <c r="N12">
        <f>VLOOKUP(A12,[112]WRDS!$A$1:$O$100,11,FALSE)</f>
        <v>2.69</v>
      </c>
      <c r="P12" t="s">
        <v>32</v>
      </c>
      <c r="Q12" s="2">
        <f>(Q11-Q8)/ABS(Q8)</f>
        <v>0.32327326843321469</v>
      </c>
    </row>
    <row r="13" spans="1:17" x14ac:dyDescent="0.3">
      <c r="A13" t="s">
        <v>59</v>
      </c>
      <c r="B13" t="str">
        <f>VLOOKUP(A13,[111]WRDS!$A$1:$N$100,2,FALSE)</f>
        <v>MSU</v>
      </c>
      <c r="C13" t="str">
        <f>VLOOKUP(A13,[111]WRDS!$A$1:$N$100,3,FALSE)</f>
        <v>ENTERGY CP</v>
      </c>
      <c r="D13">
        <f>VLOOKUP(A13,[111]WRDS!$A$1:$N$100,13,FALSE)</f>
        <v>2.64</v>
      </c>
      <c r="E13">
        <f>VLOOKUP(A13,[95]WRDS!$A$1:$N$100,13,FALSE)</f>
        <v>2.36</v>
      </c>
      <c r="F13" s="1">
        <f t="shared" si="3"/>
        <v>3.2077142226249133</v>
      </c>
      <c r="G13" s="1">
        <f t="shared" si="4"/>
        <v>3.2643014893765647</v>
      </c>
      <c r="H13" s="2">
        <f t="shared" si="0"/>
        <v>-2.7640147612670751E-2</v>
      </c>
      <c r="I13" s="2">
        <f>VLOOKUP(A13,[112]WRDS!$A$1:$O$100,10,FALSE)/100</f>
        <v>4.99E-2</v>
      </c>
      <c r="J13" s="2">
        <f>VLOOKUP(A13,[112]WRDS!$A$1:$O$100,9,FALSE)/100</f>
        <v>5.45E-2</v>
      </c>
      <c r="K13" s="2">
        <f t="shared" si="1"/>
        <v>2.8053449170844851</v>
      </c>
      <c r="L13" s="2">
        <f t="shared" si="2"/>
        <v>2.9717694986193268</v>
      </c>
      <c r="M13">
        <f>VLOOKUP(A13,[112]WRDS!$A$1:$O$100,8,FALSE)</f>
        <v>14</v>
      </c>
      <c r="N13">
        <f>VLOOKUP(A13,[112]WRDS!$A$1:$O$100,11,FALSE)</f>
        <v>1.96</v>
      </c>
      <c r="P13" s="111" t="s">
        <v>37</v>
      </c>
      <c r="Q13" s="111"/>
    </row>
    <row r="14" spans="1:17" x14ac:dyDescent="0.3">
      <c r="A14" t="s">
        <v>89</v>
      </c>
      <c r="B14" t="str">
        <f>VLOOKUP(A14,[111]WRDS!$A$1:$N$100,2,FALSE)</f>
        <v>FPL</v>
      </c>
      <c r="C14" t="str">
        <f>VLOOKUP(A14,[111]WRDS!$A$1:$N$100,3,FALSE)</f>
        <v>FPL GROUP</v>
      </c>
      <c r="D14">
        <f>VLOOKUP(A14,[111]WRDS!$A$1:$N$100,13,FALSE)</f>
        <v>0.2213</v>
      </c>
      <c r="E14">
        <f>VLOOKUP(A14,[95]WRDS!$A$1:$N$100,13,FALSE)</f>
        <v>0.39500000000000002</v>
      </c>
      <c r="F14" s="1">
        <f t="shared" si="3"/>
        <v>0.25218485647123029</v>
      </c>
      <c r="G14" s="1">
        <f t="shared" si="4"/>
        <v>0.24907509965299998</v>
      </c>
      <c r="H14" s="2">
        <f t="shared" si="0"/>
        <v>0.15585650215488744</v>
      </c>
      <c r="I14" s="2">
        <f>VLOOKUP(A14,[112]WRDS!$A$1:$O$100,10,FALSE)/100</f>
        <v>3.32E-2</v>
      </c>
      <c r="J14" s="2">
        <f>VLOOKUP(A14,[112]WRDS!$A$1:$O$100,9,FALSE)/100</f>
        <v>0.03</v>
      </c>
      <c r="K14" s="2">
        <f t="shared" si="1"/>
        <v>-0.78698354229067435</v>
      </c>
      <c r="L14" s="2">
        <f t="shared" si="2"/>
        <v>-0.80751524905783834</v>
      </c>
      <c r="M14">
        <f>VLOOKUP(A14,[112]WRDS!$A$1:$O$100,8,FALSE)</f>
        <v>15</v>
      </c>
      <c r="N14">
        <f>VLOOKUP(A14,[112]WRDS!$A$1:$O$100,11,FALSE)</f>
        <v>1.26</v>
      </c>
      <c r="P14" t="s">
        <v>39</v>
      </c>
      <c r="Q14" s="1">
        <f>AVERAGE(M2:M1002)</f>
        <v>8.4390243902439028</v>
      </c>
    </row>
    <row r="15" spans="1:17" x14ac:dyDescent="0.3">
      <c r="A15" t="s">
        <v>36</v>
      </c>
      <c r="B15" t="str">
        <f>VLOOKUP(A15,[111]WRDS!$A$1:$N$100,2,FALSE)</f>
        <v>HE</v>
      </c>
      <c r="C15" t="str">
        <f>VLOOKUP(A15,[111]WRDS!$A$1:$N$100,3,FALSE)</f>
        <v>HAWAIIAN ELEC</v>
      </c>
      <c r="D15">
        <f>VLOOKUP(A15,[111]WRDS!$A$1:$N$100,13,FALSE)</f>
        <v>1.2</v>
      </c>
      <c r="E15">
        <f>VLOOKUP(A15,[95]WRDS!$A$1:$N$100,13,FALSE)</f>
        <v>1.33</v>
      </c>
      <c r="F15" s="1">
        <f t="shared" si="3"/>
        <v>1.4146601564352004</v>
      </c>
      <c r="G15" s="1">
        <f t="shared" si="4"/>
        <v>1.4255525809152001</v>
      </c>
      <c r="H15" s="2">
        <f t="shared" si="0"/>
        <v>2.6047812315253216E-2</v>
      </c>
      <c r="I15" s="2">
        <f>VLOOKUP(A15,[112]WRDS!$A$1:$O$100,10,FALSE)/100</f>
        <v>4.2000000000000003E-2</v>
      </c>
      <c r="J15" s="2">
        <f>VLOOKUP(A15,[112]WRDS!$A$1:$O$100,9,FALSE)/100</f>
        <v>4.4000000000000004E-2</v>
      </c>
      <c r="K15" s="2">
        <f t="shared" si="1"/>
        <v>0.61241948044156558</v>
      </c>
      <c r="L15" s="2">
        <f t="shared" si="2"/>
        <v>0.6892013604625925</v>
      </c>
      <c r="M15">
        <f>VLOOKUP(A15,[112]WRDS!$A$1:$O$100,8,FALSE)</f>
        <v>4</v>
      </c>
      <c r="N15">
        <f>VLOOKUP(A15,[112]WRDS!$A$1:$O$100,11,FALSE)</f>
        <v>0.91</v>
      </c>
      <c r="P15" t="s">
        <v>41</v>
      </c>
      <c r="Q15" s="1">
        <f>COUNT(N2:N1002)</f>
        <v>41</v>
      </c>
    </row>
    <row r="16" spans="1:17" x14ac:dyDescent="0.3">
      <c r="A16" t="s">
        <v>38</v>
      </c>
      <c r="B16" t="str">
        <f>VLOOKUP(A16,[111]WRDS!$A$1:$N$100,2,FALSE)</f>
        <v>IDA</v>
      </c>
      <c r="C16" t="str">
        <f>VLOOKUP(A16,[111]WRDS!$A$1:$N$100,3,FALSE)</f>
        <v>IDAHO POWER CO</v>
      </c>
      <c r="D16">
        <f>VLOOKUP(A16,[111]WRDS!$A$1:$N$100,13,FALSE)</f>
        <v>1.55</v>
      </c>
      <c r="E16">
        <f>VLOOKUP(A16,[95]WRDS!$A$1:$N$100,13,FALSE)</f>
        <v>2.1</v>
      </c>
      <c r="F16" s="1">
        <f t="shared" si="3"/>
        <v>1.8014537399371222</v>
      </c>
      <c r="G16" s="1">
        <f t="shared" si="4"/>
        <v>1.7993726383608002</v>
      </c>
      <c r="H16" s="2">
        <f t="shared" si="0"/>
        <v>7.8876911651535764E-2</v>
      </c>
      <c r="I16" s="2">
        <f>VLOOKUP(A16,[112]WRDS!$A$1:$O$100,10,FALSE)/100</f>
        <v>3.8300000000000001E-2</v>
      </c>
      <c r="J16" s="2">
        <f>VLOOKUP(A16,[112]WRDS!$A$1:$O$100,9,FALSE)/100</f>
        <v>3.7999999999999999E-2</v>
      </c>
      <c r="K16" s="2">
        <f t="shared" si="1"/>
        <v>-0.51443332151235055</v>
      </c>
      <c r="L16" s="2">
        <f t="shared" si="2"/>
        <v>-0.51823671586081776</v>
      </c>
      <c r="M16">
        <f>VLOOKUP(A16,[112]WRDS!$A$1:$O$100,8,FALSE)</f>
        <v>9</v>
      </c>
      <c r="N16">
        <f>VLOOKUP(A16,[112]WRDS!$A$1:$O$100,11,FALSE)</f>
        <v>1.36</v>
      </c>
    </row>
    <row r="17" spans="1:14" x14ac:dyDescent="0.3">
      <c r="A17" t="s">
        <v>78</v>
      </c>
      <c r="B17" t="str">
        <f>VLOOKUP(A17,[111]WRDS!$A$1:$N$100,2,FALSE)</f>
        <v>NU</v>
      </c>
      <c r="C17" t="str">
        <f>VLOOKUP(A17,[111]WRDS!$A$1:$N$100,3,FALSE)</f>
        <v>NORTHEAST UTILS</v>
      </c>
      <c r="D17">
        <f>VLOOKUP(A17,[111]WRDS!$A$1:$N$100,13,FALSE)</f>
        <v>2.12</v>
      </c>
      <c r="E17">
        <f>VLOOKUP(A17,[95]WRDS!$A$1:$N$100,13,FALSE)</f>
        <v>2.25</v>
      </c>
      <c r="F17" s="1">
        <f t="shared" si="3"/>
        <v>2.4242980571515247</v>
      </c>
      <c r="G17" s="1">
        <f t="shared" si="4"/>
        <v>2.3860786772</v>
      </c>
      <c r="H17" s="2">
        <f t="shared" si="0"/>
        <v>1.498976823176279E-2</v>
      </c>
      <c r="I17" s="2">
        <f>VLOOKUP(A17,[112]WRDS!$A$1:$O$100,10,FALSE)/100</f>
        <v>3.4099999999999998E-2</v>
      </c>
      <c r="J17" s="2">
        <f>VLOOKUP(A17,[112]WRDS!$A$1:$O$100,9,FALSE)/100</f>
        <v>0.03</v>
      </c>
      <c r="K17" s="2">
        <f t="shared" si="1"/>
        <v>1.2748850731222983</v>
      </c>
      <c r="L17" s="2">
        <f t="shared" si="2"/>
        <v>1.0013651669697639</v>
      </c>
      <c r="M17">
        <f>VLOOKUP(A17,[112]WRDS!$A$1:$O$100,8,FALSE)</f>
        <v>11</v>
      </c>
      <c r="N17">
        <f>VLOOKUP(A17,[112]WRDS!$A$1:$O$100,11,FALSE)</f>
        <v>1.71</v>
      </c>
    </row>
    <row r="18" spans="1:14" x14ac:dyDescent="0.3">
      <c r="A18" t="s">
        <v>44</v>
      </c>
      <c r="B18" t="str">
        <f>VLOOKUP(A18,[111]WRDS!$A$1:$N$100,2,FALSE)</f>
        <v>OGE</v>
      </c>
      <c r="C18" t="str">
        <f>VLOOKUP(A18,[111]WRDS!$A$1:$N$100,3,FALSE)</f>
        <v>OKLAHOMA G&amp;E</v>
      </c>
      <c r="D18">
        <f>VLOOKUP(A18,[111]WRDS!$A$1:$N$100,13,FALSE)</f>
        <v>0.8175</v>
      </c>
      <c r="E18">
        <f>VLOOKUP(A18,[95]WRDS!$A$1:$N$100,13,FALSE)</f>
        <v>0.76249999999999996</v>
      </c>
      <c r="F18" s="1">
        <f t="shared" si="3"/>
        <v>0.90201494638136681</v>
      </c>
      <c r="G18" s="1">
        <f t="shared" si="4"/>
        <v>0.92010345217499989</v>
      </c>
      <c r="H18" s="2">
        <f t="shared" si="0"/>
        <v>-1.7261384004215397E-2</v>
      </c>
      <c r="I18" s="2">
        <f>VLOOKUP(A18,[112]WRDS!$A$1:$O$100,10,FALSE)/100</f>
        <v>2.4900000000000002E-2</v>
      </c>
      <c r="J18" s="2">
        <f>VLOOKUP(A18,[112]WRDS!$A$1:$O$100,9,FALSE)/100</f>
        <v>0.03</v>
      </c>
      <c r="K18" s="2">
        <f t="shared" si="1"/>
        <v>2.4425262767990783</v>
      </c>
      <c r="L18" s="2">
        <f t="shared" si="2"/>
        <v>2.7379834660229858</v>
      </c>
      <c r="M18">
        <f>VLOOKUP(A18,[112]WRDS!$A$1:$O$100,8,FALSE)</f>
        <v>10</v>
      </c>
      <c r="N18">
        <f>VLOOKUP(A18,[112]WRDS!$A$1:$O$100,11,FALSE)</f>
        <v>1.7</v>
      </c>
    </row>
    <row r="19" spans="1:14" x14ac:dyDescent="0.3">
      <c r="A19" t="s">
        <v>69</v>
      </c>
      <c r="B19" t="str">
        <f>VLOOKUP(A19,[111]WRDS!$A$1:$N$100,2,FALSE)</f>
        <v>OTTR</v>
      </c>
      <c r="C19" t="str">
        <f>VLOOKUP(A19,[111]WRDS!$A$1:$N$100,3,FALSE)</f>
        <v>OTTER TAIL PWR</v>
      </c>
      <c r="D19">
        <f>VLOOKUP(A19,[111]WRDS!$A$1:$N$100,13,FALSE)</f>
        <v>1.07</v>
      </c>
      <c r="E19">
        <f>VLOOKUP(A19,[95]WRDS!$A$1:$N$100,13,FALSE)</f>
        <v>1.19</v>
      </c>
      <c r="F19" s="1">
        <f t="shared" si="3"/>
        <v>1.1810797929687498</v>
      </c>
      <c r="G19" s="1">
        <f t="shared" si="4"/>
        <v>1.1810797929687498</v>
      </c>
      <c r="H19" s="2">
        <f t="shared" si="0"/>
        <v>2.6929892919318243E-2</v>
      </c>
      <c r="I19" s="2">
        <f>VLOOKUP(A19,[112]WRDS!$A$1:$O$100,10,FALSE)/100</f>
        <v>2.5000000000000001E-2</v>
      </c>
      <c r="J19" s="2">
        <f>VLOOKUP(A19,[112]WRDS!$A$1:$O$100,9,FALSE)/100</f>
        <v>2.5000000000000001E-2</v>
      </c>
      <c r="K19" s="2">
        <f t="shared" si="1"/>
        <v>-7.1663594248227672E-2</v>
      </c>
      <c r="L19" s="2">
        <f t="shared" si="2"/>
        <v>-7.1663594248227672E-2</v>
      </c>
      <c r="M19">
        <f>VLOOKUP(A19,[112]WRDS!$A$1:$O$100,8,FALSE)</f>
        <v>2</v>
      </c>
      <c r="N19">
        <f>VLOOKUP(A19,[112]WRDS!$A$1:$O$100,11,FALSE)</f>
        <v>0.71</v>
      </c>
    </row>
    <row r="20" spans="1:14" x14ac:dyDescent="0.3">
      <c r="A20" t="s">
        <v>45</v>
      </c>
      <c r="B20" t="str">
        <f>VLOOKUP(A20,[111]WRDS!$A$1:$N$100,2,FALSE)</f>
        <v>PCG</v>
      </c>
      <c r="C20" t="str">
        <f>VLOOKUP(A20,[111]WRDS!$A$1:$N$100,3,FALSE)</f>
        <v>PACIFIC G&amp;E</v>
      </c>
      <c r="D20">
        <f>VLOOKUP(A20,[111]WRDS!$A$1:$N$100,13,FALSE)</f>
        <v>2.2400000000000002</v>
      </c>
      <c r="E20">
        <f>VLOOKUP(A20,[95]WRDS!$A$1:$N$100,13,FALSE)</f>
        <v>3.09</v>
      </c>
      <c r="F20" s="1">
        <f t="shared" si="3"/>
        <v>2.8697975064189869</v>
      </c>
      <c r="G20" s="1">
        <f t="shared" si="4"/>
        <v>2.9361830624000005</v>
      </c>
      <c r="H20" s="2">
        <f t="shared" si="0"/>
        <v>8.3746268815634961E-2</v>
      </c>
      <c r="I20" s="2">
        <f>VLOOKUP(A20,[112]WRDS!$A$1:$O$100,10,FALSE)/100</f>
        <v>6.3899999999999998E-2</v>
      </c>
      <c r="J20" s="2">
        <f>VLOOKUP(A20,[112]WRDS!$A$1:$O$100,9,FALSE)/100</f>
        <v>7.0000000000000007E-2</v>
      </c>
      <c r="K20" s="2">
        <f t="shared" si="1"/>
        <v>-0.23698093176337159</v>
      </c>
      <c r="L20" s="2">
        <f t="shared" si="2"/>
        <v>-0.16414186578147114</v>
      </c>
      <c r="M20">
        <f>VLOOKUP(A20,[112]WRDS!$A$1:$O$100,8,FALSE)</f>
        <v>17</v>
      </c>
      <c r="N20">
        <f>VLOOKUP(A20,[112]WRDS!$A$1:$O$100,11,FALSE)</f>
        <v>1.86</v>
      </c>
    </row>
    <row r="21" spans="1:14" x14ac:dyDescent="0.3">
      <c r="A21" t="s">
        <v>46</v>
      </c>
      <c r="B21" t="str">
        <f>VLOOKUP(A21,[111]WRDS!$A$1:$N$100,2,FALSE)</f>
        <v>PEG</v>
      </c>
      <c r="C21" t="str">
        <f>VLOOKUP(A21,[111]WRDS!$A$1:$N$100,3,FALSE)</f>
        <v>PUB SVC ENTERS</v>
      </c>
      <c r="D21">
        <f>VLOOKUP(A21,[111]WRDS!$A$1:$N$100,13,FALSE)</f>
        <v>1.22</v>
      </c>
      <c r="E21">
        <f>VLOOKUP(A21,[95]WRDS!$A$1:$N$100,13,FALSE)</f>
        <v>1.3049999999999999</v>
      </c>
      <c r="F21" s="1">
        <f t="shared" si="3"/>
        <v>1.3630169834905015</v>
      </c>
      <c r="G21" s="1">
        <f t="shared" si="4"/>
        <v>1.36248675564032</v>
      </c>
      <c r="H21" s="2">
        <f t="shared" si="0"/>
        <v>1.6980604409398747E-2</v>
      </c>
      <c r="I21" s="2">
        <f>VLOOKUP(A21,[112]WRDS!$A$1:$O$100,10,FALSE)/100</f>
        <v>2.81E-2</v>
      </c>
      <c r="J21" s="2">
        <f>VLOOKUP(A21,[112]WRDS!$A$1:$O$100,9,FALSE)/100</f>
        <v>2.7999999999999997E-2</v>
      </c>
      <c r="K21" s="2">
        <f t="shared" si="1"/>
        <v>0.65482919939214168</v>
      </c>
      <c r="L21" s="2">
        <f t="shared" si="2"/>
        <v>0.64894012750818375</v>
      </c>
      <c r="M21">
        <f>VLOOKUP(A21,[112]WRDS!$A$1:$O$100,8,FALSE)</f>
        <v>13</v>
      </c>
      <c r="N21">
        <f>VLOOKUP(A21,[112]WRDS!$A$1:$O$100,11,FALSE)</f>
        <v>0.95</v>
      </c>
    </row>
    <row r="22" spans="1:14" x14ac:dyDescent="0.3">
      <c r="A22" t="s">
        <v>74</v>
      </c>
      <c r="B22" t="str">
        <f>VLOOKUP(A22,[111]WRDS!$A$1:$N$100,2,FALSE)</f>
        <v>PGN</v>
      </c>
      <c r="C22" t="str">
        <f>VLOOKUP(A22,[111]WRDS!$A$1:$N$100,3,FALSE)</f>
        <v>PORTLAND GEN CP</v>
      </c>
      <c r="D22">
        <f>VLOOKUP(A22,[111]WRDS!$A$1:$N$100,13,FALSE)</f>
        <v>1.06</v>
      </c>
      <c r="E22">
        <f>VLOOKUP(A22,[95]WRDS!$A$1:$N$100,13,FALSE)</f>
        <v>2.57</v>
      </c>
      <c r="F22" s="1">
        <f t="shared" si="3"/>
        <v>1.2433920421629872</v>
      </c>
      <c r="G22" s="1">
        <f t="shared" si="4"/>
        <v>1.2400500736000002</v>
      </c>
      <c r="H22" s="2">
        <f t="shared" si="0"/>
        <v>0.24783399927133321</v>
      </c>
      <c r="I22" s="2">
        <f>VLOOKUP(A22,[112]WRDS!$A$1:$O$100,10,FALSE)/100</f>
        <v>4.07E-2</v>
      </c>
      <c r="J22" s="2">
        <f>VLOOKUP(A22,[112]WRDS!$A$1:$O$100,9,FALSE)/100</f>
        <v>0.04</v>
      </c>
      <c r="K22" s="2">
        <f t="shared" si="1"/>
        <v>-0.83577717294776455</v>
      </c>
      <c r="L22" s="2">
        <f t="shared" si="2"/>
        <v>-0.83860164417470717</v>
      </c>
      <c r="M22">
        <f>VLOOKUP(A22,[112]WRDS!$A$1:$O$100,8,FALSE)</f>
        <v>9</v>
      </c>
      <c r="N22">
        <f>VLOOKUP(A22,[112]WRDS!$A$1:$O$100,11,FALSE)</f>
        <v>2.46</v>
      </c>
    </row>
    <row r="23" spans="1:14" x14ac:dyDescent="0.3">
      <c r="A23" t="s">
        <v>47</v>
      </c>
      <c r="B23" t="str">
        <f>VLOOKUP(A23,[111]WRDS!$A$1:$N$100,2,FALSE)</f>
        <v>PNM</v>
      </c>
      <c r="C23" t="str">
        <f>VLOOKUP(A23,[111]WRDS!$A$1:$N$100,3,FALSE)</f>
        <v>PUB SVC N MEX</v>
      </c>
      <c r="D23">
        <f>VLOOKUP(A23,[111]WRDS!$A$1:$N$100,13,FALSE)</f>
        <v>0.32</v>
      </c>
      <c r="E23">
        <f>VLOOKUP(A23,[95]WRDS!$A$1:$N$100,13,FALSE)</f>
        <v>0.92669999999999997</v>
      </c>
      <c r="F23" s="1">
        <f t="shared" si="3"/>
        <v>0.49246892613894183</v>
      </c>
      <c r="G23" s="1">
        <f t="shared" si="4"/>
        <v>0.49017375781250011</v>
      </c>
      <c r="H23" s="2">
        <f t="shared" si="0"/>
        <v>0.304509650211511</v>
      </c>
      <c r="I23" s="2">
        <f>VLOOKUP(A23,[112]WRDS!$A$1:$O$100,10,FALSE)/100</f>
        <v>0.11380000000000001</v>
      </c>
      <c r="J23" s="2">
        <f>VLOOKUP(A23,[112]WRDS!$A$1:$O$100,9,FALSE)/100</f>
        <v>0.1125</v>
      </c>
      <c r="K23" s="2">
        <f t="shared" si="1"/>
        <v>-0.62628442178776578</v>
      </c>
      <c r="L23" s="2">
        <f t="shared" si="2"/>
        <v>-0.63055358041409193</v>
      </c>
      <c r="M23">
        <f>VLOOKUP(A23,[112]WRDS!$A$1:$O$100,8,FALSE)</f>
        <v>4</v>
      </c>
      <c r="N23">
        <f>VLOOKUP(A23,[112]WRDS!$A$1:$O$100,11,FALSE)</f>
        <v>8.3800000000000008</v>
      </c>
    </row>
    <row r="24" spans="1:14" x14ac:dyDescent="0.3">
      <c r="A24" t="s">
        <v>48</v>
      </c>
      <c r="B24" t="str">
        <f>VLOOKUP(A24,[111]WRDS!$A$1:$N$100,2,FALSE)</f>
        <v>AZP</v>
      </c>
      <c r="C24" t="str">
        <f>VLOOKUP(A24,[111]WRDS!$A$1:$N$100,3,FALSE)</f>
        <v>PINNACLE WST CAP</v>
      </c>
      <c r="D24">
        <f>VLOOKUP(A24,[111]WRDS!$A$1:$N$100,13,FALSE)</f>
        <v>0.77</v>
      </c>
      <c r="E24">
        <f>VLOOKUP(A24,[95]WRDS!$A$1:$N$100,13,FALSE)</f>
        <v>2.2799999999999998</v>
      </c>
      <c r="F24" s="1">
        <f t="shared" si="3"/>
        <v>1.1756684875695704</v>
      </c>
      <c r="G24" s="1">
        <f t="shared" si="4"/>
        <v>1.0671111994812499</v>
      </c>
      <c r="H24" s="2">
        <f t="shared" si="0"/>
        <v>0.31178007639869243</v>
      </c>
      <c r="I24" s="2">
        <f>VLOOKUP(A24,[112]WRDS!$A$1:$O$100,10,FALSE)/100</f>
        <v>0.1116</v>
      </c>
      <c r="J24" s="2">
        <f>VLOOKUP(A24,[112]WRDS!$A$1:$O$100,9,FALSE)/100</f>
        <v>8.5000000000000006E-2</v>
      </c>
      <c r="K24" s="2">
        <f t="shared" si="1"/>
        <v>-0.64205538311149113</v>
      </c>
      <c r="L24" s="2">
        <f t="shared" si="2"/>
        <v>-0.72737193158133273</v>
      </c>
      <c r="M24">
        <f>VLOOKUP(A24,[112]WRDS!$A$1:$O$100,8,FALSE)</f>
        <v>8</v>
      </c>
      <c r="N24">
        <f>VLOOKUP(A24,[112]WRDS!$A$1:$O$100,11,FALSE)</f>
        <v>8.98</v>
      </c>
    </row>
    <row r="25" spans="1:14" x14ac:dyDescent="0.3">
      <c r="A25" t="s">
        <v>49</v>
      </c>
      <c r="B25" t="str">
        <f>VLOOKUP(A25,[111]WRDS!$A$1:$N$100,2,FALSE)</f>
        <v>POM</v>
      </c>
      <c r="C25" t="str">
        <f>VLOOKUP(A25,[111]WRDS!$A$1:$N$100,3,FALSE)</f>
        <v>POTOMAC ELEC</v>
      </c>
      <c r="D25">
        <f>VLOOKUP(A25,[111]WRDS!$A$1:$N$100,13,FALSE)</f>
        <v>1.85</v>
      </c>
      <c r="E25">
        <f>VLOOKUP(A25,[95]WRDS!$A$1:$N$100,13,FALSE)</f>
        <v>1.67</v>
      </c>
      <c r="F25" s="1">
        <f t="shared" si="3"/>
        <v>2.202783498367785</v>
      </c>
      <c r="G25" s="1">
        <f t="shared" si="4"/>
        <v>2.0821912984999997</v>
      </c>
      <c r="H25" s="2">
        <f t="shared" si="0"/>
        <v>-2.5265841553072432E-2</v>
      </c>
      <c r="I25" s="2">
        <f>VLOOKUP(A25,[112]WRDS!$A$1:$O$100,10,FALSE)/100</f>
        <v>4.4600000000000001E-2</v>
      </c>
      <c r="J25" s="2">
        <f>VLOOKUP(A25,[112]WRDS!$A$1:$O$100,9,FALSE)/100</f>
        <v>0.03</v>
      </c>
      <c r="K25" s="2">
        <f t="shared" si="1"/>
        <v>2.7652291496530998</v>
      </c>
      <c r="L25" s="2">
        <f t="shared" si="2"/>
        <v>2.1873738674796632</v>
      </c>
      <c r="M25">
        <f>VLOOKUP(A25,[112]WRDS!$A$1:$O$100,8,FALSE)</f>
        <v>14</v>
      </c>
      <c r="N25">
        <f>VLOOKUP(A25,[112]WRDS!$A$1:$O$100,11,FALSE)</f>
        <v>2.79</v>
      </c>
    </row>
    <row r="26" spans="1:14" x14ac:dyDescent="0.3">
      <c r="A26" t="s">
        <v>51</v>
      </c>
      <c r="B26" t="str">
        <f>VLOOKUP(A26,[111]WRDS!$A$1:$N$100,2,FALSE)</f>
        <v>PPL</v>
      </c>
      <c r="C26" t="str">
        <f>VLOOKUP(A26,[111]WRDS!$A$1:$N$100,3,FALSE)</f>
        <v>PENNA P&amp;L</v>
      </c>
      <c r="D26">
        <f>VLOOKUP(A26,[111]WRDS!$A$1:$N$100,13,FALSE)</f>
        <v>1.0024999999999999</v>
      </c>
      <c r="E26">
        <f>VLOOKUP(A26,[95]WRDS!$A$1:$N$100,13,FALSE)</f>
        <v>0.97</v>
      </c>
      <c r="F26" s="1">
        <f t="shared" si="3"/>
        <v>1.138434610575829</v>
      </c>
      <c r="G26" s="1">
        <f t="shared" si="4"/>
        <v>1.1503918081265621</v>
      </c>
      <c r="H26" s="2">
        <f t="shared" si="0"/>
        <v>-8.2051742008749651E-3</v>
      </c>
      <c r="I26" s="2">
        <f>VLOOKUP(A26,[112]WRDS!$A$1:$O$100,10,FALSE)/100</f>
        <v>3.2300000000000002E-2</v>
      </c>
      <c r="J26" s="2">
        <f>VLOOKUP(A26,[112]WRDS!$A$1:$O$100,9,FALSE)/100</f>
        <v>3.5000000000000003E-2</v>
      </c>
      <c r="K26" s="2">
        <f t="shared" si="1"/>
        <v>4.9365404328107578</v>
      </c>
      <c r="L26" s="2">
        <f t="shared" si="2"/>
        <v>5.2656010881850319</v>
      </c>
      <c r="M26">
        <f>VLOOKUP(A26,[112]WRDS!$A$1:$O$100,8,FALSE)</f>
        <v>11</v>
      </c>
      <c r="N26">
        <f>VLOOKUP(A26,[112]WRDS!$A$1:$O$100,11,FALSE)</f>
        <v>0.91</v>
      </c>
    </row>
    <row r="27" spans="1:14" x14ac:dyDescent="0.3">
      <c r="A27" t="s">
        <v>91</v>
      </c>
      <c r="B27" t="str">
        <f>VLOOKUP(A27,[111]WRDS!$A$1:$N$100,2,FALSE)</f>
        <v>PSD</v>
      </c>
      <c r="C27" t="str">
        <f>VLOOKUP(A27,[111]WRDS!$A$1:$N$100,3,FALSE)</f>
        <v>PUGET SOUND P&amp;L</v>
      </c>
      <c r="D27">
        <f>VLOOKUP(A27,[111]WRDS!$A$1:$N$100,13,FALSE)</f>
        <v>2.21</v>
      </c>
      <c r="E27">
        <f>VLOOKUP(A27,[95]WRDS!$A$1:$N$100,13,FALSE)</f>
        <v>1.89</v>
      </c>
      <c r="F27" s="1">
        <f t="shared" si="3"/>
        <v>2.4081628213265573</v>
      </c>
      <c r="G27" s="1">
        <f t="shared" si="4"/>
        <v>2.3921750735999998</v>
      </c>
      <c r="H27" s="2">
        <f t="shared" si="0"/>
        <v>-3.8349232346970186E-2</v>
      </c>
      <c r="I27" s="2">
        <f>VLOOKUP(A27,[112]WRDS!$A$1:$O$100,10,FALSE)/100</f>
        <v>2.1700000000000001E-2</v>
      </c>
      <c r="J27" s="2">
        <f>VLOOKUP(A27,[112]WRDS!$A$1:$O$100,9,FALSE)/100</f>
        <v>0.02</v>
      </c>
      <c r="K27" s="2">
        <f t="shared" si="1"/>
        <v>1.5658522654030238</v>
      </c>
      <c r="L27" s="2">
        <f t="shared" si="2"/>
        <v>1.5215228252562432</v>
      </c>
      <c r="M27">
        <f>VLOOKUP(A27,[112]WRDS!$A$1:$O$100,8,FALSE)</f>
        <v>5</v>
      </c>
      <c r="N27">
        <f>VLOOKUP(A27,[112]WRDS!$A$1:$O$100,11,FALSE)</f>
        <v>1.25</v>
      </c>
    </row>
    <row r="28" spans="1:14" x14ac:dyDescent="0.3">
      <c r="A28" t="s">
        <v>52</v>
      </c>
      <c r="B28" t="str">
        <f>VLOOKUP(A28,[111]WRDS!$A$1:$N$100,2,FALSE)</f>
        <v>SCG</v>
      </c>
      <c r="C28" t="str">
        <f>VLOOKUP(A28,[111]WRDS!$A$1:$N$100,3,FALSE)</f>
        <v>SCANA CP</v>
      </c>
      <c r="D28">
        <f>VLOOKUP(A28,[111]WRDS!$A$1:$N$100,13,FALSE)</f>
        <v>1.6850000000000001</v>
      </c>
      <c r="E28">
        <f>VLOOKUP(A28,[95]WRDS!$A$1:$N$100,13,FALSE)</f>
        <v>1.6950000000000001</v>
      </c>
      <c r="F28" s="1">
        <f t="shared" si="3"/>
        <v>1.8950097778264254</v>
      </c>
      <c r="G28" s="1">
        <f t="shared" si="4"/>
        <v>1.8964823448499999</v>
      </c>
      <c r="H28" s="2">
        <f t="shared" si="0"/>
        <v>1.4803889524972469E-3</v>
      </c>
      <c r="I28" s="2">
        <f>VLOOKUP(A28,[112]WRDS!$A$1:$O$100,10,FALSE)/100</f>
        <v>2.98E-2</v>
      </c>
      <c r="J28" s="2">
        <f>VLOOKUP(A28,[112]WRDS!$A$1:$O$100,9,FALSE)/100</f>
        <v>0.03</v>
      </c>
      <c r="K28" s="2">
        <f t="shared" si="1"/>
        <v>19.129844896323231</v>
      </c>
      <c r="L28" s="2">
        <f t="shared" si="2"/>
        <v>19.264944526499896</v>
      </c>
      <c r="M28">
        <f>VLOOKUP(A28,[112]WRDS!$A$1:$O$100,8,FALSE)</f>
        <v>7</v>
      </c>
      <c r="N28">
        <f>VLOOKUP(A28,[112]WRDS!$A$1:$O$100,11,FALSE)</f>
        <v>1.03</v>
      </c>
    </row>
    <row r="29" spans="1:14" x14ac:dyDescent="0.3">
      <c r="A29" t="s">
        <v>53</v>
      </c>
      <c r="B29" t="str">
        <f>VLOOKUP(A29,[111]WRDS!$A$1:$N$100,2,FALSE)</f>
        <v>SO</v>
      </c>
      <c r="C29" t="str">
        <f>VLOOKUP(A29,[111]WRDS!$A$1:$N$100,3,FALSE)</f>
        <v>SOUTHN CO</v>
      </c>
      <c r="D29">
        <f>VLOOKUP(A29,[111]WRDS!$A$1:$N$100,13,FALSE)</f>
        <v>1.26</v>
      </c>
      <c r="E29">
        <f>VLOOKUP(A29,[95]WRDS!$A$1:$N$100,13,FALSE)</f>
        <v>1.66</v>
      </c>
      <c r="F29" s="1">
        <f t="shared" si="3"/>
        <v>1.4220001732348437</v>
      </c>
      <c r="G29" s="1">
        <f t="shared" si="4"/>
        <v>1.4181411006</v>
      </c>
      <c r="H29" s="2">
        <f t="shared" si="0"/>
        <v>7.1357429716594423E-2</v>
      </c>
      <c r="I29" s="2">
        <f>VLOOKUP(A29,[112]WRDS!$A$1:$O$100,10,FALSE)/100</f>
        <v>3.0699999999999998E-2</v>
      </c>
      <c r="J29" s="2">
        <f>VLOOKUP(A29,[112]WRDS!$A$1:$O$100,9,FALSE)/100</f>
        <v>0.03</v>
      </c>
      <c r="K29" s="2">
        <f t="shared" si="1"/>
        <v>-0.56977149931087545</v>
      </c>
      <c r="L29" s="2">
        <f t="shared" si="2"/>
        <v>-0.57958126968489454</v>
      </c>
      <c r="M29">
        <f>VLOOKUP(A29,[112]WRDS!$A$1:$O$100,8,FALSE)</f>
        <v>15</v>
      </c>
      <c r="N29">
        <f>VLOOKUP(A29,[112]WRDS!$A$1:$O$100,11,FALSE)</f>
        <v>0.76</v>
      </c>
    </row>
    <row r="30" spans="1:14" x14ac:dyDescent="0.3">
      <c r="A30" t="s">
        <v>75</v>
      </c>
      <c r="B30" t="str">
        <f>VLOOKUP(A30,[111]WRDS!$A$1:$N$100,2,FALSE)</f>
        <v>TE</v>
      </c>
      <c r="C30" t="str">
        <f>VLOOKUP(A30,[111]WRDS!$A$1:$N$100,3,FALSE)</f>
        <v>TECO ENERGY INC</v>
      </c>
      <c r="D30">
        <f>VLOOKUP(A30,[111]WRDS!$A$1:$N$100,13,FALSE)</f>
        <v>1.2749999999999999</v>
      </c>
      <c r="E30">
        <f>VLOOKUP(A30,[95]WRDS!$A$1:$N$100,13,FALSE)</f>
        <v>1.6</v>
      </c>
      <c r="F30" s="1">
        <f t="shared" si="3"/>
        <v>1.5456418783847905</v>
      </c>
      <c r="G30" s="1">
        <f t="shared" si="4"/>
        <v>1.5497704687499998</v>
      </c>
      <c r="H30" s="2">
        <f t="shared" si="0"/>
        <v>5.840638094373185E-2</v>
      </c>
      <c r="I30" s="2">
        <f>VLOOKUP(A30,[112]WRDS!$A$1:$O$100,10,FALSE)/100</f>
        <v>4.9299999999999997E-2</v>
      </c>
      <c r="J30" s="2">
        <f>VLOOKUP(A30,[112]WRDS!$A$1:$O$100,9,FALSE)/100</f>
        <v>0.05</v>
      </c>
      <c r="K30" s="2">
        <f t="shared" si="1"/>
        <v>-0.15591414493743166</v>
      </c>
      <c r="L30" s="2">
        <f t="shared" si="2"/>
        <v>-0.14392915308055937</v>
      </c>
      <c r="M30">
        <f>VLOOKUP(A30,[112]WRDS!$A$1:$O$100,8,FALSE)</f>
        <v>13</v>
      </c>
      <c r="N30">
        <f>VLOOKUP(A30,[112]WRDS!$A$1:$O$100,11,FALSE)</f>
        <v>0.98</v>
      </c>
    </row>
    <row r="31" spans="1:14" x14ac:dyDescent="0.3">
      <c r="A31" t="s">
        <v>79</v>
      </c>
      <c r="B31" t="str">
        <f>VLOOKUP(A31,[111]WRDS!$A$1:$N$100,2,FALSE)</f>
        <v>UIL</v>
      </c>
      <c r="C31" t="str">
        <f>VLOOKUP(A31,[111]WRDS!$A$1:$N$100,3,FALSE)</f>
        <v>UTD ILLUM CO</v>
      </c>
      <c r="D31">
        <f>VLOOKUP(A31,[111]WRDS!$A$1:$N$100,13,FALSE)</f>
        <v>2.1960000000000002</v>
      </c>
      <c r="E31">
        <f>VLOOKUP(A31,[95]WRDS!$A$1:$N$100,13,FALSE)</f>
        <v>2.1659999999999999</v>
      </c>
      <c r="F31" s="1">
        <f t="shared" si="3"/>
        <v>2.6358532804268897</v>
      </c>
      <c r="G31" s="1">
        <f t="shared" si="4"/>
        <v>2.6692517250000001</v>
      </c>
      <c r="H31" s="2">
        <f t="shared" si="0"/>
        <v>-3.4329377158295316E-3</v>
      </c>
      <c r="I31" s="2">
        <f>VLOOKUP(A31,[112]WRDS!$A$1:$O$100,10,FALSE)/100</f>
        <v>4.6699999999999998E-2</v>
      </c>
      <c r="J31" s="2">
        <f>VLOOKUP(A31,[112]WRDS!$A$1:$O$100,9,FALSE)/100</f>
        <v>0.05</v>
      </c>
      <c r="K31" s="2">
        <f t="shared" si="1"/>
        <v>14.603509258167668</v>
      </c>
      <c r="L31" s="2">
        <f t="shared" si="2"/>
        <v>15.564785072984657</v>
      </c>
      <c r="M31">
        <f>VLOOKUP(A31,[112]WRDS!$A$1:$O$100,8,FALSE)</f>
        <v>3</v>
      </c>
      <c r="N31">
        <f>VLOOKUP(A31,[112]WRDS!$A$1:$O$100,11,FALSE)</f>
        <v>0.56999999999999995</v>
      </c>
    </row>
    <row r="32" spans="1:14" x14ac:dyDescent="0.3">
      <c r="A32" t="s">
        <v>55</v>
      </c>
      <c r="B32" t="str">
        <f>VLOOKUP(A32,[111]WRDS!$A$1:$N$100,2,FALSE)</f>
        <v>WPC</v>
      </c>
      <c r="C32" t="str">
        <f>VLOOKUP(A32,[111]WRDS!$A$1:$N$100,3,FALSE)</f>
        <v>WISCONSIN ENERGY</v>
      </c>
      <c r="D32">
        <f>VLOOKUP(A32,[111]WRDS!$A$1:$N$100,13,FALSE)</f>
        <v>0.94350000000000001</v>
      </c>
      <c r="E32">
        <f>VLOOKUP(A32,[95]WRDS!$A$1:$N$100,13,FALSE)</f>
        <v>1.0649999999999999</v>
      </c>
      <c r="F32" s="1">
        <f t="shared" si="3"/>
        <v>1.108864659257631</v>
      </c>
      <c r="G32" s="1">
        <f t="shared" si="4"/>
        <v>1.120840716744576</v>
      </c>
      <c r="H32" s="2">
        <f t="shared" si="0"/>
        <v>3.0746635358011698E-2</v>
      </c>
      <c r="I32" s="2">
        <f>VLOOKUP(A32,[112]WRDS!$A$1:$O$100,10,FALSE)/100</f>
        <v>4.1200000000000001E-2</v>
      </c>
      <c r="J32" s="2">
        <f>VLOOKUP(A32,[112]WRDS!$A$1:$O$100,9,FALSE)/100</f>
        <v>4.4000000000000004E-2</v>
      </c>
      <c r="K32" s="2">
        <f t="shared" si="1"/>
        <v>0.33998401842250531</v>
      </c>
      <c r="L32" s="2">
        <f t="shared" si="2"/>
        <v>0.43105089346092812</v>
      </c>
      <c r="M32">
        <f>VLOOKUP(A32,[112]WRDS!$A$1:$O$100,8,FALSE)</f>
        <v>15</v>
      </c>
      <c r="N32">
        <f>VLOOKUP(A32,[112]WRDS!$A$1:$O$100,11,FALSE)</f>
        <v>1.2</v>
      </c>
    </row>
    <row r="33" spans="1:14" x14ac:dyDescent="0.3">
      <c r="A33" t="s">
        <v>95</v>
      </c>
      <c r="B33" t="str">
        <f>VLOOKUP(A33,[111]WRDS!$A$1:$N$100,2,FALSE)</f>
        <v>WPS</v>
      </c>
      <c r="C33" t="str">
        <f>VLOOKUP(A33,[111]WRDS!$A$1:$N$100,3,FALSE)</f>
        <v>WISC PUB SVC</v>
      </c>
      <c r="D33">
        <f>VLOOKUP(A33,[111]WRDS!$A$1:$N$100,13,FALSE)</f>
        <v>2.23</v>
      </c>
      <c r="E33">
        <f>VLOOKUP(A33,[95]WRDS!$A$1:$N$100,13,FALSE)</f>
        <v>2.37</v>
      </c>
      <c r="F33" s="1">
        <f t="shared" si="3"/>
        <v>2.506961786135733</v>
      </c>
      <c r="G33" s="1">
        <f t="shared" si="4"/>
        <v>2.4856054084933601</v>
      </c>
      <c r="H33" s="2">
        <f t="shared" si="0"/>
        <v>1.5338538568648419E-2</v>
      </c>
      <c r="I33" s="2">
        <f>VLOOKUP(A33,[112]WRDS!$A$1:$O$100,10,FALSE)/100</f>
        <v>2.9700000000000001E-2</v>
      </c>
      <c r="J33" s="2">
        <f>VLOOKUP(A33,[112]WRDS!$A$1:$O$100,9,FALSE)/100</f>
        <v>2.75E-2</v>
      </c>
      <c r="K33" s="2">
        <f t="shared" si="1"/>
        <v>0.93629920263108002</v>
      </c>
      <c r="L33" s="2">
        <f t="shared" si="2"/>
        <v>0.79286963206581484</v>
      </c>
      <c r="M33">
        <f>VLOOKUP(A33,[112]WRDS!$A$1:$O$100,8,FALSE)</f>
        <v>6</v>
      </c>
      <c r="N33">
        <f>VLOOKUP(A33,[112]WRDS!$A$1:$O$100,11,FALSE)</f>
        <v>1.1299999999999999</v>
      </c>
    </row>
    <row r="34" spans="1:14" x14ac:dyDescent="0.3">
      <c r="A34" t="s">
        <v>132</v>
      </c>
      <c r="B34" t="str">
        <f>VLOOKUP(A34,'[5]Ticker List'!$H$4:$I$20,2,FALSE)</f>
        <v>EGAS</v>
      </c>
      <c r="C34" t="str">
        <f>VLOOKUP(A34,'[113]1lbznzhd71s8z1mj'!$B$1:$N$11,2,FALSE)</f>
        <v>ATMOS ENERGY CP</v>
      </c>
      <c r="D34">
        <f>VLOOKUP(A34,'[113]1lbznzhd71s8z1mj'!$B$1:$N$11,12,FALSE)</f>
        <v>0.98670000000000002</v>
      </c>
      <c r="E34">
        <f>VLOOKUP(A34,[97]iyw0krvfeyqarai9!$B$1:$N$13,12,FALSE)</f>
        <v>1.51</v>
      </c>
      <c r="F34" s="1">
        <f t="shared" si="3"/>
        <v>1.3054923511032306</v>
      </c>
      <c r="G34" s="1">
        <f t="shared" si="4"/>
        <v>1.3054923511032306</v>
      </c>
      <c r="H34" s="2">
        <f t="shared" si="0"/>
        <v>0.11223857867754417</v>
      </c>
      <c r="I34" s="2">
        <f>VLOOKUP(A34,[114]vth761amax5qosok!$B$1:$N$11,9,FALSE)/100</f>
        <v>7.2499999999999995E-2</v>
      </c>
      <c r="J34" s="2">
        <f>VLOOKUP(A34,[114]vth761amax5qosok!$B$1:$N$11,8,FALSE)/100</f>
        <v>7.2499999999999995E-2</v>
      </c>
      <c r="K34" s="2">
        <f t="shared" si="1"/>
        <v>-0.35405454297235112</v>
      </c>
      <c r="L34" s="2">
        <f t="shared" si="2"/>
        <v>-0.35405454297235112</v>
      </c>
      <c r="M34">
        <f>VLOOKUP(A34,[114]vth761amax5qosok!$B$1:$N$11,7,FALSE)</f>
        <v>2</v>
      </c>
      <c r="N34">
        <f>VLOOKUP(A34,[114]vth761amax5qosok!$B$1:$N$11,10,FALSE)</f>
        <v>6.01</v>
      </c>
    </row>
    <row r="35" spans="1:14" x14ac:dyDescent="0.3">
      <c r="A35" t="s">
        <v>134</v>
      </c>
      <c r="B35" t="str">
        <f>VLOOKUP(A35,'[5]Ticker List'!$H$4:$I$20,2,FALSE)</f>
        <v>NJR</v>
      </c>
      <c r="C35" t="str">
        <f>VLOOKUP(A35,'[113]1lbznzhd71s8z1mj'!$B$1:$N$11,2,FALSE)</f>
        <v>NEW JERSEY RES</v>
      </c>
      <c r="D35">
        <f>VLOOKUP(A35,'[113]1lbznzhd71s8z1mj'!$B$1:$N$11,12,FALSE)</f>
        <v>0.36890000000000001</v>
      </c>
      <c r="E35">
        <f>VLOOKUP(A35,[97]iyw0krvfeyqarai9!$B$1:$N$13,12,FALSE)</f>
        <v>0.45779999999999998</v>
      </c>
      <c r="F35" s="1">
        <f t="shared" si="3"/>
        <v>0.48954562384590777</v>
      </c>
      <c r="G35" s="1">
        <f t="shared" si="4"/>
        <v>0.45700241361556243</v>
      </c>
      <c r="H35" s="2">
        <f t="shared" si="0"/>
        <v>5.5460010419740691E-2</v>
      </c>
      <c r="I35" s="2">
        <f>VLOOKUP(A35,[114]vth761amax5qosok!$B$1:$N$11,9,FALSE)/100</f>
        <v>7.3300000000000004E-2</v>
      </c>
      <c r="J35" s="2">
        <f>VLOOKUP(A35,[114]vth761amax5qosok!$B$1:$N$11,8,FALSE)/100</f>
        <v>5.5E-2</v>
      </c>
      <c r="K35" s="2">
        <f t="shared" si="1"/>
        <v>0.3216730297243014</v>
      </c>
      <c r="L35" s="2">
        <f t="shared" si="2"/>
        <v>-8.2944524578912118E-3</v>
      </c>
      <c r="M35">
        <f>VLOOKUP(A35,[114]vth761amax5qosok!$B$1:$N$11,7,FALSE)</f>
        <v>6</v>
      </c>
      <c r="N35">
        <f>VLOOKUP(A35,[114]vth761amax5qosok!$B$1:$N$11,10,FALSE)</f>
        <v>4.97</v>
      </c>
    </row>
    <row r="36" spans="1:14" x14ac:dyDescent="0.3">
      <c r="A36" t="s">
        <v>135</v>
      </c>
      <c r="B36" t="str">
        <f>VLOOKUP(A36,'[5]Ticker List'!$H$4:$I$20,2,FALSE)</f>
        <v>NI</v>
      </c>
      <c r="C36" t="str">
        <f>VLOOKUP(A36,'[113]1lbznzhd71s8z1mj'!$B$1:$N$11,2,FALSE)</f>
        <v>NIPSCO IND INC</v>
      </c>
      <c r="D36">
        <f>VLOOKUP(A36,'[113]1lbznzhd71s8z1mj'!$B$1:$N$11,12,FALSE)</f>
        <v>0.96499999999999997</v>
      </c>
      <c r="E36">
        <f>VLOOKUP(A36,[97]iyw0krvfeyqarai9!$B$1:$N$13,12,FALSE)</f>
        <v>1.35</v>
      </c>
      <c r="F36" s="1">
        <f t="shared" si="3"/>
        <v>1.2109511892797706</v>
      </c>
      <c r="G36" s="1">
        <f t="shared" si="4"/>
        <v>1.2182902664000002</v>
      </c>
      <c r="H36" s="2">
        <f t="shared" si="0"/>
        <v>8.7555962605018633E-2</v>
      </c>
      <c r="I36" s="2">
        <f>VLOOKUP(A36,[114]vth761amax5qosok!$B$1:$N$11,9,FALSE)/100</f>
        <v>5.8400000000000001E-2</v>
      </c>
      <c r="J36" s="2">
        <f>VLOOKUP(A36,[114]vth761amax5qosok!$B$1:$N$11,8,FALSE)/100</f>
        <v>0.06</v>
      </c>
      <c r="K36" s="2">
        <f t="shared" si="1"/>
        <v>-0.33299802477812562</v>
      </c>
      <c r="L36" s="2">
        <f t="shared" si="2"/>
        <v>-0.31472399805971812</v>
      </c>
      <c r="M36">
        <f>VLOOKUP(A36,[114]vth761amax5qosok!$B$1:$N$11,7,FALSE)</f>
        <v>12</v>
      </c>
      <c r="N36">
        <f>VLOOKUP(A36,[114]vth761amax5qosok!$B$1:$N$11,10,FALSE)</f>
        <v>1.39</v>
      </c>
    </row>
    <row r="37" spans="1:14" x14ac:dyDescent="0.3">
      <c r="A37" t="s">
        <v>138</v>
      </c>
      <c r="B37" t="str">
        <f>VLOOKUP(A37,'[5]Ticker List'!$H$4:$I$20,2,FALSE)</f>
        <v>SJI</v>
      </c>
      <c r="C37" t="str">
        <f>VLOOKUP(A37,'[113]1lbznzhd71s8z1mj'!$B$1:$N$11,2,FALSE)</f>
        <v>SO JERSEY INDS</v>
      </c>
      <c r="D37">
        <f>VLOOKUP(A37,'[113]1lbznzhd71s8z1mj'!$B$1:$N$11,12,FALSE)</f>
        <v>0.32100000000000001</v>
      </c>
      <c r="E37">
        <f>VLOOKUP(A37,[97]iyw0krvfeyqarai9!$B$1:$N$13,12,FALSE)</f>
        <v>0.41</v>
      </c>
      <c r="F37" s="1">
        <f t="shared" si="3"/>
        <v>0.37552459776000008</v>
      </c>
      <c r="G37" s="1">
        <f t="shared" si="4"/>
        <v>0.37552459776000008</v>
      </c>
      <c r="H37" s="2">
        <f t="shared" si="0"/>
        <v>6.3089199840874022E-2</v>
      </c>
      <c r="I37" s="2">
        <f>VLOOKUP(A37,[114]vth761amax5qosok!$B$1:$N$11,9,FALSE)/100</f>
        <v>0.04</v>
      </c>
      <c r="J37" s="2">
        <f>VLOOKUP(A37,[114]vth761amax5qosok!$B$1:$N$11,8,FALSE)/100</f>
        <v>0.04</v>
      </c>
      <c r="K37" s="2">
        <f t="shared" si="1"/>
        <v>-0.36597705945091202</v>
      </c>
      <c r="L37" s="2">
        <f t="shared" si="2"/>
        <v>-0.36597705945091202</v>
      </c>
      <c r="M37">
        <f>VLOOKUP(A37,[114]vth761amax5qosok!$B$1:$N$11,7,FALSE)</f>
        <v>1</v>
      </c>
      <c r="N37">
        <f>VLOOKUP(A37,[114]vth761amax5qosok!$B$1:$N$11,10,FALSE)</f>
        <v>0</v>
      </c>
    </row>
    <row r="38" spans="1:14" x14ac:dyDescent="0.3">
      <c r="A38" t="s">
        <v>148</v>
      </c>
      <c r="B38" t="str">
        <f>VLOOKUP(A38,'[5]Ticker List'!$H$4:$I$20,2,FALSE)</f>
        <v>AGLT</v>
      </c>
      <c r="C38" t="str">
        <f>VLOOKUP(A38,'[113]1lbznzhd71s8z1mj'!$B$1:$N$11,2,FALSE)</f>
        <v>ATLANTA GAS LT</v>
      </c>
      <c r="D38">
        <f>VLOOKUP(A38,'[113]1lbznzhd71s8z1mj'!$B$1:$N$11,12,FALSE)</f>
        <v>1.1399999999999999</v>
      </c>
      <c r="E38">
        <f>VLOOKUP(A38,[97]iyw0krvfeyqarai9!$B$1:$N$13,12,FALSE)</f>
        <v>1.36</v>
      </c>
      <c r="F38" s="1">
        <f t="shared" si="3"/>
        <v>1.4419411728402713</v>
      </c>
      <c r="G38" s="1">
        <f t="shared" si="4"/>
        <v>1.4665716397124995</v>
      </c>
      <c r="H38" s="2">
        <f t="shared" si="0"/>
        <v>4.5101603934038836E-2</v>
      </c>
      <c r="I38" s="2">
        <f>VLOOKUP(A38,[114]vth761amax5qosok!$B$1:$N$11,9,FALSE)/100</f>
        <v>6.0499999999999998E-2</v>
      </c>
      <c r="J38" s="2">
        <f>VLOOKUP(A38,[114]vth761amax5qosok!$B$1:$N$11,8,FALSE)/100</f>
        <v>6.5000000000000002E-2</v>
      </c>
      <c r="K38" s="2">
        <f t="shared" si="1"/>
        <v>0.3414157085961142</v>
      </c>
      <c r="L38" s="2">
        <f t="shared" si="2"/>
        <v>0.44119043072309799</v>
      </c>
      <c r="M38">
        <f>VLOOKUP(A38,[114]vth761amax5qosok!$B$1:$N$11,7,FALSE)</f>
        <v>10</v>
      </c>
      <c r="N38">
        <f>VLOOKUP(A38,[114]vth761amax5qosok!$B$1:$N$11,10,FALSE)</f>
        <v>1.61</v>
      </c>
    </row>
    <row r="39" spans="1:14" x14ac:dyDescent="0.3">
      <c r="A39" t="s">
        <v>144</v>
      </c>
      <c r="B39" t="str">
        <f>VLOOKUP(A39,'[5]Ticker List'!$H$4:$I$20,2,FALSE)</f>
        <v>GAS</v>
      </c>
      <c r="C39" t="str">
        <f>VLOOKUP(A39,'[113]1lbznzhd71s8z1mj'!$B$1:$N$11,2,FALSE)</f>
        <v>NICOR INC</v>
      </c>
      <c r="D39">
        <f>VLOOKUP(A39,'[113]1lbznzhd71s8z1mj'!$B$1:$N$11,12,FALSE)</f>
        <v>1.855</v>
      </c>
      <c r="E39">
        <f>VLOOKUP(A39,[97]iyw0krvfeyqarai9!$B$1:$N$13,12,FALSE)</f>
        <v>1.97</v>
      </c>
      <c r="F39" s="1">
        <f t="shared" si="3"/>
        <v>2.2832436089894048</v>
      </c>
      <c r="G39" s="1">
        <f t="shared" si="4"/>
        <v>2.25476409375</v>
      </c>
      <c r="H39" s="2">
        <f t="shared" si="0"/>
        <v>1.515083937358308E-2</v>
      </c>
      <c r="I39" s="2">
        <f>VLOOKUP(A39,[114]vth761amax5qosok!$B$1:$N$11,9,FALSE)/100</f>
        <v>5.33E-2</v>
      </c>
      <c r="J39" s="2">
        <f>VLOOKUP(A39,[114]vth761amax5qosok!$B$1:$N$11,8,FALSE)/100</f>
        <v>0.05</v>
      </c>
      <c r="K39" s="2">
        <f t="shared" si="1"/>
        <v>2.5179569056044238</v>
      </c>
      <c r="L39" s="2">
        <f t="shared" si="2"/>
        <v>2.3001471909985214</v>
      </c>
      <c r="M39">
        <f>VLOOKUP(A39,[114]vth761amax5qosok!$B$1:$N$11,7,FALSE)</f>
        <v>6</v>
      </c>
      <c r="N39">
        <f>VLOOKUP(A39,[114]vth761amax5qosok!$B$1:$N$11,10,FALSE)</f>
        <v>1.03</v>
      </c>
    </row>
    <row r="40" spans="1:14" x14ac:dyDescent="0.3">
      <c r="A40" t="s">
        <v>146</v>
      </c>
      <c r="B40" t="str">
        <f>VLOOKUP(A40,'[5]Ticker List'!$H$4:$I$20,2,FALSE)</f>
        <v>PNY</v>
      </c>
      <c r="C40" t="str">
        <f>VLOOKUP(A40,'[113]1lbznzhd71s8z1mj'!$B$1:$N$11,2,FALSE)</f>
        <v>PIEDMONT NAT GAS</v>
      </c>
      <c r="D40">
        <f>VLOOKUP(A40,'[113]1lbznzhd71s8z1mj'!$B$1:$N$11,12,FALSE)</f>
        <v>0.70750000000000002</v>
      </c>
      <c r="E40">
        <f>VLOOKUP(A40,[97]iyw0krvfeyqarai9!$B$1:$N$13,12,FALSE)</f>
        <v>0.83499999999999996</v>
      </c>
      <c r="F40" s="1">
        <f t="shared" si="3"/>
        <v>0.91359825830572028</v>
      </c>
      <c r="G40" s="1">
        <f t="shared" si="4"/>
        <v>0.89320244920000025</v>
      </c>
      <c r="H40" s="2">
        <f t="shared" si="0"/>
        <v>4.2293448195988903E-2</v>
      </c>
      <c r="I40" s="2">
        <f>VLOOKUP(A40,[114]vth761amax5qosok!$B$1:$N$11,9,FALSE)/100</f>
        <v>6.6000000000000003E-2</v>
      </c>
      <c r="J40" s="2">
        <f>VLOOKUP(A40,[114]vth761amax5qosok!$B$1:$N$11,8,FALSE)/100</f>
        <v>0.06</v>
      </c>
      <c r="K40" s="2">
        <f t="shared" si="1"/>
        <v>0.56052539613592967</v>
      </c>
      <c r="L40" s="2">
        <f t="shared" si="2"/>
        <v>0.41865945103266322</v>
      </c>
      <c r="M40">
        <f>VLOOKUP(A40,[114]vth761amax5qosok!$B$1:$N$11,7,FALSE)</f>
        <v>5</v>
      </c>
      <c r="N40">
        <f>VLOOKUP(A40,[114]vth761amax5qosok!$B$1:$N$11,10,FALSE)</f>
        <v>3.29</v>
      </c>
    </row>
    <row r="41" spans="1:14" x14ac:dyDescent="0.3">
      <c r="A41" t="s">
        <v>145</v>
      </c>
      <c r="B41" t="str">
        <f>VLOOKUP(A41,'[5]Ticker List'!$H$4:$I$20,2,FALSE)</f>
        <v>WGL</v>
      </c>
      <c r="C41" t="str">
        <f>VLOOKUP(A41,'[113]1lbznzhd71s8z1mj'!$B$1:$N$11,2,FALSE)</f>
        <v>WASH GAS LT</v>
      </c>
      <c r="D41">
        <f>VLOOKUP(A41,'[113]1lbznzhd71s8z1mj'!$B$1:$N$11,12,FALSE)</f>
        <v>1.27</v>
      </c>
      <c r="E41">
        <f>VLOOKUP(A41,[97]iyw0krvfeyqarai9!$B$1:$N$13,12,FALSE)</f>
        <v>1.86</v>
      </c>
      <c r="F41" s="1">
        <f t="shared" si="3"/>
        <v>1.4692180594605795</v>
      </c>
      <c r="G41" s="1">
        <f t="shared" si="4"/>
        <v>1.4857203712000002</v>
      </c>
      <c r="H41" s="2">
        <f t="shared" si="0"/>
        <v>0.10008769220549407</v>
      </c>
      <c r="I41" s="2">
        <f>VLOOKUP(A41,[114]vth761amax5qosok!$B$1:$N$11,9,FALSE)/100</f>
        <v>3.7100000000000001E-2</v>
      </c>
      <c r="J41" s="2">
        <f>VLOOKUP(A41,[114]vth761amax5qosok!$B$1:$N$11,8,FALSE)/100</f>
        <v>0.04</v>
      </c>
      <c r="K41" s="2">
        <f t="shared" si="1"/>
        <v>-0.62932505303620656</v>
      </c>
      <c r="L41" s="2">
        <f t="shared" si="2"/>
        <v>-0.60035046149456228</v>
      </c>
      <c r="M41">
        <f>VLOOKUP(A41,[114]vth761amax5qosok!$B$1:$N$11,7,FALSE)</f>
        <v>7</v>
      </c>
      <c r="N41">
        <f>VLOOKUP(A41,[114]vth761amax5qosok!$B$1:$N$11,10,FALSE)</f>
        <v>0.76</v>
      </c>
    </row>
    <row r="42" spans="1:14" x14ac:dyDescent="0.3">
      <c r="A42" t="s">
        <v>149</v>
      </c>
      <c r="B42" t="str">
        <f>VLOOKUP(A42,'[5]Ticker List'!$H$4:$I$20,2,FALSE)</f>
        <v>CGC</v>
      </c>
      <c r="C42" t="str">
        <f>VLOOKUP(A42,'[113]1lbznzhd71s8z1mj'!$B$1:$N$11,2,FALSE)</f>
        <v>CASCADE NAT GAS</v>
      </c>
      <c r="D42">
        <f>VLOOKUP(A42,'[113]1lbznzhd71s8z1mj'!$B$1:$N$11,12,FALSE)</f>
        <v>1.1399999999999999</v>
      </c>
      <c r="E42">
        <f>VLOOKUP(A42,[97]iyw0krvfeyqarai9!$B$1:$N$13,12,FALSE)</f>
        <v>0.81</v>
      </c>
      <c r="F42" s="1">
        <f t="shared" si="3"/>
        <v>1.385677125</v>
      </c>
      <c r="G42" s="1">
        <f t="shared" si="4"/>
        <v>1.3594712047124993</v>
      </c>
      <c r="H42" s="2">
        <f t="shared" si="0"/>
        <v>-8.1889314720972939E-2</v>
      </c>
      <c r="I42" s="2">
        <f>VLOOKUP(A42,[114]vth761amax5qosok!$B$1:$N$11,9,FALSE)/100</f>
        <v>0.05</v>
      </c>
      <c r="J42" s="2">
        <f>VLOOKUP(A42,[114]vth761amax5qosok!$B$1:$N$11,8,FALSE)/100</f>
        <v>4.4999999999999998E-2</v>
      </c>
      <c r="K42" s="2">
        <f t="shared" si="1"/>
        <v>1.6105802713133992</v>
      </c>
      <c r="L42" s="2">
        <f t="shared" si="2"/>
        <v>1.5495222441820591</v>
      </c>
      <c r="M42">
        <f>VLOOKUP(A42,[114]vth761amax5qosok!$B$1:$N$11,7,FALSE)</f>
        <v>4</v>
      </c>
      <c r="N42">
        <f>VLOOKUP(A42,[114]vth761amax5qosok!$B$1:$N$11,10,FALSE)</f>
        <v>2.16</v>
      </c>
    </row>
  </sheetData>
  <mergeCells count="3">
    <mergeCell ref="P1:Q1"/>
    <mergeCell ref="P7:Q7"/>
    <mergeCell ref="P13:Q13"/>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4CB3A-FB93-4F14-86D3-BFE278DE3FFF}">
  <dimension ref="A1:Q37"/>
  <sheetViews>
    <sheetView workbookViewId="0">
      <selection activeCell="B28" sqref="B28"/>
    </sheetView>
  </sheetViews>
  <sheetFormatPr defaultRowHeight="14.4" x14ac:dyDescent="0.3"/>
  <cols>
    <col min="1" max="1" width="13.33203125" bestFit="1" customWidth="1"/>
    <col min="2" max="2" width="10.44140625" bestFit="1" customWidth="1"/>
    <col min="3" max="3" width="15.109375" bestFit="1" customWidth="1"/>
    <col min="4" max="5" width="15.44140625" bestFit="1" customWidth="1"/>
    <col min="6" max="6" width="14.33203125" bestFit="1" customWidth="1"/>
    <col min="7" max="7" width="16" bestFit="1" customWidth="1"/>
    <col min="8" max="8" width="18.33203125" bestFit="1" customWidth="1"/>
    <col min="9" max="9" width="21.44140625" bestFit="1" customWidth="1"/>
    <col min="10" max="10" width="23.109375" bestFit="1" customWidth="1"/>
    <col min="11" max="11" width="22" bestFit="1" customWidth="1"/>
    <col min="12" max="12" width="24.109375" bestFit="1" customWidth="1"/>
    <col min="13" max="13" width="19.88671875" bestFit="1" customWidth="1"/>
    <col min="14" max="14" width="8.33203125" bestFit="1" customWidth="1"/>
    <col min="16" max="16" width="51.88671875" bestFit="1" customWidth="1"/>
    <col min="17" max="17" width="12" bestFit="1" customWidth="1"/>
  </cols>
  <sheetData>
    <row r="1" spans="1:17" x14ac:dyDescent="0.3">
      <c r="A1" t="s">
        <v>0</v>
      </c>
      <c r="B1" t="s">
        <v>1</v>
      </c>
      <c r="C1" t="s">
        <v>2</v>
      </c>
      <c r="D1" t="s">
        <v>107</v>
      </c>
      <c r="E1" t="s">
        <v>103</v>
      </c>
      <c r="F1" t="s">
        <v>5</v>
      </c>
      <c r="G1" t="s">
        <v>6</v>
      </c>
      <c r="H1" t="s">
        <v>7</v>
      </c>
      <c r="I1" t="s">
        <v>8</v>
      </c>
      <c r="J1" t="s">
        <v>9</v>
      </c>
      <c r="K1" t="s">
        <v>10</v>
      </c>
      <c r="L1" t="s">
        <v>11</v>
      </c>
      <c r="M1" t="s">
        <v>12</v>
      </c>
      <c r="N1" t="s">
        <v>13</v>
      </c>
      <c r="P1" s="111" t="s">
        <v>14</v>
      </c>
      <c r="Q1" s="111"/>
    </row>
    <row r="2" spans="1:17" x14ac:dyDescent="0.3">
      <c r="A2" t="s">
        <v>19</v>
      </c>
      <c r="B2" t="str">
        <f>VLOOKUP(A2,[115]WRDS!$A$1:$N$100,2,FALSE)</f>
        <v>BHP</v>
      </c>
      <c r="C2" t="str">
        <f>VLOOKUP(A2,[115]WRDS!$A$1:$N$100,3,FALSE)</f>
        <v>BLACK HILLS CORP</v>
      </c>
      <c r="D2">
        <f>VLOOKUP(A2,[115]WRDS!$A$1:$N$100,13,FALSE)</f>
        <v>1.1200000000000001</v>
      </c>
      <c r="E2">
        <f>VLOOKUP(A2,[99]WRDS!$A$1:$N$100,13,FALSE)</f>
        <v>1.1133</v>
      </c>
      <c r="F2" s="1">
        <f>D2*(1+I2)^4</f>
        <v>1.3577403166987967</v>
      </c>
      <c r="G2" s="1">
        <f>D2*(1+J2)^4</f>
        <v>1.3613670000000002</v>
      </c>
      <c r="H2" s="2">
        <f t="shared" ref="H2:H37" si="0">((E2/D2)^(1/4)-1)</f>
        <v>-1.4989024106057958E-3</v>
      </c>
      <c r="I2" s="2">
        <f>VLOOKUP(A2,[116]WRDS!$A$1:$O$100,10,FALSE)/100</f>
        <v>4.9299999999999997E-2</v>
      </c>
      <c r="J2" s="2">
        <f>VLOOKUP(A2,[116]WRDS!$A$1:$O$100,9,FALSE)/100</f>
        <v>0.05</v>
      </c>
      <c r="K2" s="2">
        <f t="shared" ref="K2:K37" si="1">(I2-H2)/(ABS(H2))</f>
        <v>33.890733680303399</v>
      </c>
      <c r="L2" s="2">
        <f t="shared" ref="L2:L37" si="2">(J2-H2)/(ABS(H2))</f>
        <v>34.357742069273222</v>
      </c>
      <c r="M2">
        <f>VLOOKUP(A2,[116]WRDS!$A$1:$O$100,8,FALSE)</f>
        <v>3</v>
      </c>
      <c r="N2">
        <f>VLOOKUP(A2,[116]WRDS!$A$1:$O$100,11,FALSE)</f>
        <v>2.1</v>
      </c>
      <c r="P2" t="s">
        <v>16</v>
      </c>
      <c r="Q2" s="3">
        <f>AVERAGE(H2:H999)</f>
        <v>4.01191837217829E-2</v>
      </c>
    </row>
    <row r="3" spans="1:17" x14ac:dyDescent="0.3">
      <c r="A3" t="s">
        <v>88</v>
      </c>
      <c r="B3" t="str">
        <f>VLOOKUP(A3,[115]WRDS!$A$1:$N$100,2,FALSE)</f>
        <v>CIN</v>
      </c>
      <c r="C3" t="str">
        <f>VLOOKUP(A3,[115]WRDS!$A$1:$N$100,3,FALSE)</f>
        <v>CINN GAS &amp; EL</v>
      </c>
      <c r="D3">
        <f>VLOOKUP(A3,[115]WRDS!$A$1:$N$100,13,FALSE)</f>
        <v>2.74</v>
      </c>
      <c r="E3">
        <f>VLOOKUP(A3,[99]WRDS!$A$1:$N$100,13,FALSE)</f>
        <v>2.0299999999999998</v>
      </c>
      <c r="F3" s="1">
        <f t="shared" ref="F3:F37" si="3">D3*(1+I3)^4</f>
        <v>2.8512549874000004</v>
      </c>
      <c r="G3" s="1">
        <f t="shared" ref="G3:G37" si="4">D3*(1+J3)^4</f>
        <v>2.8512549874000004</v>
      </c>
      <c r="H3" s="2">
        <f t="shared" si="0"/>
        <v>-7.2238452033821954E-2</v>
      </c>
      <c r="I3" s="2">
        <f>VLOOKUP(A3,[116]WRDS!$A$1:$O$100,10,FALSE)/100</f>
        <v>0.01</v>
      </c>
      <c r="J3" s="2">
        <f>VLOOKUP(A3,[116]WRDS!$A$1:$O$100,9,FALSE)/100</f>
        <v>0.01</v>
      </c>
      <c r="K3" s="2">
        <f t="shared" si="1"/>
        <v>1.1384304303104116</v>
      </c>
      <c r="L3" s="2">
        <f t="shared" si="2"/>
        <v>1.1384304303104116</v>
      </c>
      <c r="M3">
        <f>VLOOKUP(A3,[116]WRDS!$A$1:$O$100,8,FALSE)</f>
        <v>9</v>
      </c>
      <c r="N3">
        <f>VLOOKUP(A3,[116]WRDS!$A$1:$O$100,11,FALSE)</f>
        <v>2.41</v>
      </c>
      <c r="P3" t="s">
        <v>18</v>
      </c>
      <c r="Q3" s="3">
        <f>AVERAGE(I2:I999)</f>
        <v>4.5802777777777776E-2</v>
      </c>
    </row>
    <row r="4" spans="1:17" x14ac:dyDescent="0.3">
      <c r="A4" t="s">
        <v>21</v>
      </c>
      <c r="B4" t="str">
        <f>VLOOKUP(A4,[115]WRDS!$A$1:$N$100,2,FALSE)</f>
        <v>CMS</v>
      </c>
      <c r="C4" t="str">
        <f>VLOOKUP(A4,[115]WRDS!$A$1:$N$100,3,FALSE)</f>
        <v>CMS ENERGY CORP</v>
      </c>
      <c r="D4">
        <f>VLOOKUP(A4,[115]WRDS!$A$1:$N$100,13,FALSE)</f>
        <v>3.45</v>
      </c>
      <c r="E4">
        <f>VLOOKUP(A4,[99]WRDS!$A$1:$N$100,13,FALSE)</f>
        <v>2.09</v>
      </c>
      <c r="F4" s="1">
        <f t="shared" si="3"/>
        <v>4.0143235028265654</v>
      </c>
      <c r="G4" s="1">
        <f t="shared" si="4"/>
        <v>3.9589543521562489</v>
      </c>
      <c r="H4" s="2">
        <f t="shared" si="0"/>
        <v>-0.11777004876218045</v>
      </c>
      <c r="I4" s="2">
        <f>VLOOKUP(A4,[116]WRDS!$A$1:$O$100,10,FALSE)/100</f>
        <v>3.8599999999999995E-2</v>
      </c>
      <c r="J4" s="2">
        <f>VLOOKUP(A4,[116]WRDS!$A$1:$O$100,9,FALSE)/100</f>
        <v>3.5000000000000003E-2</v>
      </c>
      <c r="K4" s="2">
        <f t="shared" si="1"/>
        <v>1.327757357712801</v>
      </c>
      <c r="L4" s="2">
        <f t="shared" si="2"/>
        <v>1.2971893139882911</v>
      </c>
      <c r="M4">
        <f>VLOOKUP(A4,[116]WRDS!$A$1:$O$100,8,FALSE)</f>
        <v>12</v>
      </c>
      <c r="N4">
        <f>VLOOKUP(A4,[116]WRDS!$A$1:$O$100,11,FALSE)</f>
        <v>3.79</v>
      </c>
      <c r="P4" t="s">
        <v>20</v>
      </c>
      <c r="Q4" s="3">
        <f>(Q3-Q2)/ABS(Q2)</f>
        <v>0.14166773918954242</v>
      </c>
    </row>
    <row r="5" spans="1:17" x14ac:dyDescent="0.3">
      <c r="A5" t="s">
        <v>71</v>
      </c>
      <c r="B5" t="str">
        <f>VLOOKUP(A5,[115]WRDS!$A$1:$N$100,2,FALSE)</f>
        <v>CNL</v>
      </c>
      <c r="C5" t="str">
        <f>VLOOKUP(A5,[115]WRDS!$A$1:$N$100,3,FALSE)</f>
        <v>CENT LA ELEC INC</v>
      </c>
      <c r="D5">
        <f>VLOOKUP(A5,[115]WRDS!$A$1:$N$100,13,FALSE)</f>
        <v>0.92749999999999999</v>
      </c>
      <c r="E5">
        <f>VLOOKUP(A5,[99]WRDS!$A$1:$N$100,13,FALSE)</f>
        <v>0.96</v>
      </c>
      <c r="F5" s="1">
        <f t="shared" si="3"/>
        <v>1.0528568746770697</v>
      </c>
      <c r="G5" s="1">
        <f t="shared" si="4"/>
        <v>1.0540814233721678</v>
      </c>
      <c r="H5" s="2">
        <f t="shared" si="0"/>
        <v>8.6472962132568831E-3</v>
      </c>
      <c r="I5" s="2">
        <f>VLOOKUP(A5,[116]WRDS!$A$1:$O$100,10,FALSE)/100</f>
        <v>3.2199999999999999E-2</v>
      </c>
      <c r="J5" s="2">
        <f>VLOOKUP(A5,[116]WRDS!$A$1:$O$100,9,FALSE)/100</f>
        <v>3.2500000000000001E-2</v>
      </c>
      <c r="K5" s="2">
        <f t="shared" si="1"/>
        <v>2.7237072960025639</v>
      </c>
      <c r="L5" s="2">
        <f t="shared" si="2"/>
        <v>2.7584002211206005</v>
      </c>
      <c r="M5">
        <f>VLOOKUP(A5,[116]WRDS!$A$1:$O$100,8,FALSE)</f>
        <v>4</v>
      </c>
      <c r="N5">
        <f>VLOOKUP(A5,[116]WRDS!$A$1:$O$100,11,FALSE)</f>
        <v>1.79</v>
      </c>
      <c r="P5" t="s">
        <v>22</v>
      </c>
      <c r="Q5" s="3">
        <f>AVERAGE(J2:J999)</f>
        <v>4.7355555555555567E-2</v>
      </c>
    </row>
    <row r="6" spans="1:17" x14ac:dyDescent="0.3">
      <c r="A6" t="s">
        <v>84</v>
      </c>
      <c r="B6" t="str">
        <f>VLOOKUP(A6,[115]WRDS!$A$1:$N$100,2,FALSE)</f>
        <v>CV</v>
      </c>
      <c r="C6" t="str">
        <f>VLOOKUP(A6,[115]WRDS!$A$1:$N$100,3,FALSE)</f>
        <v>CNTRL VT PUB SVC</v>
      </c>
      <c r="D6">
        <f>VLOOKUP(A6,[115]WRDS!$A$1:$N$100,13,FALSE)</f>
        <v>1.56</v>
      </c>
      <c r="E6">
        <f>VLOOKUP(A6,[99]WRDS!$A$1:$N$100,13,FALSE)</f>
        <v>1.0900000000000001</v>
      </c>
      <c r="F6" s="1">
        <f t="shared" si="3"/>
        <v>1.7118905177088979</v>
      </c>
      <c r="G6" s="1">
        <f t="shared" si="4"/>
        <v>1.7118905177088979</v>
      </c>
      <c r="H6" s="2">
        <f t="shared" si="0"/>
        <v>-8.5727883387259562E-2</v>
      </c>
      <c r="I6" s="2">
        <f>VLOOKUP(A6,[116]WRDS!$A$1:$O$100,10,FALSE)/100</f>
        <v>2.35E-2</v>
      </c>
      <c r="J6" s="2">
        <f>VLOOKUP(A6,[116]WRDS!$A$1:$O$100,9,FALSE)/100</f>
        <v>2.35E-2</v>
      </c>
      <c r="K6" s="2">
        <f t="shared" si="1"/>
        <v>1.2741231798975272</v>
      </c>
      <c r="L6" s="2">
        <f t="shared" si="2"/>
        <v>1.2741231798975272</v>
      </c>
      <c r="M6">
        <f>VLOOKUP(A6,[116]WRDS!$A$1:$O$100,8,FALSE)</f>
        <v>2</v>
      </c>
      <c r="N6">
        <f>VLOOKUP(A6,[116]WRDS!$A$1:$O$100,11,FALSE)</f>
        <v>1.91</v>
      </c>
      <c r="P6" t="s">
        <v>24</v>
      </c>
      <c r="Q6" s="3">
        <f>(Q5-Q2)/ABS(Q2)</f>
        <v>0.18037186110154194</v>
      </c>
    </row>
    <row r="7" spans="1:17" x14ac:dyDescent="0.3">
      <c r="A7" t="s">
        <v>25</v>
      </c>
      <c r="B7" t="str">
        <f>VLOOKUP(A7,[115]WRDS!$A$1:$N$100,2,FALSE)</f>
        <v>D</v>
      </c>
      <c r="C7" t="str">
        <f>VLOOKUP(A7,[115]WRDS!$A$1:$N$100,3,FALSE)</f>
        <v>DOMINION RES INC</v>
      </c>
      <c r="D7">
        <f>VLOOKUP(A7,[115]WRDS!$A$1:$N$100,13,FALSE)</f>
        <v>1.38</v>
      </c>
      <c r="E7">
        <f>VLOOKUP(A7,[99]WRDS!$A$1:$N$100,13,FALSE)</f>
        <v>1.4</v>
      </c>
      <c r="F7" s="1">
        <f t="shared" si="3"/>
        <v>1.5927819010782858</v>
      </c>
      <c r="G7" s="1">
        <f t="shared" si="4"/>
        <v>1.6051110697197861</v>
      </c>
      <c r="H7" s="2">
        <f t="shared" si="0"/>
        <v>3.6036619954462612E-3</v>
      </c>
      <c r="I7" s="2">
        <f>VLOOKUP(A7,[116]WRDS!$A$1:$O$100,10,FALSE)/100</f>
        <v>3.6499999999999998E-2</v>
      </c>
      <c r="J7" s="2">
        <f>VLOOKUP(A7,[116]WRDS!$A$1:$O$100,9,FALSE)/100</f>
        <v>3.85E-2</v>
      </c>
      <c r="K7" s="2">
        <f t="shared" si="1"/>
        <v>9.1285858790649428</v>
      </c>
      <c r="L7" s="2">
        <f t="shared" si="2"/>
        <v>9.6835768861369953</v>
      </c>
      <c r="M7">
        <f>VLOOKUP(A7,[116]WRDS!$A$1:$O$100,8,FALSE)</f>
        <v>16</v>
      </c>
      <c r="N7">
        <f>VLOOKUP(A7,[116]WRDS!$A$1:$O$100,11,FALSE)</f>
        <v>0.56999999999999995</v>
      </c>
      <c r="P7" s="111" t="s">
        <v>26</v>
      </c>
      <c r="Q7" s="111"/>
    </row>
    <row r="8" spans="1:17" x14ac:dyDescent="0.3">
      <c r="A8" t="s">
        <v>86</v>
      </c>
      <c r="B8" t="str">
        <f>VLOOKUP(A8,[115]WRDS!$A$1:$N$100,2,FALSE)</f>
        <v>DPL</v>
      </c>
      <c r="C8" t="str">
        <f>VLOOKUP(A8,[115]WRDS!$A$1:$N$100,3,FALSE)</f>
        <v>DPL INC</v>
      </c>
      <c r="D8">
        <f>VLOOKUP(A8,[115]WRDS!$A$1:$N$100,13,FALSE)</f>
        <v>0.99129999999999996</v>
      </c>
      <c r="E8">
        <f>VLOOKUP(A8,[99]WRDS!$A$1:$N$100,13,FALSE)</f>
        <v>1.0266999999999999</v>
      </c>
      <c r="F8" s="1">
        <f t="shared" si="3"/>
        <v>1.1032044959002496</v>
      </c>
      <c r="G8" s="1">
        <f t="shared" si="4"/>
        <v>1.1157168833529998</v>
      </c>
      <c r="H8" s="2">
        <f t="shared" si="0"/>
        <v>8.8105467039769625E-3</v>
      </c>
      <c r="I8" s="2">
        <f>VLOOKUP(A8,[116]WRDS!$A$1:$O$100,10,FALSE)/100</f>
        <v>2.7099999999999999E-2</v>
      </c>
      <c r="J8" s="2">
        <f>VLOOKUP(A8,[116]WRDS!$A$1:$O$100,9,FALSE)/100</f>
        <v>0.03</v>
      </c>
      <c r="K8" s="2">
        <f t="shared" si="1"/>
        <v>2.0758590710117253</v>
      </c>
      <c r="L8" s="2">
        <f t="shared" si="2"/>
        <v>2.4050100417103972</v>
      </c>
      <c r="M8">
        <f>VLOOKUP(A8,[116]WRDS!$A$1:$O$100,8,FALSE)</f>
        <v>7</v>
      </c>
      <c r="N8">
        <f>VLOOKUP(A8,[116]WRDS!$A$1:$O$100,11,FALSE)</f>
        <v>1.1100000000000001</v>
      </c>
      <c r="P8" t="s">
        <v>28</v>
      </c>
      <c r="Q8" s="2">
        <f>MEDIAN(H2:H99)</f>
        <v>1.7670985212781432E-2</v>
      </c>
    </row>
    <row r="9" spans="1:17" x14ac:dyDescent="0.3">
      <c r="A9" t="s">
        <v>27</v>
      </c>
      <c r="B9" t="str">
        <f>VLOOKUP(A9,[115]WRDS!$A$1:$N$100,2,FALSE)</f>
        <v>DTE</v>
      </c>
      <c r="C9" t="str">
        <f>VLOOKUP(A9,[115]WRDS!$A$1:$N$100,3,FALSE)</f>
        <v>DETROIT EDISON</v>
      </c>
      <c r="D9">
        <f>VLOOKUP(A9,[115]WRDS!$A$1:$N$100,13,FALSE)</f>
        <v>3.27</v>
      </c>
      <c r="E9">
        <f>VLOOKUP(A9,[99]WRDS!$A$1:$N$100,13,FALSE)</f>
        <v>2.67</v>
      </c>
      <c r="F9" s="1">
        <f t="shared" si="3"/>
        <v>3.8668011817317174</v>
      </c>
      <c r="G9" s="1">
        <f t="shared" si="4"/>
        <v>3.8254374912000007</v>
      </c>
      <c r="H9" s="2">
        <f t="shared" si="0"/>
        <v>-4.9415174612796098E-2</v>
      </c>
      <c r="I9" s="2">
        <f>VLOOKUP(A9,[116]WRDS!$A$1:$O$100,10,FALSE)/100</f>
        <v>4.2800000000000005E-2</v>
      </c>
      <c r="J9" s="2">
        <f>VLOOKUP(A9,[116]WRDS!$A$1:$O$100,9,FALSE)/100</f>
        <v>0.04</v>
      </c>
      <c r="K9" s="2">
        <f t="shared" si="1"/>
        <v>1.8661307044924802</v>
      </c>
      <c r="L9" s="2">
        <f t="shared" si="2"/>
        <v>1.8094679481238134</v>
      </c>
      <c r="M9">
        <f>VLOOKUP(A9,[116]WRDS!$A$1:$O$100,8,FALSE)</f>
        <v>13</v>
      </c>
      <c r="N9">
        <f>VLOOKUP(A9,[116]WRDS!$A$1:$O$100,11,FALSE)</f>
        <v>0.84</v>
      </c>
      <c r="P9" t="s">
        <v>30</v>
      </c>
      <c r="Q9" s="2">
        <f>MEDIAN(I2:I100)</f>
        <v>3.9349999999999996E-2</v>
      </c>
    </row>
    <row r="10" spans="1:17" x14ac:dyDescent="0.3">
      <c r="A10" t="s">
        <v>29</v>
      </c>
      <c r="B10" t="str">
        <f>VLOOKUP(A10,[115]WRDS!$A$1:$N$100,2,FALSE)</f>
        <v>DUK</v>
      </c>
      <c r="C10" t="str">
        <f>VLOOKUP(A10,[115]WRDS!$A$1:$N$100,3,FALSE)</f>
        <v>DUKE POWER CO</v>
      </c>
      <c r="D10">
        <f>VLOOKUP(A10,[115]WRDS!$A$1:$N$100,13,FALSE)</f>
        <v>3.6150000000000002</v>
      </c>
      <c r="E10">
        <f>VLOOKUP(A10,[99]WRDS!$A$1:$N$100,13,FALSE)</f>
        <v>4.32</v>
      </c>
      <c r="F10" s="1">
        <f t="shared" si="3"/>
        <v>4.2306654823580789</v>
      </c>
      <c r="G10" s="1">
        <f t="shared" si="4"/>
        <v>4.2534898301169024</v>
      </c>
      <c r="H10" s="2">
        <f t="shared" si="0"/>
        <v>4.5547724792256661E-2</v>
      </c>
      <c r="I10" s="2">
        <f>VLOOKUP(A10,[116]WRDS!$A$1:$O$100,10,FALSE)/100</f>
        <v>4.0099999999999997E-2</v>
      </c>
      <c r="J10" s="2">
        <f>VLOOKUP(A10,[116]WRDS!$A$1:$O$100,9,FALSE)/100</f>
        <v>4.1500000000000002E-2</v>
      </c>
      <c r="K10" s="2">
        <f t="shared" si="1"/>
        <v>-0.11960476219402301</v>
      </c>
      <c r="L10" s="2">
        <f t="shared" si="2"/>
        <v>-8.8867771347928934E-2</v>
      </c>
      <c r="M10">
        <f>VLOOKUP(A10,[116]WRDS!$A$1:$O$100,8,FALSE)</f>
        <v>16</v>
      </c>
      <c r="N10">
        <f>VLOOKUP(A10,[116]WRDS!$A$1:$O$100,11,FALSE)</f>
        <v>1.05</v>
      </c>
      <c r="P10" t="s">
        <v>32</v>
      </c>
      <c r="Q10" s="2">
        <f>(Q9-Q8)/ABS(Q8)</f>
        <v>1.2268141547387026</v>
      </c>
    </row>
    <row r="11" spans="1:17" x14ac:dyDescent="0.3">
      <c r="A11" t="s">
        <v>31</v>
      </c>
      <c r="B11" t="str">
        <f>VLOOKUP(A11,[115]WRDS!$A$1:$N$100,2,FALSE)</f>
        <v>ED</v>
      </c>
      <c r="C11" t="str">
        <f>VLOOKUP(A11,[115]WRDS!$A$1:$N$100,3,FALSE)</f>
        <v>CONSOL EDISON</v>
      </c>
      <c r="D11">
        <f>VLOOKUP(A11,[115]WRDS!$A$1:$N$100,13,FALSE)</f>
        <v>2.335</v>
      </c>
      <c r="E11">
        <f>VLOOKUP(A11,[99]WRDS!$A$1:$N$100,13,FALSE)</f>
        <v>2.98</v>
      </c>
      <c r="F11" s="1">
        <f t="shared" si="3"/>
        <v>2.5693659882826987</v>
      </c>
      <c r="G11" s="1">
        <f t="shared" si="4"/>
        <v>2.5774030996093744</v>
      </c>
      <c r="H11" s="2">
        <f t="shared" si="0"/>
        <v>6.28753737337997E-2</v>
      </c>
      <c r="I11" s="2">
        <f>VLOOKUP(A11,[116]WRDS!$A$1:$O$100,10,FALSE)/100</f>
        <v>2.4199999999999999E-2</v>
      </c>
      <c r="J11" s="2">
        <f>VLOOKUP(A11,[116]WRDS!$A$1:$O$100,9,FALSE)/100</f>
        <v>2.5000000000000001E-2</v>
      </c>
      <c r="K11" s="2">
        <f t="shared" si="1"/>
        <v>-0.61511163174222394</v>
      </c>
      <c r="L11" s="2">
        <f t="shared" si="2"/>
        <v>-0.60238804932047929</v>
      </c>
      <c r="M11">
        <f>VLOOKUP(A11,[116]WRDS!$A$1:$O$100,8,FALSE)</f>
        <v>13</v>
      </c>
      <c r="N11">
        <f>VLOOKUP(A11,[116]WRDS!$A$1:$O$100,11,FALSE)</f>
        <v>0.75</v>
      </c>
      <c r="P11" t="s">
        <v>34</v>
      </c>
      <c r="Q11" s="2">
        <f>MEDIAN(J2:J99)</f>
        <v>0.04</v>
      </c>
    </row>
    <row r="12" spans="1:17" x14ac:dyDescent="0.3">
      <c r="A12" t="s">
        <v>72</v>
      </c>
      <c r="B12" t="str">
        <f>VLOOKUP(A12,[115]WRDS!$A$1:$N$100,2,FALSE)</f>
        <v>EDE</v>
      </c>
      <c r="C12" t="str">
        <f>VLOOKUP(A12,[115]WRDS!$A$1:$N$100,3,FALSE)</f>
        <v>EMPIRE DIST ELEC</v>
      </c>
      <c r="D12">
        <f>VLOOKUP(A12,[115]WRDS!$A$1:$N$100,13,FALSE)</f>
        <v>1.155</v>
      </c>
      <c r="E12">
        <f>VLOOKUP(A12,[99]WRDS!$A$1:$N$100,13,FALSE)</f>
        <v>1.32</v>
      </c>
      <c r="F12" s="1">
        <f t="shared" si="3"/>
        <v>1.29996267555</v>
      </c>
      <c r="G12" s="1">
        <f t="shared" si="4"/>
        <v>1.29996267555</v>
      </c>
      <c r="H12" s="2">
        <f t="shared" si="0"/>
        <v>3.3946307914341167E-2</v>
      </c>
      <c r="I12" s="2">
        <f>VLOOKUP(A12,[116]WRDS!$A$1:$O$100,10,FALSE)/100</f>
        <v>0.03</v>
      </c>
      <c r="J12" s="2">
        <f>VLOOKUP(A12,[116]WRDS!$A$1:$O$100,9,FALSE)/100</f>
        <v>0.03</v>
      </c>
      <c r="K12" s="2">
        <f t="shared" si="1"/>
        <v>-0.11625146169943232</v>
      </c>
      <c r="L12" s="2">
        <f t="shared" si="2"/>
        <v>-0.11625146169943232</v>
      </c>
      <c r="M12">
        <f>VLOOKUP(A12,[116]WRDS!$A$1:$O$100,8,FALSE)</f>
        <v>1</v>
      </c>
      <c r="N12">
        <f>VLOOKUP(A12,[116]WRDS!$A$1:$O$100,11,FALSE)</f>
        <v>0</v>
      </c>
      <c r="P12" t="s">
        <v>32</v>
      </c>
      <c r="Q12" s="2">
        <f>(Q11-Q8)/ABS(Q8)</f>
        <v>1.2635976159986815</v>
      </c>
    </row>
    <row r="13" spans="1:17" x14ac:dyDescent="0.3">
      <c r="A13" t="s">
        <v>59</v>
      </c>
      <c r="B13" t="str">
        <f>VLOOKUP(A13,[115]WRDS!$A$1:$N$100,2,FALSE)</f>
        <v>MSU</v>
      </c>
      <c r="C13" t="str">
        <f>VLOOKUP(A13,[115]WRDS!$A$1:$N$100,3,FALSE)</f>
        <v>ENTERGY CP</v>
      </c>
      <c r="D13">
        <f>VLOOKUP(A13,[115]WRDS!$A$1:$N$100,13,FALSE)</f>
        <v>2.44</v>
      </c>
      <c r="E13">
        <f>VLOOKUP(A13,[99]WRDS!$A$1:$N$100,13,FALSE)</f>
        <v>2.41</v>
      </c>
      <c r="F13" s="1">
        <f t="shared" si="3"/>
        <v>3.1072668533873569</v>
      </c>
      <c r="G13" s="1">
        <f t="shared" si="4"/>
        <v>3.0804437824000006</v>
      </c>
      <c r="H13" s="2">
        <f t="shared" si="0"/>
        <v>-3.0880451006852772E-3</v>
      </c>
      <c r="I13" s="2">
        <f>VLOOKUP(A13,[116]WRDS!$A$1:$O$100,10,FALSE)/100</f>
        <v>6.2300000000000001E-2</v>
      </c>
      <c r="J13" s="2">
        <f>VLOOKUP(A13,[116]WRDS!$A$1:$O$100,9,FALSE)/100</f>
        <v>0.06</v>
      </c>
      <c r="K13" s="2">
        <f t="shared" si="1"/>
        <v>21.174575813732389</v>
      </c>
      <c r="L13" s="2">
        <f t="shared" si="2"/>
        <v>20.4297680389076</v>
      </c>
      <c r="M13">
        <f>VLOOKUP(A13,[116]WRDS!$A$1:$O$100,8,FALSE)</f>
        <v>13</v>
      </c>
      <c r="N13">
        <f>VLOOKUP(A13,[116]WRDS!$A$1:$O$100,11,FALSE)</f>
        <v>2.1</v>
      </c>
      <c r="P13" s="111" t="s">
        <v>37</v>
      </c>
      <c r="Q13" s="111"/>
    </row>
    <row r="14" spans="1:17" x14ac:dyDescent="0.3">
      <c r="A14" t="s">
        <v>35</v>
      </c>
      <c r="B14" t="str">
        <f>VLOOKUP(A14,[115]WRDS!$A$1:$N$100,2,FALSE)</f>
        <v>EXC</v>
      </c>
      <c r="C14" t="str">
        <f>VLOOKUP(A14,[115]WRDS!$A$1:$N$100,3,FALSE)</f>
        <v>EXCEL INDS INC</v>
      </c>
      <c r="D14">
        <f>VLOOKUP(A14,[115]WRDS!$A$1:$N$100,13,FALSE)</f>
        <v>0.8</v>
      </c>
      <c r="E14">
        <f>VLOOKUP(A14,[99]WRDS!$A$1:$N$100,13,FALSE)</f>
        <v>1.46</v>
      </c>
      <c r="F14" s="1">
        <f t="shared" si="3"/>
        <v>1.1292652880000003</v>
      </c>
      <c r="G14" s="1">
        <f t="shared" si="4"/>
        <v>1.2588154880000004</v>
      </c>
      <c r="H14" s="2">
        <f t="shared" si="0"/>
        <v>0.16229325413624829</v>
      </c>
      <c r="I14" s="2">
        <f>VLOOKUP(A14,[116]WRDS!$A$1:$O$100,10,FALSE)/100</f>
        <v>0.09</v>
      </c>
      <c r="J14" s="2">
        <f>VLOOKUP(A14,[116]WRDS!$A$1:$O$100,9,FALSE)/100</f>
        <v>0.12</v>
      </c>
      <c r="K14" s="2">
        <f t="shared" si="1"/>
        <v>-0.44544829987546325</v>
      </c>
      <c r="L14" s="2">
        <f t="shared" si="2"/>
        <v>-0.2605977331672843</v>
      </c>
      <c r="M14">
        <f>VLOOKUP(A14,[116]WRDS!$A$1:$O$100,8,FALSE)</f>
        <v>3</v>
      </c>
      <c r="N14">
        <f>VLOOKUP(A14,[116]WRDS!$A$1:$O$100,11,FALSE)</f>
        <v>7.94</v>
      </c>
      <c r="P14" t="s">
        <v>39</v>
      </c>
      <c r="Q14" s="1">
        <f>AVERAGE(M2:M1002)</f>
        <v>7.5277777777777777</v>
      </c>
    </row>
    <row r="15" spans="1:17" x14ac:dyDescent="0.3">
      <c r="A15" t="s">
        <v>36</v>
      </c>
      <c r="B15" t="str">
        <f>VLOOKUP(A15,[115]WRDS!$A$1:$N$100,2,FALSE)</f>
        <v>HE</v>
      </c>
      <c r="C15" t="str">
        <f>VLOOKUP(A15,[115]WRDS!$A$1:$N$100,3,FALSE)</f>
        <v>HAWAIIAN ELEC</v>
      </c>
      <c r="D15">
        <f>VLOOKUP(A15,[115]WRDS!$A$1:$N$100,13,FALSE)</f>
        <v>1.28</v>
      </c>
      <c r="E15">
        <f>VLOOKUP(A15,[99]WRDS!$A$1:$N$100,13,FALSE)</f>
        <v>1.29</v>
      </c>
      <c r="F15" s="1">
        <f t="shared" si="3"/>
        <v>1.4745143086284802</v>
      </c>
      <c r="G15" s="1">
        <f t="shared" si="4"/>
        <v>1.4859335336140802</v>
      </c>
      <c r="H15" s="2">
        <f t="shared" si="0"/>
        <v>1.9474288918870375E-3</v>
      </c>
      <c r="I15" s="2">
        <f>VLOOKUP(A15,[116]WRDS!$A$1:$O$100,10,FALSE)/100</f>
        <v>3.6000000000000004E-2</v>
      </c>
      <c r="J15" s="2">
        <f>VLOOKUP(A15,[116]WRDS!$A$1:$O$100,9,FALSE)/100</f>
        <v>3.7999999999999999E-2</v>
      </c>
      <c r="K15" s="2">
        <f t="shared" si="1"/>
        <v>17.485912451014524</v>
      </c>
      <c r="L15" s="2">
        <f t="shared" si="2"/>
        <v>18.512907587181996</v>
      </c>
      <c r="M15">
        <f>VLOOKUP(A15,[116]WRDS!$A$1:$O$100,8,FALSE)</f>
        <v>3</v>
      </c>
      <c r="N15">
        <f>VLOOKUP(A15,[116]WRDS!$A$1:$O$100,11,FALSE)</f>
        <v>0.53</v>
      </c>
      <c r="P15" t="s">
        <v>41</v>
      </c>
      <c r="Q15" s="1">
        <f>COUNT(N2:N1002)</f>
        <v>36</v>
      </c>
    </row>
    <row r="16" spans="1:17" x14ac:dyDescent="0.3">
      <c r="A16" t="s">
        <v>38</v>
      </c>
      <c r="B16" t="str">
        <f>VLOOKUP(A16,[115]WRDS!$A$1:$N$100,2,FALSE)</f>
        <v>IDA</v>
      </c>
      <c r="C16" t="str">
        <f>VLOOKUP(A16,[115]WRDS!$A$1:$N$100,3,FALSE)</f>
        <v>IDAHO POWER CO</v>
      </c>
      <c r="D16">
        <f>VLOOKUP(A16,[115]WRDS!$A$1:$N$100,13,FALSE)</f>
        <v>1.92</v>
      </c>
      <c r="E16">
        <f>VLOOKUP(A16,[99]WRDS!$A$1:$N$100,13,FALSE)</f>
        <v>1.8</v>
      </c>
      <c r="F16" s="1">
        <f t="shared" si="3"/>
        <v>2.1400728180750006</v>
      </c>
      <c r="G16" s="1">
        <f t="shared" si="4"/>
        <v>2.1193207499999995</v>
      </c>
      <c r="H16" s="2">
        <f t="shared" si="0"/>
        <v>-1.6005164367284719E-2</v>
      </c>
      <c r="I16" s="2">
        <f>VLOOKUP(A16,[116]WRDS!$A$1:$O$100,10,FALSE)/100</f>
        <v>2.75E-2</v>
      </c>
      <c r="J16" s="2">
        <f>VLOOKUP(A16,[116]WRDS!$A$1:$O$100,9,FALSE)/100</f>
        <v>2.5000000000000001E-2</v>
      </c>
      <c r="K16" s="2">
        <f t="shared" si="1"/>
        <v>2.7181954129887753</v>
      </c>
      <c r="L16" s="2">
        <f t="shared" si="2"/>
        <v>2.561995829989796</v>
      </c>
      <c r="M16">
        <f>VLOOKUP(A16,[116]WRDS!$A$1:$O$100,8,FALSE)</f>
        <v>8</v>
      </c>
      <c r="N16">
        <f>VLOOKUP(A16,[116]WRDS!$A$1:$O$100,11,FALSE)</f>
        <v>1.77</v>
      </c>
    </row>
    <row r="17" spans="1:14" x14ac:dyDescent="0.3">
      <c r="A17" t="s">
        <v>78</v>
      </c>
      <c r="B17" t="str">
        <f>VLOOKUP(A17,[115]WRDS!$A$1:$N$100,2,FALSE)</f>
        <v>NU</v>
      </c>
      <c r="C17" t="str">
        <f>VLOOKUP(A17,[115]WRDS!$A$1:$N$100,3,FALSE)</f>
        <v>NORTHEAST UTILS</v>
      </c>
      <c r="D17">
        <f>VLOOKUP(A17,[115]WRDS!$A$1:$N$100,13,FALSE)</f>
        <v>1.94</v>
      </c>
      <c r="E17">
        <f>VLOOKUP(A17,[99]WRDS!$A$1:$N$100,13,FALSE)</f>
        <v>2.2999999999999998</v>
      </c>
      <c r="F17" s="1">
        <f t="shared" si="3"/>
        <v>2.2391281797767206</v>
      </c>
      <c r="G17" s="1">
        <f t="shared" si="4"/>
        <v>2.2261946212124992</v>
      </c>
      <c r="H17" s="2">
        <f t="shared" si="0"/>
        <v>4.3473745797077079E-2</v>
      </c>
      <c r="I17" s="2">
        <f>VLOOKUP(A17,[116]WRDS!$A$1:$O$100,10,FALSE)/100</f>
        <v>3.6499999999999998E-2</v>
      </c>
      <c r="J17" s="2">
        <f>VLOOKUP(A17,[116]WRDS!$A$1:$O$100,9,FALSE)/100</f>
        <v>3.5000000000000003E-2</v>
      </c>
      <c r="K17" s="2">
        <f t="shared" si="1"/>
        <v>-0.16041281166864521</v>
      </c>
      <c r="L17" s="2">
        <f t="shared" si="2"/>
        <v>-0.19491639475075553</v>
      </c>
      <c r="M17">
        <f>VLOOKUP(A17,[116]WRDS!$A$1:$O$100,8,FALSE)</f>
        <v>10</v>
      </c>
      <c r="N17">
        <f>VLOOKUP(A17,[116]WRDS!$A$1:$O$100,11,FALSE)</f>
        <v>1.65</v>
      </c>
    </row>
    <row r="18" spans="1:14" x14ac:dyDescent="0.3">
      <c r="A18" t="s">
        <v>69</v>
      </c>
      <c r="B18" t="str">
        <f>VLOOKUP(A18,[115]WRDS!$A$1:$N$100,2,FALSE)</f>
        <v>OTTR</v>
      </c>
      <c r="C18" t="str">
        <f>VLOOKUP(A18,[115]WRDS!$A$1:$N$100,3,FALSE)</f>
        <v>OTTER TAIL PWR</v>
      </c>
      <c r="D18">
        <f>VLOOKUP(A18,[115]WRDS!$A$1:$N$100,13,FALSE)</f>
        <v>0.995</v>
      </c>
      <c r="E18">
        <f>VLOOKUP(A18,[99]WRDS!$A$1:$N$100,13,FALSE)</f>
        <v>1.17</v>
      </c>
      <c r="F18" s="1">
        <f t="shared" si="3"/>
        <v>1.0982938261718747</v>
      </c>
      <c r="G18" s="1">
        <f t="shared" si="4"/>
        <v>1.0982938261718747</v>
      </c>
      <c r="H18" s="2">
        <f t="shared" si="0"/>
        <v>4.1335550697757295E-2</v>
      </c>
      <c r="I18" s="2">
        <f>VLOOKUP(A18,[116]WRDS!$A$1:$O$100,10,FALSE)/100</f>
        <v>2.5000000000000001E-2</v>
      </c>
      <c r="J18" s="2">
        <f>VLOOKUP(A18,[116]WRDS!$A$1:$O$100,9,FALSE)/100</f>
        <v>2.5000000000000001E-2</v>
      </c>
      <c r="K18" s="2">
        <f t="shared" si="1"/>
        <v>-0.39519373570710881</v>
      </c>
      <c r="L18" s="2">
        <f t="shared" si="2"/>
        <v>-0.39519373570710881</v>
      </c>
      <c r="M18">
        <f>VLOOKUP(A18,[116]WRDS!$A$1:$O$100,8,FALSE)</f>
        <v>2</v>
      </c>
      <c r="N18">
        <f>VLOOKUP(A18,[116]WRDS!$A$1:$O$100,11,FALSE)</f>
        <v>0.71</v>
      </c>
    </row>
    <row r="19" spans="1:14" x14ac:dyDescent="0.3">
      <c r="A19" t="s">
        <v>46</v>
      </c>
      <c r="B19" t="str">
        <f>VLOOKUP(A19,[115]WRDS!$A$1:$N$100,2,FALSE)</f>
        <v>PEG</v>
      </c>
      <c r="C19" t="str">
        <f>VLOOKUP(A19,[115]WRDS!$A$1:$N$100,3,FALSE)</f>
        <v>PUB SVC ENTERS</v>
      </c>
      <c r="D19">
        <f>VLOOKUP(A19,[115]WRDS!$A$1:$N$100,13,FALSE)</f>
        <v>1.2849999999999999</v>
      </c>
      <c r="E19">
        <f>VLOOKUP(A19,[99]WRDS!$A$1:$N$100,13,FALSE)</f>
        <v>1.385</v>
      </c>
      <c r="F19" s="1">
        <f t="shared" si="3"/>
        <v>1.4278328705504351</v>
      </c>
      <c r="G19" s="1">
        <f t="shared" si="4"/>
        <v>1.4295024435216843</v>
      </c>
      <c r="H19" s="2">
        <f t="shared" si="0"/>
        <v>1.8911963306200708E-2</v>
      </c>
      <c r="I19" s="2">
        <f>VLOOKUP(A19,[116]WRDS!$A$1:$O$100,10,FALSE)/100</f>
        <v>2.6699999999999998E-2</v>
      </c>
      <c r="J19" s="2">
        <f>VLOOKUP(A19,[116]WRDS!$A$1:$O$100,9,FALSE)/100</f>
        <v>2.7000000000000003E-2</v>
      </c>
      <c r="K19" s="2">
        <f t="shared" si="1"/>
        <v>0.4118047696954768</v>
      </c>
      <c r="L19" s="2">
        <f t="shared" si="2"/>
        <v>0.4276677446358757</v>
      </c>
      <c r="M19">
        <f>VLOOKUP(A19,[116]WRDS!$A$1:$O$100,8,FALSE)</f>
        <v>12</v>
      </c>
      <c r="N19">
        <f>VLOOKUP(A19,[116]WRDS!$A$1:$O$100,11,FALSE)</f>
        <v>0.6</v>
      </c>
    </row>
    <row r="20" spans="1:14" x14ac:dyDescent="0.3">
      <c r="A20" t="s">
        <v>74</v>
      </c>
      <c r="B20" t="str">
        <f>VLOOKUP(A20,[115]WRDS!$A$1:$N$100,2,FALSE)</f>
        <v>PGN</v>
      </c>
      <c r="C20" t="str">
        <f>VLOOKUP(A20,[115]WRDS!$A$1:$N$100,3,FALSE)</f>
        <v>PORTLAND GEN CP</v>
      </c>
      <c r="D20">
        <f>VLOOKUP(A20,[115]WRDS!$A$1:$N$100,13,FALSE)</f>
        <v>2.16</v>
      </c>
      <c r="E20">
        <f>VLOOKUP(A20,[99]WRDS!$A$1:$N$100,13,FALSE)</f>
        <v>1.88</v>
      </c>
      <c r="F20" s="1">
        <f t="shared" si="3"/>
        <v>2.6556279807189598</v>
      </c>
      <c r="G20" s="1">
        <f t="shared" si="4"/>
        <v>2.575840177349999</v>
      </c>
      <c r="H20" s="2">
        <f t="shared" si="0"/>
        <v>-3.4113659097779081E-2</v>
      </c>
      <c r="I20" s="2">
        <f>VLOOKUP(A20,[116]WRDS!$A$1:$O$100,10,FALSE)/100</f>
        <v>5.2999999999999999E-2</v>
      </c>
      <c r="J20" s="2">
        <f>VLOOKUP(A20,[116]WRDS!$A$1:$O$100,9,FALSE)/100</f>
        <v>4.4999999999999998E-2</v>
      </c>
      <c r="K20" s="2">
        <f t="shared" si="1"/>
        <v>2.553629877348762</v>
      </c>
      <c r="L20" s="2">
        <f t="shared" si="2"/>
        <v>2.319119707182911</v>
      </c>
      <c r="M20">
        <f>VLOOKUP(A20,[116]WRDS!$A$1:$O$100,8,FALSE)</f>
        <v>8</v>
      </c>
      <c r="N20">
        <f>VLOOKUP(A20,[116]WRDS!$A$1:$O$100,11,FALSE)</f>
        <v>2.2999999999999998</v>
      </c>
    </row>
    <row r="21" spans="1:14" x14ac:dyDescent="0.3">
      <c r="A21" t="s">
        <v>47</v>
      </c>
      <c r="B21" t="str">
        <f>VLOOKUP(A21,[115]WRDS!$A$1:$N$100,2,FALSE)</f>
        <v>PNM</v>
      </c>
      <c r="C21" t="str">
        <f>VLOOKUP(A21,[115]WRDS!$A$1:$N$100,3,FALSE)</f>
        <v>PUB SVC N MEX</v>
      </c>
      <c r="D21">
        <f>VLOOKUP(A21,[115]WRDS!$A$1:$N$100,13,FALSE)</f>
        <v>0.15329999999999999</v>
      </c>
      <c r="E21">
        <f>VLOOKUP(A21,[99]WRDS!$A$1:$N$100,13,FALSE)</f>
        <v>1.08</v>
      </c>
      <c r="F21" s="1">
        <f t="shared" si="3"/>
        <v>0.18690564198559903</v>
      </c>
      <c r="G21" s="1">
        <f t="shared" si="4"/>
        <v>0.19171833958536336</v>
      </c>
      <c r="H21" s="2">
        <f t="shared" si="0"/>
        <v>0.62918498987157778</v>
      </c>
      <c r="I21" s="2">
        <f>VLOOKUP(A21,[116]WRDS!$A$1:$O$100,10,FALSE)/100</f>
        <v>5.0799999999999998E-2</v>
      </c>
      <c r="J21" s="2">
        <f>VLOOKUP(A21,[116]WRDS!$A$1:$O$100,9,FALSE)/100</f>
        <v>5.7500000000000002E-2</v>
      </c>
      <c r="K21" s="2">
        <f t="shared" si="1"/>
        <v>-0.9192606295163388</v>
      </c>
      <c r="L21" s="2">
        <f t="shared" si="2"/>
        <v>-0.90861193301554088</v>
      </c>
      <c r="M21">
        <f>VLOOKUP(A21,[116]WRDS!$A$1:$O$100,8,FALSE)</f>
        <v>6</v>
      </c>
      <c r="N21">
        <f>VLOOKUP(A21,[116]WRDS!$A$1:$O$100,11,FALSE)</f>
        <v>7.16</v>
      </c>
    </row>
    <row r="22" spans="1:14" x14ac:dyDescent="0.3">
      <c r="A22" t="s">
        <v>48</v>
      </c>
      <c r="B22" t="str">
        <f>VLOOKUP(A22,[115]WRDS!$A$1:$N$100,2,FALSE)</f>
        <v>AZP</v>
      </c>
      <c r="C22" t="str">
        <f>VLOOKUP(A22,[115]WRDS!$A$1:$N$100,3,FALSE)</f>
        <v>PINNACLE WST CAP</v>
      </c>
      <c r="D22">
        <f>VLOOKUP(A22,[115]WRDS!$A$1:$N$100,13,FALSE)</f>
        <v>1.1000000000000001</v>
      </c>
      <c r="E22">
        <f>VLOOKUP(A22,[99]WRDS!$A$1:$N$100,13,FALSE)</f>
        <v>2</v>
      </c>
      <c r="F22" s="1">
        <f t="shared" si="3"/>
        <v>1.538543386230468</v>
      </c>
      <c r="G22" s="1">
        <f t="shared" si="4"/>
        <v>1.5814270456875001</v>
      </c>
      <c r="H22" s="2">
        <f t="shared" si="0"/>
        <v>0.16120615091657342</v>
      </c>
      <c r="I22" s="2">
        <f>VLOOKUP(A22,[116]WRDS!$A$1:$O$100,10,FALSE)/100</f>
        <v>8.7499999999999994E-2</v>
      </c>
      <c r="J22" s="2">
        <f>VLOOKUP(A22,[116]WRDS!$A$1:$O$100,9,FALSE)/100</f>
        <v>9.5000000000000001E-2</v>
      </c>
      <c r="K22" s="2">
        <f t="shared" si="1"/>
        <v>-0.45721674078501789</v>
      </c>
      <c r="L22" s="2">
        <f t="shared" si="2"/>
        <v>-0.41069246142373367</v>
      </c>
      <c r="M22">
        <f>VLOOKUP(A22,[116]WRDS!$A$1:$O$100,8,FALSE)</f>
        <v>4</v>
      </c>
      <c r="N22">
        <f>VLOOKUP(A22,[116]WRDS!$A$1:$O$100,11,FALSE)</f>
        <v>3.4</v>
      </c>
    </row>
    <row r="23" spans="1:14" x14ac:dyDescent="0.3">
      <c r="A23" t="s">
        <v>51</v>
      </c>
      <c r="B23" t="str">
        <f>VLOOKUP(A23,[115]WRDS!$A$1:$N$100,2,FALSE)</f>
        <v>PPL</v>
      </c>
      <c r="C23" t="str">
        <f>VLOOKUP(A23,[115]WRDS!$A$1:$N$100,3,FALSE)</f>
        <v>PENNA P&amp;L</v>
      </c>
      <c r="D23">
        <f>VLOOKUP(A23,[115]WRDS!$A$1:$N$100,13,FALSE)</f>
        <v>0.98750000000000004</v>
      </c>
      <c r="E23">
        <f>VLOOKUP(A23,[99]WRDS!$A$1:$N$100,13,FALSE)</f>
        <v>0.98</v>
      </c>
      <c r="F23" s="1">
        <f t="shared" si="3"/>
        <v>1.1301164668247612</v>
      </c>
      <c r="G23" s="1">
        <f t="shared" si="4"/>
        <v>1.1114399498750001</v>
      </c>
      <c r="H23" s="2">
        <f t="shared" si="0"/>
        <v>-1.9041660487966183E-3</v>
      </c>
      <c r="I23" s="2">
        <f>VLOOKUP(A23,[116]WRDS!$A$1:$O$100,10,FALSE)/100</f>
        <v>3.4300000000000004E-2</v>
      </c>
      <c r="J23" s="2">
        <f>VLOOKUP(A23,[116]WRDS!$A$1:$O$100,9,FALSE)/100</f>
        <v>0.03</v>
      </c>
      <c r="K23" s="2">
        <f t="shared" si="1"/>
        <v>19.013134947803884</v>
      </c>
      <c r="L23" s="2">
        <f t="shared" si="2"/>
        <v>16.754928525775991</v>
      </c>
      <c r="M23">
        <f>VLOOKUP(A23,[116]WRDS!$A$1:$O$100,8,FALSE)</f>
        <v>11</v>
      </c>
      <c r="N23">
        <f>VLOOKUP(A23,[116]WRDS!$A$1:$O$100,11,FALSE)</f>
        <v>1.58</v>
      </c>
    </row>
    <row r="24" spans="1:14" x14ac:dyDescent="0.3">
      <c r="A24" t="s">
        <v>91</v>
      </c>
      <c r="B24" t="str">
        <f>VLOOKUP(A24,[115]WRDS!$A$1:$N$100,2,FALSE)</f>
        <v>PSD</v>
      </c>
      <c r="C24" t="str">
        <f>VLOOKUP(A24,[115]WRDS!$A$1:$N$100,3,FALSE)</f>
        <v>PUGET SOUND P&amp;L</v>
      </c>
      <c r="D24">
        <f>VLOOKUP(A24,[115]WRDS!$A$1:$N$100,13,FALSE)</f>
        <v>2.17</v>
      </c>
      <c r="E24">
        <f>VLOOKUP(A24,[99]WRDS!$A$1:$N$100,13,FALSE)</f>
        <v>1.86</v>
      </c>
      <c r="F24" s="1">
        <f t="shared" si="3"/>
        <v>2.4074487437640317</v>
      </c>
      <c r="G24" s="1">
        <f t="shared" si="4"/>
        <v>2.4423541176999999</v>
      </c>
      <c r="H24" s="2">
        <f t="shared" si="0"/>
        <v>-3.7804541804238423E-2</v>
      </c>
      <c r="I24" s="2">
        <f>VLOOKUP(A24,[116]WRDS!$A$1:$O$100,10,FALSE)/100</f>
        <v>2.63E-2</v>
      </c>
      <c r="J24" s="2">
        <f>VLOOKUP(A24,[116]WRDS!$A$1:$O$100,9,FALSE)/100</f>
        <v>0.03</v>
      </c>
      <c r="K24" s="2">
        <f t="shared" si="1"/>
        <v>1.6956836069112575</v>
      </c>
      <c r="L24" s="2">
        <f t="shared" si="2"/>
        <v>1.793555445145921</v>
      </c>
      <c r="M24">
        <f>VLOOKUP(A24,[116]WRDS!$A$1:$O$100,8,FALSE)</f>
        <v>4</v>
      </c>
      <c r="N24">
        <f>VLOOKUP(A24,[116]WRDS!$A$1:$O$100,11,FALSE)</f>
        <v>1.7</v>
      </c>
    </row>
    <row r="25" spans="1:14" x14ac:dyDescent="0.3">
      <c r="A25" t="s">
        <v>52</v>
      </c>
      <c r="B25" t="str">
        <f>VLOOKUP(A25,[115]WRDS!$A$1:$N$100,2,FALSE)</f>
        <v>SCG</v>
      </c>
      <c r="C25" t="str">
        <f>VLOOKUP(A25,[115]WRDS!$A$1:$N$100,3,FALSE)</f>
        <v>SCANA CP</v>
      </c>
      <c r="D25">
        <f>VLOOKUP(A25,[115]WRDS!$A$1:$N$100,13,FALSE)</f>
        <v>1.645</v>
      </c>
      <c r="E25">
        <f>VLOOKUP(A25,[99]WRDS!$A$1:$N$100,13,FALSE)</f>
        <v>1.7250000000000001</v>
      </c>
      <c r="F25" s="1">
        <f t="shared" si="3"/>
        <v>1.8507430827880533</v>
      </c>
      <c r="G25" s="1">
        <f t="shared" si="4"/>
        <v>1.85146199245</v>
      </c>
      <c r="H25" s="2">
        <f t="shared" si="0"/>
        <v>1.1942414488084863E-2</v>
      </c>
      <c r="I25" s="2">
        <f>VLOOKUP(A25,[116]WRDS!$A$1:$O$100,10,FALSE)/100</f>
        <v>2.9900000000000003E-2</v>
      </c>
      <c r="J25" s="2">
        <f>VLOOKUP(A25,[116]WRDS!$A$1:$O$100,9,FALSE)/100</f>
        <v>0.03</v>
      </c>
      <c r="K25" s="2">
        <f t="shared" si="1"/>
        <v>1.5036813141791143</v>
      </c>
      <c r="L25" s="2">
        <f t="shared" si="2"/>
        <v>1.5120548302800474</v>
      </c>
      <c r="M25">
        <f>VLOOKUP(A25,[116]WRDS!$A$1:$O$100,8,FALSE)</f>
        <v>7</v>
      </c>
      <c r="N25">
        <f>VLOOKUP(A25,[116]WRDS!$A$1:$O$100,11,FALSE)</f>
        <v>1.03</v>
      </c>
    </row>
    <row r="26" spans="1:14" x14ac:dyDescent="0.3">
      <c r="A26" t="s">
        <v>53</v>
      </c>
      <c r="B26" t="str">
        <f>VLOOKUP(A26,[115]WRDS!$A$1:$N$100,2,FALSE)</f>
        <v>SO</v>
      </c>
      <c r="C26" t="str">
        <f>VLOOKUP(A26,[115]WRDS!$A$1:$N$100,3,FALSE)</f>
        <v>SOUTHN CO</v>
      </c>
      <c r="D26">
        <f>VLOOKUP(A26,[115]WRDS!$A$1:$N$100,13,FALSE)</f>
        <v>1.3</v>
      </c>
      <c r="E26">
        <f>VLOOKUP(A26,[99]WRDS!$A$1:$N$100,13,FALSE)</f>
        <v>1.61</v>
      </c>
      <c r="F26" s="1">
        <f t="shared" si="3"/>
        <v>1.4366374448701713</v>
      </c>
      <c r="G26" s="1">
        <f t="shared" si="4"/>
        <v>1.4349567578124998</v>
      </c>
      <c r="H26" s="2">
        <f t="shared" si="0"/>
        <v>5.4922683681146056E-2</v>
      </c>
      <c r="I26" s="2">
        <f>VLOOKUP(A26,[116]WRDS!$A$1:$O$100,10,FALSE)/100</f>
        <v>2.53E-2</v>
      </c>
      <c r="J26" s="2">
        <f>VLOOKUP(A26,[116]WRDS!$A$1:$O$100,9,FALSE)/100</f>
        <v>2.5000000000000001E-2</v>
      </c>
      <c r="K26" s="2">
        <f t="shared" si="1"/>
        <v>-0.53935244412164396</v>
      </c>
      <c r="L26" s="2">
        <f t="shared" si="2"/>
        <v>-0.54481466810439128</v>
      </c>
      <c r="M26">
        <f>VLOOKUP(A26,[116]WRDS!$A$1:$O$100,8,FALSE)</f>
        <v>15</v>
      </c>
      <c r="N26">
        <f>VLOOKUP(A26,[116]WRDS!$A$1:$O$100,11,FALSE)</f>
        <v>0.85</v>
      </c>
    </row>
    <row r="27" spans="1:14" x14ac:dyDescent="0.3">
      <c r="A27" t="s">
        <v>55</v>
      </c>
      <c r="B27" t="str">
        <f>VLOOKUP(A27,[115]WRDS!$A$1:$N$100,2,FALSE)</f>
        <v>WPC</v>
      </c>
      <c r="C27" t="str">
        <f>VLOOKUP(A27,[115]WRDS!$A$1:$N$100,3,FALSE)</f>
        <v>WISCONSIN ENERGY</v>
      </c>
      <c r="D27">
        <f>VLOOKUP(A27,[115]WRDS!$A$1:$N$100,13,FALSE)</f>
        <v>0.92649999999999999</v>
      </c>
      <c r="E27">
        <f>VLOOKUP(A27,[99]WRDS!$A$1:$N$100,13,FALSE)</f>
        <v>1.0449999999999999</v>
      </c>
      <c r="F27" s="1">
        <f t="shared" si="3"/>
        <v>1.078464738914017</v>
      </c>
      <c r="G27" s="1">
        <f t="shared" si="4"/>
        <v>1.0838739558400001</v>
      </c>
      <c r="H27" s="2">
        <f t="shared" si="0"/>
        <v>3.0546794336175465E-2</v>
      </c>
      <c r="I27" s="2">
        <f>VLOOKUP(A27,[116]WRDS!$A$1:$O$100,10,FALSE)/100</f>
        <v>3.8699999999999998E-2</v>
      </c>
      <c r="J27" s="2">
        <f>VLOOKUP(A27,[116]WRDS!$A$1:$O$100,9,FALSE)/100</f>
        <v>0.04</v>
      </c>
      <c r="K27" s="2">
        <f t="shared" si="1"/>
        <v>0.26690871631557705</v>
      </c>
      <c r="L27" s="2">
        <f t="shared" si="2"/>
        <v>0.30946637345279293</v>
      </c>
      <c r="M27">
        <f>VLOOKUP(A27,[116]WRDS!$A$1:$O$100,8,FALSE)</f>
        <v>15</v>
      </c>
      <c r="N27">
        <f>VLOOKUP(A27,[116]WRDS!$A$1:$O$100,11,FALSE)</f>
        <v>1.04</v>
      </c>
    </row>
    <row r="28" spans="1:14" x14ac:dyDescent="0.3">
      <c r="A28" t="s">
        <v>132</v>
      </c>
      <c r="B28" t="str">
        <f>VLOOKUP(A28,'[5]Ticker List'!$H$4:$I$20,2,FALSE)</f>
        <v>EGAS</v>
      </c>
      <c r="C28" t="str">
        <f>VLOOKUP(A28,[117]cm4egnfwbimpsqmu!$B$1:$N$11,2,FALSE)</f>
        <v>ATMOS ENERGY CP</v>
      </c>
      <c r="D28">
        <f>VLOOKUP(A28,[117]cm4egnfwbimpsqmu!$B$1:$N$11,12,FALSE)</f>
        <v>0.55110000000000003</v>
      </c>
      <c r="E28">
        <f>VLOOKUP(A28,[101]ncyj0l0bmvzjjrms!$B$1:$N$13,12,FALSE)</f>
        <v>1.23</v>
      </c>
      <c r="F28" s="1">
        <f t="shared" si="3"/>
        <v>0.65719700080443721</v>
      </c>
      <c r="G28" s="1">
        <f t="shared" si="4"/>
        <v>0.65719700080443721</v>
      </c>
      <c r="H28" s="2">
        <f t="shared" si="0"/>
        <v>0.22227428560649742</v>
      </c>
      <c r="I28" s="2">
        <f>VLOOKUP(A28,'[118]5cm5zsidqgh5z984'!$B$1:$N$11,9,FALSE)/100</f>
        <v>4.4999999999999998E-2</v>
      </c>
      <c r="J28" s="2">
        <f>VLOOKUP(A28,'[118]5cm5zsidqgh5z984'!$B$1:$N$11,8,FALSE)/100</f>
        <v>4.4999999999999998E-2</v>
      </c>
      <c r="K28" s="2">
        <f t="shared" si="1"/>
        <v>-0.79754743164638675</v>
      </c>
      <c r="L28" s="2">
        <f t="shared" si="2"/>
        <v>-0.79754743164638675</v>
      </c>
      <c r="M28">
        <f>VLOOKUP(A28,'[118]5cm5zsidqgh5z984'!$B$1:$N$11,7,FALSE)</f>
        <v>2</v>
      </c>
      <c r="N28">
        <f>VLOOKUP(A28,'[118]5cm5zsidqgh5z984'!$B$1:$N$11,10,FALSE)</f>
        <v>2.12</v>
      </c>
    </row>
    <row r="29" spans="1:14" x14ac:dyDescent="0.3">
      <c r="A29" t="s">
        <v>134</v>
      </c>
      <c r="B29" t="str">
        <f>VLOOKUP(A29,'[5]Ticker List'!$H$4:$I$20,2,FALSE)</f>
        <v>NJR</v>
      </c>
      <c r="C29" t="str">
        <f>VLOOKUP(A29,[117]cm4egnfwbimpsqmu!$B$1:$N$11,2,FALSE)</f>
        <v>NEW JERSEY RES</v>
      </c>
      <c r="D29">
        <f>VLOOKUP(A29,[117]cm4egnfwbimpsqmu!$B$1:$N$11,12,FALSE)</f>
        <v>0.1867</v>
      </c>
      <c r="E29">
        <f>VLOOKUP(A29,[101]ncyj0l0bmvzjjrms!$B$1:$N$13,12,FALSE)</f>
        <v>0.42670000000000002</v>
      </c>
      <c r="F29" s="1">
        <f t="shared" si="3"/>
        <v>0.26170954304117305</v>
      </c>
      <c r="G29" s="1">
        <f t="shared" si="4"/>
        <v>0.27334747000000009</v>
      </c>
      <c r="H29" s="2">
        <f t="shared" si="0"/>
        <v>0.22954543361538771</v>
      </c>
      <c r="I29" s="2">
        <f>VLOOKUP(A29,'[118]5cm5zsidqgh5z984'!$B$1:$N$11,9,FALSE)/100</f>
        <v>8.8100000000000012E-2</v>
      </c>
      <c r="J29" s="2">
        <f>VLOOKUP(A29,'[118]5cm5zsidqgh5z984'!$B$1:$N$11,8,FALSE)/100</f>
        <v>0.1</v>
      </c>
      <c r="K29" s="2">
        <f t="shared" si="1"/>
        <v>-0.61619798480672461</v>
      </c>
      <c r="L29" s="2">
        <f t="shared" si="2"/>
        <v>-0.56435639592136744</v>
      </c>
      <c r="M29">
        <f>VLOOKUP(A29,'[118]5cm5zsidqgh5z984'!$B$1:$N$11,7,FALSE)</f>
        <v>7</v>
      </c>
      <c r="N29">
        <f>VLOOKUP(A29,'[118]5cm5zsidqgh5z984'!$B$1:$N$11,10,FALSE)</f>
        <v>2.68</v>
      </c>
    </row>
    <row r="30" spans="1:14" x14ac:dyDescent="0.3">
      <c r="A30" t="s">
        <v>135</v>
      </c>
      <c r="B30" t="str">
        <f>VLOOKUP(A30,'[5]Ticker List'!$H$4:$I$20,2,FALSE)</f>
        <v>NI</v>
      </c>
      <c r="C30" t="str">
        <f>VLOOKUP(A30,[117]cm4egnfwbimpsqmu!$B$1:$N$11,2,FALSE)</f>
        <v>NIPSCO IND INC</v>
      </c>
      <c r="D30">
        <f>VLOOKUP(A30,[117]cm4egnfwbimpsqmu!$B$1:$N$11,12,FALSE)</f>
        <v>0.9</v>
      </c>
      <c r="E30">
        <f>VLOOKUP(A30,[101]ncyj0l0bmvzjjrms!$B$1:$N$13,12,FALSE)</f>
        <v>1.23</v>
      </c>
      <c r="F30" s="1">
        <f t="shared" si="3"/>
        <v>1.1140969721555174</v>
      </c>
      <c r="G30" s="1">
        <f t="shared" si="4"/>
        <v>1.093955625</v>
      </c>
      <c r="H30" s="2">
        <f t="shared" si="0"/>
        <v>8.1223933535515158E-2</v>
      </c>
      <c r="I30" s="2">
        <f>VLOOKUP(A30,'[118]5cm5zsidqgh5z984'!$B$1:$N$11,9,FALSE)/100</f>
        <v>5.4800000000000001E-2</v>
      </c>
      <c r="J30" s="2">
        <f>VLOOKUP(A30,'[118]5cm5zsidqgh5z984'!$B$1:$N$11,8,FALSE)/100</f>
        <v>0.05</v>
      </c>
      <c r="K30" s="2">
        <f t="shared" si="1"/>
        <v>-0.32532201267944372</v>
      </c>
      <c r="L30" s="2">
        <f t="shared" si="2"/>
        <v>-0.38441789478051436</v>
      </c>
      <c r="M30">
        <f>VLOOKUP(A30,'[118]5cm5zsidqgh5z984'!$B$1:$N$11,7,FALSE)</f>
        <v>11</v>
      </c>
      <c r="N30">
        <f>VLOOKUP(A30,'[118]5cm5zsidqgh5z984'!$B$1:$N$11,10,FALSE)</f>
        <v>1.97</v>
      </c>
    </row>
    <row r="31" spans="1:14" x14ac:dyDescent="0.3">
      <c r="A31" t="s">
        <v>138</v>
      </c>
      <c r="B31" t="str">
        <f>VLOOKUP(A31,'[5]Ticker List'!$H$4:$I$20,2,FALSE)</f>
        <v>SJI</v>
      </c>
      <c r="C31" t="str">
        <f>VLOOKUP(A31,[117]cm4egnfwbimpsqmu!$B$1:$N$11,2,FALSE)</f>
        <v>SO JERSEY INDS</v>
      </c>
      <c r="D31">
        <f>VLOOKUP(A31,[117]cm4egnfwbimpsqmu!$B$1:$N$11,12,FALSE)</f>
        <v>0.32850000000000001</v>
      </c>
      <c r="E31">
        <f>VLOOKUP(A31,[101]ncyj0l0bmvzjjrms!$B$1:$N$13,12,FALSE)</f>
        <v>0.36249999999999999</v>
      </c>
      <c r="F31" s="1">
        <f t="shared" si="3"/>
        <v>0.3842985369600001</v>
      </c>
      <c r="G31" s="1">
        <f t="shared" si="4"/>
        <v>0.3842985369600001</v>
      </c>
      <c r="H31" s="2">
        <f t="shared" si="0"/>
        <v>2.4927531476617304E-2</v>
      </c>
      <c r="I31" s="2">
        <f>VLOOKUP(A31,'[118]5cm5zsidqgh5z984'!$B$1:$N$11,9,FALSE)/100</f>
        <v>0.04</v>
      </c>
      <c r="J31" s="2">
        <f>VLOOKUP(A31,'[118]5cm5zsidqgh5z984'!$B$1:$N$11,8,FALSE)/100</f>
        <v>0.04</v>
      </c>
      <c r="K31" s="2">
        <f t="shared" si="1"/>
        <v>0.6046514688998017</v>
      </c>
      <c r="L31" s="2">
        <f t="shared" si="2"/>
        <v>0.6046514688998017</v>
      </c>
      <c r="M31">
        <f>VLOOKUP(A31,'[118]5cm5zsidqgh5z984'!$B$1:$N$11,7,FALSE)</f>
        <v>1</v>
      </c>
      <c r="N31">
        <f>VLOOKUP(A31,'[118]5cm5zsidqgh5z984'!$B$1:$N$11,10,FALSE)</f>
        <v>0</v>
      </c>
    </row>
    <row r="32" spans="1:14" x14ac:dyDescent="0.3">
      <c r="A32" t="s">
        <v>139</v>
      </c>
      <c r="B32" t="str">
        <f>VLOOKUP(A32,'[5]Ticker List'!$H$4:$I$20,2,FALSE)</f>
        <v>SWX</v>
      </c>
      <c r="C32" t="str">
        <f>VLOOKUP(A32,[117]cm4egnfwbimpsqmu!$B$1:$N$11,2,FALSE)</f>
        <v>SOUTHWEST GAS</v>
      </c>
      <c r="D32">
        <f>VLOOKUP(A32,[117]cm4egnfwbimpsqmu!$B$1:$N$11,12,FALSE)</f>
        <v>1.81</v>
      </c>
      <c r="E32">
        <f>VLOOKUP(A32,[101]ncyj0l0bmvzjjrms!$B$1:$N$13,12,FALSE)</f>
        <v>1.21</v>
      </c>
      <c r="F32" s="1">
        <f t="shared" si="3"/>
        <v>2.1313228031686822</v>
      </c>
      <c r="G32" s="1">
        <f t="shared" si="4"/>
        <v>2.2000663125000002</v>
      </c>
      <c r="H32" s="2">
        <f t="shared" si="0"/>
        <v>-9.577460726217002E-2</v>
      </c>
      <c r="I32" s="2">
        <f>VLOOKUP(A32,'[118]5cm5zsidqgh5z984'!$B$1:$N$11,9,FALSE)/100</f>
        <v>4.1700000000000001E-2</v>
      </c>
      <c r="J32" s="2">
        <f>VLOOKUP(A32,'[118]5cm5zsidqgh5z984'!$B$1:$N$11,8,FALSE)/100</f>
        <v>0.05</v>
      </c>
      <c r="K32" s="2">
        <f t="shared" si="1"/>
        <v>1.4353972435078945</v>
      </c>
      <c r="L32" s="2">
        <f t="shared" si="2"/>
        <v>1.5220590449734945</v>
      </c>
      <c r="M32">
        <f>VLOOKUP(A32,'[118]5cm5zsidqgh5z984'!$B$1:$N$11,7,FALSE)</f>
        <v>6</v>
      </c>
      <c r="N32">
        <f>VLOOKUP(A32,'[118]5cm5zsidqgh5z984'!$B$1:$N$11,10,FALSE)</f>
        <v>2.71</v>
      </c>
    </row>
    <row r="33" spans="1:14" x14ac:dyDescent="0.3">
      <c r="A33" t="s">
        <v>148</v>
      </c>
      <c r="B33" t="str">
        <f>VLOOKUP(A33,'[5]Ticker List'!$H$4:$I$20,2,FALSE)</f>
        <v>AGLT</v>
      </c>
      <c r="C33" t="str">
        <f>VLOOKUP(A33,[117]cm4egnfwbimpsqmu!$B$1:$N$11,2,FALSE)</f>
        <v>ATLANTA GAS LT</v>
      </c>
      <c r="D33">
        <f>VLOOKUP(A33,[117]cm4egnfwbimpsqmu!$B$1:$N$11,12,FALSE)</f>
        <v>1.0549999999999999</v>
      </c>
      <c r="E33">
        <f>VLOOKUP(A33,[101]ncyj0l0bmvzjjrms!$B$1:$N$13,12,FALSE)</f>
        <v>1.4550000000000001</v>
      </c>
      <c r="F33" s="1">
        <f t="shared" si="3"/>
        <v>1.3684714015860651</v>
      </c>
      <c r="G33" s="1">
        <f t="shared" si="4"/>
        <v>1.3828897905499999</v>
      </c>
      <c r="H33" s="2">
        <f t="shared" si="0"/>
        <v>8.3683930448816835E-2</v>
      </c>
      <c r="I33" s="2">
        <f>VLOOKUP(A33,'[118]5cm5zsidqgh5z984'!$B$1:$N$11,9,FALSE)/100</f>
        <v>6.7199999999999996E-2</v>
      </c>
      <c r="J33" s="2">
        <f>VLOOKUP(A33,'[118]5cm5zsidqgh5z984'!$B$1:$N$11,8,FALSE)/100</f>
        <v>7.0000000000000007E-2</v>
      </c>
      <c r="K33" s="2">
        <f t="shared" si="1"/>
        <v>-0.19697844449238458</v>
      </c>
      <c r="L33" s="2">
        <f t="shared" si="2"/>
        <v>-0.16351921301290048</v>
      </c>
      <c r="M33">
        <f>VLOOKUP(A33,'[118]5cm5zsidqgh5z984'!$B$1:$N$11,7,FALSE)</f>
        <v>9</v>
      </c>
      <c r="N33">
        <f>VLOOKUP(A33,'[118]5cm5zsidqgh5z984'!$B$1:$N$11,10,FALSE)</f>
        <v>1.68</v>
      </c>
    </row>
    <row r="34" spans="1:14" x14ac:dyDescent="0.3">
      <c r="A34" t="s">
        <v>144</v>
      </c>
      <c r="B34" t="str">
        <f>VLOOKUP(A34,'[5]Ticker List'!$H$4:$I$20,2,FALSE)</f>
        <v>GAS</v>
      </c>
      <c r="C34" t="str">
        <f>VLOOKUP(A34,[117]cm4egnfwbimpsqmu!$B$1:$N$11,2,FALSE)</f>
        <v>NICOR INC</v>
      </c>
      <c r="D34">
        <f>VLOOKUP(A34,[117]cm4egnfwbimpsqmu!$B$1:$N$11,12,FALSE)</f>
        <v>1.93</v>
      </c>
      <c r="E34">
        <f>VLOOKUP(A34,[101]ncyj0l0bmvzjjrms!$B$1:$N$13,12,FALSE)</f>
        <v>2.06</v>
      </c>
      <c r="F34" s="1">
        <f t="shared" si="3"/>
        <v>2.4987711861952673</v>
      </c>
      <c r="G34" s="1">
        <f t="shared" si="4"/>
        <v>2.5298362992999999</v>
      </c>
      <c r="H34" s="2">
        <f t="shared" si="0"/>
        <v>1.6430007119362156E-2</v>
      </c>
      <c r="I34" s="2">
        <f>VLOOKUP(A34,'[118]5cm5zsidqgh5z984'!$B$1:$N$11,9,FALSE)/100</f>
        <v>6.6699999999999995E-2</v>
      </c>
      <c r="J34" s="2">
        <f>VLOOKUP(A34,'[118]5cm5zsidqgh5z984'!$B$1:$N$11,8,FALSE)/100</f>
        <v>7.0000000000000007E-2</v>
      </c>
      <c r="K34" s="2">
        <f t="shared" si="1"/>
        <v>3.0596452281141446</v>
      </c>
      <c r="L34" s="2">
        <f t="shared" si="2"/>
        <v>3.2604972408994026</v>
      </c>
      <c r="M34">
        <f>VLOOKUP(A34,'[118]5cm5zsidqgh5z984'!$B$1:$N$11,7,FALSE)</f>
        <v>9</v>
      </c>
      <c r="N34">
        <f>VLOOKUP(A34,'[118]5cm5zsidqgh5z984'!$B$1:$N$11,10,FALSE)</f>
        <v>2.4500000000000002</v>
      </c>
    </row>
    <row r="35" spans="1:14" x14ac:dyDescent="0.3">
      <c r="A35" t="s">
        <v>146</v>
      </c>
      <c r="B35" t="str">
        <f>VLOOKUP(A35,'[5]Ticker List'!$H$4:$I$20,2,FALSE)</f>
        <v>PNY</v>
      </c>
      <c r="C35" t="str">
        <f>VLOOKUP(A35,[117]cm4egnfwbimpsqmu!$B$1:$N$11,2,FALSE)</f>
        <v>PIEDMONT NAT GAS</v>
      </c>
      <c r="D35">
        <f>VLOOKUP(A35,[117]cm4egnfwbimpsqmu!$B$1:$N$11,12,FALSE)</f>
        <v>0.5</v>
      </c>
      <c r="E35">
        <f>VLOOKUP(A35,[101]ncyj0l0bmvzjjrms!$B$1:$N$13,12,FALSE)</f>
        <v>0.755</v>
      </c>
      <c r="F35" s="1">
        <f t="shared" si="3"/>
        <v>0.77641461763898822</v>
      </c>
      <c r="G35" s="1">
        <f t="shared" si="4"/>
        <v>0.77641461763898822</v>
      </c>
      <c r="H35" s="2">
        <f t="shared" si="0"/>
        <v>0.10852179624238811</v>
      </c>
      <c r="I35" s="2">
        <f>VLOOKUP(A35,'[118]5cm5zsidqgh5z984'!$B$1:$N$11,9,FALSE)/100</f>
        <v>0.11630000000000001</v>
      </c>
      <c r="J35" s="2">
        <f>VLOOKUP(A35,'[118]5cm5zsidqgh5z984'!$B$1:$N$11,8,FALSE)/100</f>
        <v>0.11630000000000001</v>
      </c>
      <c r="K35" s="2">
        <f t="shared" si="1"/>
        <v>7.1674115495093241E-2</v>
      </c>
      <c r="L35" s="2">
        <f t="shared" si="2"/>
        <v>7.1674115495093241E-2</v>
      </c>
      <c r="M35">
        <f>VLOOKUP(A35,'[118]5cm5zsidqgh5z984'!$B$1:$N$11,7,FALSE)</f>
        <v>2</v>
      </c>
      <c r="N35">
        <f>VLOOKUP(A35,'[118]5cm5zsidqgh5z984'!$B$1:$N$11,10,FALSE)</f>
        <v>1.94</v>
      </c>
    </row>
    <row r="36" spans="1:14" x14ac:dyDescent="0.3">
      <c r="A36" t="s">
        <v>145</v>
      </c>
      <c r="B36" t="str">
        <f>VLOOKUP(A36,'[5]Ticker List'!$H$4:$I$20,2,FALSE)</f>
        <v>WGL</v>
      </c>
      <c r="C36" t="str">
        <f>VLOOKUP(A36,[117]cm4egnfwbimpsqmu!$B$1:$N$11,2,FALSE)</f>
        <v>WASH GAS LT</v>
      </c>
      <c r="D36">
        <f>VLOOKUP(A36,[117]cm4egnfwbimpsqmu!$B$1:$N$11,12,FALSE)</f>
        <v>1.145</v>
      </c>
      <c r="E36">
        <f>VLOOKUP(A36,[101]ncyj0l0bmvzjjrms!$B$1:$N$13,12,FALSE)</f>
        <v>1.45</v>
      </c>
      <c r="F36" s="1">
        <f t="shared" si="3"/>
        <v>1.3654337977156243</v>
      </c>
      <c r="G36" s="1">
        <f t="shared" si="4"/>
        <v>1.3654337977156243</v>
      </c>
      <c r="H36" s="2">
        <f t="shared" si="0"/>
        <v>6.0817386025534104E-2</v>
      </c>
      <c r="I36" s="2">
        <f>VLOOKUP(A36,'[118]5cm5zsidqgh5z984'!$B$1:$N$11,9,FALSE)/100</f>
        <v>4.4999999999999998E-2</v>
      </c>
      <c r="J36" s="2">
        <f>VLOOKUP(A36,'[118]5cm5zsidqgh5z984'!$B$1:$N$11,8,FALSE)/100</f>
        <v>4.4999999999999998E-2</v>
      </c>
      <c r="K36" s="2">
        <f t="shared" si="1"/>
        <v>-0.26008000440685164</v>
      </c>
      <c r="L36" s="2">
        <f t="shared" si="2"/>
        <v>-0.26008000440685164</v>
      </c>
      <c r="M36">
        <f>VLOOKUP(A36,'[118]5cm5zsidqgh5z984'!$B$1:$N$11,7,FALSE)</f>
        <v>6</v>
      </c>
      <c r="N36">
        <f>VLOOKUP(A36,'[118]5cm5zsidqgh5z984'!$B$1:$N$11,10,FALSE)</f>
        <v>1.38</v>
      </c>
    </row>
    <row r="37" spans="1:14" x14ac:dyDescent="0.3">
      <c r="A37" t="s">
        <v>149</v>
      </c>
      <c r="B37" t="str">
        <f>VLOOKUP(A37,'[5]Ticker List'!$H$4:$I$20,2,FALSE)</f>
        <v>CGC</v>
      </c>
      <c r="C37" t="str">
        <f>VLOOKUP(A37,[117]cm4egnfwbimpsqmu!$B$1:$N$11,2,FALSE)</f>
        <v>CASCADE NAT GAS</v>
      </c>
      <c r="D37">
        <f>VLOOKUP(A37,[117]cm4egnfwbimpsqmu!$B$1:$N$11,12,FALSE)</f>
        <v>1.3733</v>
      </c>
      <c r="E37">
        <f>VLOOKUP(A37,[101]ncyj0l0bmvzjjrms!$B$1:$N$13,12,FALSE)</f>
        <v>0.6</v>
      </c>
      <c r="F37" s="1">
        <f t="shared" si="3"/>
        <v>1.8683594887680004</v>
      </c>
      <c r="G37" s="1">
        <f t="shared" si="4"/>
        <v>1.8683594887680004</v>
      </c>
      <c r="H37" s="2">
        <f t="shared" si="0"/>
        <v>-0.18698893267412209</v>
      </c>
      <c r="I37" s="2">
        <f>VLOOKUP(A37,'[118]5cm5zsidqgh5z984'!$B$1:$N$11,9,FALSE)/100</f>
        <v>0.08</v>
      </c>
      <c r="J37" s="2">
        <f>VLOOKUP(A37,'[118]5cm5zsidqgh5z984'!$B$1:$N$11,8,FALSE)/100</f>
        <v>0.08</v>
      </c>
      <c r="K37" s="2">
        <f t="shared" si="1"/>
        <v>1.4278328072999982</v>
      </c>
      <c r="L37" s="2">
        <f t="shared" si="2"/>
        <v>1.4278328072999982</v>
      </c>
      <c r="M37">
        <f>VLOOKUP(A37,'[118]5cm5zsidqgh5z984'!$B$1:$N$11,7,FALSE)</f>
        <v>1</v>
      </c>
      <c r="N37">
        <f>VLOOKUP(A37,'[118]5cm5zsidqgh5z984'!$B$1:$N$11,10,FALSE)</f>
        <v>0</v>
      </c>
    </row>
  </sheetData>
  <mergeCells count="3">
    <mergeCell ref="P1:Q1"/>
    <mergeCell ref="P7:Q7"/>
    <mergeCell ref="P13:Q13"/>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813FD4-2D8C-4EE8-942E-7D52335967B9}">
  <dimension ref="A1:Q38"/>
  <sheetViews>
    <sheetView workbookViewId="0">
      <selection activeCell="A29" sqref="A29"/>
    </sheetView>
  </sheetViews>
  <sheetFormatPr defaultRowHeight="14.4" x14ac:dyDescent="0.3"/>
  <cols>
    <col min="1" max="1" width="13.33203125" bestFit="1" customWidth="1"/>
    <col min="2" max="2" width="10.44140625" bestFit="1" customWidth="1"/>
    <col min="3" max="3" width="15.109375" bestFit="1" customWidth="1"/>
    <col min="4" max="5" width="15.44140625" bestFit="1" customWidth="1"/>
    <col min="6" max="6" width="14.33203125" bestFit="1" customWidth="1"/>
    <col min="7" max="7" width="16" bestFit="1" customWidth="1"/>
    <col min="8" max="8" width="18.33203125" bestFit="1" customWidth="1"/>
    <col min="9" max="9" width="21.44140625" bestFit="1" customWidth="1"/>
    <col min="10" max="10" width="23.109375" bestFit="1" customWidth="1"/>
    <col min="11" max="11" width="22" bestFit="1" customWidth="1"/>
    <col min="12" max="12" width="24.109375" bestFit="1" customWidth="1"/>
    <col min="13" max="13" width="19.88671875" bestFit="1" customWidth="1"/>
    <col min="14" max="14" width="8.33203125" bestFit="1" customWidth="1"/>
    <col min="16" max="16" width="51.88671875" bestFit="1" customWidth="1"/>
    <col min="17" max="17" width="10.109375" bestFit="1" customWidth="1"/>
  </cols>
  <sheetData>
    <row r="1" spans="1:17" x14ac:dyDescent="0.3">
      <c r="A1" t="s">
        <v>0</v>
      </c>
      <c r="B1" t="s">
        <v>1</v>
      </c>
      <c r="C1" t="s">
        <v>2</v>
      </c>
      <c r="D1" t="s">
        <v>108</v>
      </c>
      <c r="E1" t="s">
        <v>104</v>
      </c>
      <c r="F1" t="s">
        <v>5</v>
      </c>
      <c r="G1" t="s">
        <v>6</v>
      </c>
      <c r="H1" t="s">
        <v>7</v>
      </c>
      <c r="I1" t="s">
        <v>8</v>
      </c>
      <c r="J1" t="s">
        <v>9</v>
      </c>
      <c r="K1" t="s">
        <v>10</v>
      </c>
      <c r="L1" t="s">
        <v>11</v>
      </c>
      <c r="M1" t="s">
        <v>12</v>
      </c>
      <c r="N1" t="s">
        <v>13</v>
      </c>
      <c r="P1" s="111" t="s">
        <v>14</v>
      </c>
      <c r="Q1" s="111"/>
    </row>
    <row r="2" spans="1:17" x14ac:dyDescent="0.3">
      <c r="A2" t="s">
        <v>19</v>
      </c>
      <c r="B2" t="str">
        <f>VLOOKUP(A2,[119]WRDS!$A$1:$N$39,2,FALSE)</f>
        <v>BHP</v>
      </c>
      <c r="C2" t="str">
        <f>VLOOKUP(A2,[119]WRDS!$A$1:$N$39,3,FALSE)</f>
        <v>BLACK HILLS CORP</v>
      </c>
      <c r="D2">
        <f>VLOOKUP(A2,[119]WRDS!$A$1:$N$39,13,FALSE)</f>
        <v>1.0712999999999999</v>
      </c>
      <c r="E2">
        <f>VLOOKUP(A2,[103]WRDS!$A$1:$N$100,13,FALSE)</f>
        <v>1.1067</v>
      </c>
      <c r="F2" s="1">
        <f>D2*(1+I2)^4</f>
        <v>1.2317186514480163</v>
      </c>
      <c r="G2" s="1">
        <f>D2*(1+J2)^4</f>
        <v>1.2317186514480163</v>
      </c>
      <c r="H2" s="2">
        <f t="shared" ref="H2:H38" si="0">((E2/D2)^(1/4)-1)</f>
        <v>8.1605547794589839E-3</v>
      </c>
      <c r="I2" s="2">
        <f>VLOOKUP(A2,[120]WRDS!$A$1:$O$100,10,FALSE)/100</f>
        <v>3.5499999999999997E-2</v>
      </c>
      <c r="J2" s="2">
        <f>VLOOKUP(A2,[120]WRDS!$A$1:$O$100,9,FALSE)/100</f>
        <v>3.5499999999999997E-2</v>
      </c>
      <c r="K2" s="2">
        <f t="shared" ref="K2:K38" si="1">(I2-H2)/(ABS(H2))</f>
        <v>3.3501944364563805</v>
      </c>
      <c r="L2" s="2">
        <f t="shared" ref="L2:L38" si="2">(J2-H2)/(ABS(H2))</f>
        <v>3.3501944364563805</v>
      </c>
      <c r="M2">
        <f>VLOOKUP(A2,[120]WRDS!$A$1:$O$100,8,FALSE)</f>
        <v>2</v>
      </c>
      <c r="N2">
        <f>VLOOKUP(A2,[120]WRDS!$A$1:$O$100,11,FALSE)</f>
        <v>2.0499999999999998</v>
      </c>
      <c r="P2" t="s">
        <v>16</v>
      </c>
      <c r="Q2" s="3">
        <f>AVERAGE(H2:H999)</f>
        <v>6.855265763847861E-3</v>
      </c>
    </row>
    <row r="3" spans="1:17" x14ac:dyDescent="0.3">
      <c r="A3" t="s">
        <v>88</v>
      </c>
      <c r="B3" t="str">
        <f>VLOOKUP(A3,[119]WRDS!$A$1:$N$39,2,FALSE)</f>
        <v>CIN</v>
      </c>
      <c r="C3" t="str">
        <f>VLOOKUP(A3,[119]WRDS!$A$1:$N$39,3,FALSE)</f>
        <v>CINN GAS &amp; EL</v>
      </c>
      <c r="D3">
        <f>VLOOKUP(A3,[119]WRDS!$A$1:$N$39,13,FALSE)</f>
        <v>2.92</v>
      </c>
      <c r="E3">
        <f>VLOOKUP(A3,[103]WRDS!$A$1:$N$100,13,FALSE)</f>
        <v>2.16</v>
      </c>
      <c r="F3" s="1">
        <f t="shared" ref="F3:F38" si="3">D3*(1+I3)^4</f>
        <v>3.1421505154143827</v>
      </c>
      <c r="G3" s="1">
        <f t="shared" ref="G3:G38" si="4">D3*(1+J3)^4</f>
        <v>3.2546940774890634</v>
      </c>
      <c r="H3" s="2">
        <f t="shared" si="0"/>
        <v>-7.2598647498563373E-2</v>
      </c>
      <c r="I3" s="2">
        <f>VLOOKUP(A3,[120]WRDS!$A$1:$O$100,10,FALSE)/100</f>
        <v>1.8500000000000003E-2</v>
      </c>
      <c r="J3" s="2">
        <f>VLOOKUP(A3,[120]WRDS!$A$1:$O$100,9,FALSE)/100</f>
        <v>2.75E-2</v>
      </c>
      <c r="K3" s="2">
        <f t="shared" si="1"/>
        <v>1.2548256839132725</v>
      </c>
      <c r="L3" s="2">
        <f t="shared" si="2"/>
        <v>1.3787949355467564</v>
      </c>
      <c r="M3">
        <f>VLOOKUP(A3,[120]WRDS!$A$1:$O$100,8,FALSE)</f>
        <v>10</v>
      </c>
      <c r="N3">
        <f>VLOOKUP(A3,[120]WRDS!$A$1:$O$100,11,FALSE)</f>
        <v>2.5099999999999998</v>
      </c>
      <c r="P3" t="s">
        <v>18</v>
      </c>
      <c r="Q3" s="3">
        <f>AVERAGE(I2:I999)</f>
        <v>4.6540540540540548E-2</v>
      </c>
    </row>
    <row r="4" spans="1:17" x14ac:dyDescent="0.3">
      <c r="A4" t="s">
        <v>21</v>
      </c>
      <c r="B4" t="str">
        <f>VLOOKUP(A4,[119]WRDS!$A$1:$N$39,2,FALSE)</f>
        <v>CMS</v>
      </c>
      <c r="C4" t="str">
        <f>VLOOKUP(A4,[119]WRDS!$A$1:$N$39,3,FALSE)</f>
        <v>CMS ENERGY CORP</v>
      </c>
      <c r="D4">
        <f>VLOOKUP(A4,[119]WRDS!$A$1:$N$39,13,FALSE)</f>
        <v>3.8</v>
      </c>
      <c r="E4">
        <f>VLOOKUP(A4,[103]WRDS!$A$1:$N$100,13,FALSE)</f>
        <v>1.9</v>
      </c>
      <c r="F4" s="1">
        <f t="shared" si="3"/>
        <v>4.5038811964942411</v>
      </c>
      <c r="G4" s="1">
        <f t="shared" si="4"/>
        <v>4.6189237499999996</v>
      </c>
      <c r="H4" s="2">
        <f t="shared" si="0"/>
        <v>-0.1591035847462855</v>
      </c>
      <c r="I4" s="2">
        <f>VLOOKUP(A4,[120]WRDS!$A$1:$O$100,10,FALSE)/100</f>
        <v>4.3400000000000001E-2</v>
      </c>
      <c r="J4" s="2">
        <f>VLOOKUP(A4,[120]WRDS!$A$1:$O$100,9,FALSE)/100</f>
        <v>0.05</v>
      </c>
      <c r="K4" s="2">
        <f t="shared" si="1"/>
        <v>1.2727782662421327</v>
      </c>
      <c r="L4" s="2">
        <f t="shared" si="2"/>
        <v>1.3142606753941621</v>
      </c>
      <c r="M4">
        <f>VLOOKUP(A4,[120]WRDS!$A$1:$O$100,8,FALSE)</f>
        <v>11</v>
      </c>
      <c r="N4">
        <f>VLOOKUP(A4,[120]WRDS!$A$1:$O$100,11,FALSE)</f>
        <v>3.93</v>
      </c>
      <c r="P4" t="s">
        <v>20</v>
      </c>
      <c r="Q4" s="3">
        <f>(Q3-Q2)/ABS(Q2)</f>
        <v>5.7890206074836907</v>
      </c>
    </row>
    <row r="5" spans="1:17" x14ac:dyDescent="0.3">
      <c r="A5" t="s">
        <v>71</v>
      </c>
      <c r="B5" t="str">
        <f>VLOOKUP(A5,[119]WRDS!$A$1:$N$39,2,FALSE)</f>
        <v>CNL</v>
      </c>
      <c r="C5" t="str">
        <f>VLOOKUP(A5,[119]WRDS!$A$1:$N$39,3,FALSE)</f>
        <v>CENT LA ELEC INC</v>
      </c>
      <c r="D5">
        <f>VLOOKUP(A5,[119]WRDS!$A$1:$N$39,13,FALSE)</f>
        <v>0.89500000000000002</v>
      </c>
      <c r="E5">
        <f>VLOOKUP(A5,[103]WRDS!$A$1:$N$100,13,FALSE)</f>
        <v>1.2250000000000001</v>
      </c>
      <c r="F5" s="1">
        <f t="shared" si="3"/>
        <v>1.0369921214599616</v>
      </c>
      <c r="G5" s="1">
        <f t="shared" si="4"/>
        <v>1.0369921214599616</v>
      </c>
      <c r="H5" s="2">
        <f t="shared" si="0"/>
        <v>8.1628851923584822E-2</v>
      </c>
      <c r="I5" s="2">
        <f>VLOOKUP(A5,[120]WRDS!$A$1:$O$100,10,FALSE)/100</f>
        <v>3.7499999999999999E-2</v>
      </c>
      <c r="J5" s="2">
        <f>VLOOKUP(A5,[120]WRDS!$A$1:$O$100,9,FALSE)/100</f>
        <v>3.7499999999999999E-2</v>
      </c>
      <c r="K5" s="2">
        <f t="shared" si="1"/>
        <v>-0.54060360869579727</v>
      </c>
      <c r="L5" s="2">
        <f t="shared" si="2"/>
        <v>-0.54060360869579727</v>
      </c>
      <c r="M5">
        <f>VLOOKUP(A5,[120]WRDS!$A$1:$O$100,8,FALSE)</f>
        <v>2</v>
      </c>
      <c r="N5">
        <f>VLOOKUP(A5,[120]WRDS!$A$1:$O$100,11,FALSE)</f>
        <v>1.06</v>
      </c>
      <c r="P5" t="s">
        <v>22</v>
      </c>
      <c r="Q5" s="3">
        <f>AVERAGE(J2:J999)</f>
        <v>4.6500000000000014E-2</v>
      </c>
    </row>
    <row r="6" spans="1:17" x14ac:dyDescent="0.3">
      <c r="A6" t="s">
        <v>84</v>
      </c>
      <c r="B6" t="str">
        <f>VLOOKUP(A6,[119]WRDS!$A$1:$N$39,2,FALSE)</f>
        <v>CV</v>
      </c>
      <c r="C6" t="str">
        <f>VLOOKUP(A6,[119]WRDS!$A$1:$N$39,3,FALSE)</f>
        <v>CNTRL VT PUB SVC</v>
      </c>
      <c r="D6">
        <f>VLOOKUP(A6,[119]WRDS!$A$1:$N$39,13,FALSE)</f>
        <v>1.7</v>
      </c>
      <c r="E6">
        <f>VLOOKUP(A6,[103]WRDS!$A$1:$N$100,13,FALSE)</f>
        <v>1.64</v>
      </c>
      <c r="F6" s="1">
        <f t="shared" si="3"/>
        <v>1.9659114264736992</v>
      </c>
      <c r="G6" s="1">
        <f t="shared" si="4"/>
        <v>1.9659114264736992</v>
      </c>
      <c r="H6" s="2">
        <f t="shared" si="0"/>
        <v>-8.9427756833602157E-3</v>
      </c>
      <c r="I6" s="2">
        <f>VLOOKUP(A6,[120]WRDS!$A$1:$O$100,10,FALSE)/100</f>
        <v>3.7000000000000005E-2</v>
      </c>
      <c r="J6" s="2">
        <f>VLOOKUP(A6,[120]WRDS!$A$1:$O$100,9,FALSE)/100</f>
        <v>3.7000000000000005E-2</v>
      </c>
      <c r="K6" s="2">
        <f t="shared" si="1"/>
        <v>5.1374178789752882</v>
      </c>
      <c r="L6" s="2">
        <f t="shared" si="2"/>
        <v>5.1374178789752882</v>
      </c>
      <c r="M6">
        <f>VLOOKUP(A6,[120]WRDS!$A$1:$O$100,8,FALSE)</f>
        <v>2</v>
      </c>
      <c r="N6">
        <f>VLOOKUP(A6,[120]WRDS!$A$1:$O$100,11,FALSE)</f>
        <v>2.4</v>
      </c>
      <c r="P6" t="s">
        <v>24</v>
      </c>
      <c r="Q6" s="3">
        <f>(Q5-Q2)/ABS(Q2)</f>
        <v>5.7831068264667191</v>
      </c>
    </row>
    <row r="7" spans="1:17" x14ac:dyDescent="0.3">
      <c r="A7" t="s">
        <v>25</v>
      </c>
      <c r="B7" t="str">
        <f>VLOOKUP(A7,[119]WRDS!$A$1:$N$39,2,FALSE)</f>
        <v>D</v>
      </c>
      <c r="C7" t="str">
        <f>VLOOKUP(A7,[119]WRDS!$A$1:$N$39,3,FALSE)</f>
        <v>DOMINION RES INC</v>
      </c>
      <c r="D7">
        <f>VLOOKUP(A7,[119]WRDS!$A$1:$N$39,13,FALSE)</f>
        <v>1.3765000000000001</v>
      </c>
      <c r="E7">
        <f>VLOOKUP(A7,[103]WRDS!$A$1:$N$100,13,FALSE)</f>
        <v>1.5649999999999999</v>
      </c>
      <c r="F7" s="1">
        <f t="shared" si="3"/>
        <v>1.5948822963012703</v>
      </c>
      <c r="G7" s="1">
        <f t="shared" si="4"/>
        <v>1.6103103078400003</v>
      </c>
      <c r="H7" s="2">
        <f t="shared" si="0"/>
        <v>3.2605732117380271E-2</v>
      </c>
      <c r="I7" s="2">
        <f>VLOOKUP(A7,[120]WRDS!$A$1:$O$100,10,FALSE)/100</f>
        <v>3.7499999999999999E-2</v>
      </c>
      <c r="J7" s="2">
        <f>VLOOKUP(A7,[120]WRDS!$A$1:$O$100,9,FALSE)/100</f>
        <v>0.04</v>
      </c>
      <c r="K7" s="2">
        <f t="shared" si="1"/>
        <v>0.15010452349299866</v>
      </c>
      <c r="L7" s="2">
        <f t="shared" si="2"/>
        <v>0.22677815839253199</v>
      </c>
      <c r="M7">
        <f>VLOOKUP(A7,[120]WRDS!$A$1:$O$100,8,FALSE)</f>
        <v>14</v>
      </c>
      <c r="N7">
        <f>VLOOKUP(A7,[120]WRDS!$A$1:$O$100,11,FALSE)</f>
        <v>1.07</v>
      </c>
      <c r="P7" s="111" t="s">
        <v>26</v>
      </c>
      <c r="Q7" s="111"/>
    </row>
    <row r="8" spans="1:17" x14ac:dyDescent="0.3">
      <c r="A8" t="s">
        <v>86</v>
      </c>
      <c r="B8" t="str">
        <f>VLOOKUP(A8,[119]WRDS!$A$1:$N$39,2,FALSE)</f>
        <v>DPL</v>
      </c>
      <c r="C8" t="str">
        <f>VLOOKUP(A8,[119]WRDS!$A$1:$N$39,3,FALSE)</f>
        <v>DPL INC</v>
      </c>
      <c r="D8">
        <f>VLOOKUP(A8,[119]WRDS!$A$1:$N$39,13,FALSE)</f>
        <v>0.97330000000000005</v>
      </c>
      <c r="E8">
        <f>VLOOKUP(A8,[103]WRDS!$A$1:$N$100,13,FALSE)</f>
        <v>0.9133</v>
      </c>
      <c r="F8" s="1">
        <f t="shared" si="3"/>
        <v>1.0768588264144987</v>
      </c>
      <c r="G8" s="1">
        <f t="shared" si="4"/>
        <v>1.095457724773</v>
      </c>
      <c r="H8" s="2">
        <f t="shared" si="0"/>
        <v>-1.5781138495754576E-2</v>
      </c>
      <c r="I8" s="2">
        <f>VLOOKUP(A8,[120]WRDS!$A$1:$O$100,10,FALSE)/100</f>
        <v>2.5600000000000001E-2</v>
      </c>
      <c r="J8" s="2">
        <f>VLOOKUP(A8,[120]WRDS!$A$1:$O$100,9,FALSE)/100</f>
        <v>0.03</v>
      </c>
      <c r="K8" s="2">
        <f t="shared" si="1"/>
        <v>2.6221896795904098</v>
      </c>
      <c r="L8" s="2">
        <f t="shared" si="2"/>
        <v>2.9010035307700117</v>
      </c>
      <c r="M8">
        <f>VLOOKUP(A8,[120]WRDS!$A$1:$O$100,8,FALSE)</f>
        <v>8</v>
      </c>
      <c r="N8">
        <f>VLOOKUP(A8,[120]WRDS!$A$1:$O$100,11,FALSE)</f>
        <v>1.24</v>
      </c>
      <c r="P8" t="s">
        <v>28</v>
      </c>
      <c r="Q8" s="2">
        <f>MEDIAN(H2:H99)</f>
        <v>4.0734040674157423E-3</v>
      </c>
    </row>
    <row r="9" spans="1:17" x14ac:dyDescent="0.3">
      <c r="A9" t="s">
        <v>27</v>
      </c>
      <c r="B9" t="str">
        <f>VLOOKUP(A9,[119]WRDS!$A$1:$N$39,2,FALSE)</f>
        <v>DTE</v>
      </c>
      <c r="C9" t="str">
        <f>VLOOKUP(A9,[119]WRDS!$A$1:$N$39,3,FALSE)</f>
        <v>DETROIT EDISON</v>
      </c>
      <c r="D9">
        <f>VLOOKUP(A9,[119]WRDS!$A$1:$N$39,13,FALSE)</f>
        <v>2.65</v>
      </c>
      <c r="E9">
        <f>VLOOKUP(A9,[103]WRDS!$A$1:$N$100,13,FALSE)</f>
        <v>3.33</v>
      </c>
      <c r="F9" s="1">
        <f t="shared" si="3"/>
        <v>2.9918754727695012</v>
      </c>
      <c r="G9" s="1">
        <f t="shared" si="4"/>
        <v>3.0116612096347652</v>
      </c>
      <c r="H9" s="2">
        <f t="shared" si="0"/>
        <v>5.8765033313254778E-2</v>
      </c>
      <c r="I9" s="2">
        <f>VLOOKUP(A9,[120]WRDS!$A$1:$O$100,10,FALSE)/100</f>
        <v>3.0800000000000001E-2</v>
      </c>
      <c r="J9" s="2">
        <f>VLOOKUP(A9,[120]WRDS!$A$1:$O$100,9,FALSE)/100</f>
        <v>3.2500000000000001E-2</v>
      </c>
      <c r="K9" s="2">
        <f t="shared" si="1"/>
        <v>-0.47587879622535856</v>
      </c>
      <c r="L9" s="2">
        <f t="shared" si="2"/>
        <v>-0.4469500284845504</v>
      </c>
      <c r="M9">
        <f>VLOOKUP(A9,[120]WRDS!$A$1:$O$100,8,FALSE)</f>
        <v>12</v>
      </c>
      <c r="N9">
        <f>VLOOKUP(A9,[120]WRDS!$A$1:$O$100,11,FALSE)</f>
        <v>0.97</v>
      </c>
      <c r="P9" t="s">
        <v>30</v>
      </c>
      <c r="Q9" s="2">
        <f>MEDIAN(I2:I100)</f>
        <v>3.7499999999999999E-2</v>
      </c>
    </row>
    <row r="10" spans="1:17" x14ac:dyDescent="0.3">
      <c r="A10" t="s">
        <v>29</v>
      </c>
      <c r="B10" t="str">
        <f>VLOOKUP(A10,[119]WRDS!$A$1:$N$39,2,FALSE)</f>
        <v>DUK</v>
      </c>
      <c r="C10" t="str">
        <f>VLOOKUP(A10,[119]WRDS!$A$1:$N$39,3,FALSE)</f>
        <v>DUKE POWER CO</v>
      </c>
      <c r="D10">
        <f>VLOOKUP(A10,[119]WRDS!$A$1:$N$39,13,FALSE)</f>
        <v>4.335</v>
      </c>
      <c r="E10">
        <f>VLOOKUP(A10,[103]WRDS!$A$1:$N$100,13,FALSE)</f>
        <v>4.2</v>
      </c>
      <c r="F10" s="1">
        <f t="shared" si="3"/>
        <v>5.2491750340723344</v>
      </c>
      <c r="G10" s="1">
        <f t="shared" si="4"/>
        <v>5.2692195937499999</v>
      </c>
      <c r="H10" s="2">
        <f t="shared" si="0"/>
        <v>-7.8780752500725582E-3</v>
      </c>
      <c r="I10" s="2">
        <f>VLOOKUP(A10,[120]WRDS!$A$1:$O$100,10,FALSE)/100</f>
        <v>4.9000000000000002E-2</v>
      </c>
      <c r="J10" s="2">
        <f>VLOOKUP(A10,[120]WRDS!$A$1:$O$100,9,FALSE)/100</f>
        <v>0.05</v>
      </c>
      <c r="K10" s="2">
        <f t="shared" si="1"/>
        <v>7.2197933435008386</v>
      </c>
      <c r="L10" s="2">
        <f t="shared" si="2"/>
        <v>7.3467279015314677</v>
      </c>
      <c r="M10">
        <f>VLOOKUP(A10,[120]WRDS!$A$1:$O$100,8,FALSE)</f>
        <v>14</v>
      </c>
      <c r="N10">
        <f>VLOOKUP(A10,[120]WRDS!$A$1:$O$100,11,FALSE)</f>
        <v>1.01</v>
      </c>
      <c r="P10" t="s">
        <v>32</v>
      </c>
      <c r="Q10" s="2">
        <f>(Q9-Q8)/ABS(Q8)</f>
        <v>8.2060594479130149</v>
      </c>
    </row>
    <row r="11" spans="1:17" x14ac:dyDescent="0.3">
      <c r="A11" t="s">
        <v>31</v>
      </c>
      <c r="B11" t="str">
        <f>VLOOKUP(A11,[119]WRDS!$A$1:$N$39,2,FALSE)</f>
        <v>ED</v>
      </c>
      <c r="C11" t="str">
        <f>VLOOKUP(A11,[119]WRDS!$A$1:$N$39,3,FALSE)</f>
        <v>CONSOL EDISON</v>
      </c>
      <c r="D11">
        <f>VLOOKUP(A11,[119]WRDS!$A$1:$N$39,13,FALSE)</f>
        <v>2.4950000000000001</v>
      </c>
      <c r="E11">
        <f>VLOOKUP(A11,[103]WRDS!$A$1:$N$100,13,FALSE)</f>
        <v>2.66</v>
      </c>
      <c r="F11" s="1">
        <f t="shared" si="3"/>
        <v>2.8752608089913596</v>
      </c>
      <c r="G11" s="1">
        <f t="shared" si="4"/>
        <v>2.9187971072000005</v>
      </c>
      <c r="H11" s="2">
        <f t="shared" si="0"/>
        <v>1.6138184625390295E-2</v>
      </c>
      <c r="I11" s="2">
        <f>VLOOKUP(A11,[120]WRDS!$A$1:$O$100,10,FALSE)/100</f>
        <v>3.61E-2</v>
      </c>
      <c r="J11" s="2">
        <f>VLOOKUP(A11,[120]WRDS!$A$1:$O$100,9,FALSE)/100</f>
        <v>0.04</v>
      </c>
      <c r="K11" s="2">
        <f t="shared" si="1"/>
        <v>1.23693066091236</v>
      </c>
      <c r="L11" s="2">
        <f t="shared" si="2"/>
        <v>1.4785935300967978</v>
      </c>
      <c r="M11">
        <f>VLOOKUP(A11,[120]WRDS!$A$1:$O$100,8,FALSE)</f>
        <v>12</v>
      </c>
      <c r="N11">
        <f>VLOOKUP(A11,[120]WRDS!$A$1:$O$100,11,FALSE)</f>
        <v>1.58</v>
      </c>
      <c r="P11" t="s">
        <v>34</v>
      </c>
      <c r="Q11" s="2">
        <f>MEDIAN(J2:J99)</f>
        <v>0.04</v>
      </c>
    </row>
    <row r="12" spans="1:17" x14ac:dyDescent="0.3">
      <c r="A12" t="s">
        <v>72</v>
      </c>
      <c r="B12" t="str">
        <f>VLOOKUP(A12,[119]WRDS!$A$1:$N$39,2,FALSE)</f>
        <v>EDE</v>
      </c>
      <c r="C12" t="str">
        <f>VLOOKUP(A12,[119]WRDS!$A$1:$N$39,3,FALSE)</f>
        <v>EMPIRE DIST ELEC</v>
      </c>
      <c r="D12">
        <f>VLOOKUP(A12,[119]WRDS!$A$1:$N$39,13,FALSE)</f>
        <v>1.4650000000000001</v>
      </c>
      <c r="E12">
        <f>VLOOKUP(A12,[103]WRDS!$A$1:$N$100,13,FALSE)</f>
        <v>1.1599999999999999</v>
      </c>
      <c r="F12" s="1">
        <f t="shared" si="3"/>
        <v>1.5244848746500002</v>
      </c>
      <c r="G12" s="1">
        <f t="shared" si="4"/>
        <v>1.5244848746500002</v>
      </c>
      <c r="H12" s="2">
        <f t="shared" si="0"/>
        <v>-5.6688582238415663E-2</v>
      </c>
      <c r="I12" s="2">
        <f>VLOOKUP(A12,[120]WRDS!$A$1:$O$100,10,FALSE)/100</f>
        <v>0.01</v>
      </c>
      <c r="J12" s="2">
        <f>VLOOKUP(A12,[120]WRDS!$A$1:$O$100,9,FALSE)/100</f>
        <v>0.01</v>
      </c>
      <c r="K12" s="2">
        <f t="shared" si="1"/>
        <v>1.1764023654347697</v>
      </c>
      <c r="L12" s="2">
        <f t="shared" si="2"/>
        <v>1.1764023654347697</v>
      </c>
      <c r="M12">
        <f>VLOOKUP(A12,[120]WRDS!$A$1:$O$100,8,FALSE)</f>
        <v>1</v>
      </c>
      <c r="N12">
        <f>VLOOKUP(A12,[120]WRDS!$A$1:$O$100,11,FALSE)</f>
        <v>0</v>
      </c>
      <c r="P12" t="s">
        <v>32</v>
      </c>
      <c r="Q12" s="2">
        <f>(Q11-Q8)/ABS(Q8)</f>
        <v>8.8197967444405503</v>
      </c>
    </row>
    <row r="13" spans="1:17" x14ac:dyDescent="0.3">
      <c r="A13" t="s">
        <v>35</v>
      </c>
      <c r="B13" t="str">
        <f>VLOOKUP(A13,[119]WRDS!$A$1:$N$39,2,FALSE)</f>
        <v>EXC</v>
      </c>
      <c r="C13" t="str">
        <f>VLOOKUP(A13,[119]WRDS!$A$1:$N$39,3,FALSE)</f>
        <v>EXCEL INDS INC</v>
      </c>
      <c r="D13">
        <f>VLOOKUP(A13,[119]WRDS!$A$1:$N$39,13,FALSE)</f>
        <v>1.18</v>
      </c>
      <c r="E13">
        <f>VLOOKUP(A13,[103]WRDS!$A$1:$N$100,13,FALSE)</f>
        <v>1.169</v>
      </c>
      <c r="F13" s="1">
        <f t="shared" si="3"/>
        <v>1.9582379077374998</v>
      </c>
      <c r="G13" s="1">
        <f t="shared" si="4"/>
        <v>1.9582379077374998</v>
      </c>
      <c r="H13" s="2">
        <f t="shared" si="0"/>
        <v>-2.3386999667966979E-3</v>
      </c>
      <c r="I13" s="2">
        <f>VLOOKUP(A13,[120]WRDS!$A$1:$O$100,10,FALSE)/100</f>
        <v>0.13500000000000001</v>
      </c>
      <c r="J13" s="2">
        <f>VLOOKUP(A13,[120]WRDS!$A$1:$O$100,9,FALSE)/100</f>
        <v>0.13500000000000001</v>
      </c>
      <c r="K13" s="2">
        <f t="shared" si="1"/>
        <v>58.724377610056848</v>
      </c>
      <c r="L13" s="2">
        <f t="shared" si="2"/>
        <v>58.724377610056848</v>
      </c>
      <c r="M13">
        <f>VLOOKUP(A13,[120]WRDS!$A$1:$O$100,8,FALSE)</f>
        <v>2</v>
      </c>
      <c r="N13">
        <f>VLOOKUP(A13,[120]WRDS!$A$1:$O$100,11,FALSE)</f>
        <v>2.12</v>
      </c>
      <c r="P13" s="111" t="s">
        <v>37</v>
      </c>
      <c r="Q13" s="111"/>
    </row>
    <row r="14" spans="1:17" x14ac:dyDescent="0.3">
      <c r="A14" t="s">
        <v>89</v>
      </c>
      <c r="B14" t="str">
        <f>VLOOKUP(A14,[119]WRDS!$A$1:$N$39,2,FALSE)</f>
        <v>FPL</v>
      </c>
      <c r="C14" t="str">
        <f>VLOOKUP(A14,[119]WRDS!$A$1:$N$39,3,FALSE)</f>
        <v>FPL GROUP</v>
      </c>
      <c r="D14">
        <f>VLOOKUP(A14,[119]WRDS!$A$1:$N$39,13,FALSE)</f>
        <v>0.39</v>
      </c>
      <c r="E14">
        <f>VLOOKUP(A14,[103]WRDS!$A$1:$N$100,13,FALSE)</f>
        <v>0.34379999999999999</v>
      </c>
      <c r="F14" s="1">
        <f t="shared" si="3"/>
        <v>0.46490425788000472</v>
      </c>
      <c r="G14" s="1">
        <f t="shared" si="4"/>
        <v>0.45976455084144019</v>
      </c>
      <c r="H14" s="2">
        <f t="shared" si="0"/>
        <v>-3.1030033158908621E-2</v>
      </c>
      <c r="I14" s="2">
        <f>VLOOKUP(A14,[120]WRDS!$A$1:$O$100,10,FALSE)/100</f>
        <v>4.4900000000000002E-2</v>
      </c>
      <c r="J14" s="2">
        <f>VLOOKUP(A14,[120]WRDS!$A$1:$O$100,9,FALSE)/100</f>
        <v>4.2000000000000003E-2</v>
      </c>
      <c r="K14" s="2">
        <f t="shared" si="1"/>
        <v>2.4469852407202262</v>
      </c>
      <c r="L14" s="2">
        <f t="shared" si="2"/>
        <v>2.3535273966648003</v>
      </c>
      <c r="M14">
        <f>VLOOKUP(A14,[120]WRDS!$A$1:$O$100,8,FALSE)</f>
        <v>14</v>
      </c>
      <c r="N14">
        <f>VLOOKUP(A14,[120]WRDS!$A$1:$O$100,11,FALSE)</f>
        <v>1.03</v>
      </c>
      <c r="P14" t="s">
        <v>39</v>
      </c>
      <c r="Q14" s="1">
        <f>AVERAGE(M2:M1002)</f>
        <v>7.4054054054054053</v>
      </c>
    </row>
    <row r="15" spans="1:17" x14ac:dyDescent="0.3">
      <c r="A15" t="s">
        <v>36</v>
      </c>
      <c r="B15" t="str">
        <f>VLOOKUP(A15,[119]WRDS!$A$1:$N$39,2,FALSE)</f>
        <v>HE</v>
      </c>
      <c r="C15" t="str">
        <f>VLOOKUP(A15,[119]WRDS!$A$1:$N$39,3,FALSE)</f>
        <v>HAWAIIAN ELEC</v>
      </c>
      <c r="D15">
        <f>VLOOKUP(A15,[119]WRDS!$A$1:$N$39,13,FALSE)</f>
        <v>1.5249999999999999</v>
      </c>
      <c r="E15">
        <f>VLOOKUP(A15,[103]WRDS!$A$1:$N$100,13,FALSE)</f>
        <v>1.19</v>
      </c>
      <c r="F15" s="1">
        <f t="shared" si="3"/>
        <v>1.8033247101348222</v>
      </c>
      <c r="G15" s="1">
        <f t="shared" si="4"/>
        <v>1.7943490984587209</v>
      </c>
      <c r="H15" s="2">
        <f t="shared" si="0"/>
        <v>-6.0126771145810776E-2</v>
      </c>
      <c r="I15" s="2">
        <f>VLOOKUP(A15,[120]WRDS!$A$1:$O$100,10,FALSE)/100</f>
        <v>4.2800000000000005E-2</v>
      </c>
      <c r="J15" s="2">
        <f>VLOOKUP(A15,[120]WRDS!$A$1:$O$100,9,FALSE)/100</f>
        <v>4.1500000000000002E-2</v>
      </c>
      <c r="K15" s="2">
        <f t="shared" si="1"/>
        <v>1.7118293429761531</v>
      </c>
      <c r="L15" s="2">
        <f t="shared" si="2"/>
        <v>1.6902083582595877</v>
      </c>
      <c r="M15">
        <f>VLOOKUP(A15,[120]WRDS!$A$1:$O$100,8,FALSE)</f>
        <v>4</v>
      </c>
      <c r="N15">
        <f>VLOOKUP(A15,[120]WRDS!$A$1:$O$100,11,FALSE)</f>
        <v>0.38</v>
      </c>
      <c r="P15" t="s">
        <v>41</v>
      </c>
      <c r="Q15" s="1">
        <f>COUNT(N2:N1002)</f>
        <v>37</v>
      </c>
    </row>
    <row r="16" spans="1:17" x14ac:dyDescent="0.3">
      <c r="A16" t="s">
        <v>38</v>
      </c>
      <c r="B16" t="str">
        <f>VLOOKUP(A16,[119]WRDS!$A$1:$N$39,2,FALSE)</f>
        <v>IDA</v>
      </c>
      <c r="C16" t="str">
        <f>VLOOKUP(A16,[119]WRDS!$A$1:$N$39,3,FALSE)</f>
        <v>IDAHO POWER CO</v>
      </c>
      <c r="D16">
        <f>VLOOKUP(A16,[119]WRDS!$A$1:$N$39,13,FALSE)</f>
        <v>2.37</v>
      </c>
      <c r="E16">
        <f>VLOOKUP(A16,[103]WRDS!$A$1:$N$100,13,FALSE)</f>
        <v>1.97</v>
      </c>
      <c r="F16" s="1">
        <f t="shared" si="3"/>
        <v>2.9650642912619412</v>
      </c>
      <c r="G16" s="1">
        <f t="shared" si="4"/>
        <v>2.7354297866344477</v>
      </c>
      <c r="H16" s="2">
        <f t="shared" si="0"/>
        <v>-4.5162493365273115E-2</v>
      </c>
      <c r="I16" s="2">
        <f>VLOOKUP(A16,[120]WRDS!$A$1:$O$100,10,FALSE)/100</f>
        <v>5.7599999999999998E-2</v>
      </c>
      <c r="J16" s="2">
        <f>VLOOKUP(A16,[120]WRDS!$A$1:$O$100,9,FALSE)/100</f>
        <v>3.6499999999999998E-2</v>
      </c>
      <c r="K16" s="2">
        <f t="shared" si="1"/>
        <v>2.2753945964438378</v>
      </c>
      <c r="L16" s="2">
        <f t="shared" si="2"/>
        <v>1.8081927564270848</v>
      </c>
      <c r="M16">
        <f>VLOOKUP(A16,[120]WRDS!$A$1:$O$100,8,FALSE)</f>
        <v>8</v>
      </c>
      <c r="N16">
        <f>VLOOKUP(A16,[120]WRDS!$A$1:$O$100,11,FALSE)</f>
        <v>4.84</v>
      </c>
    </row>
    <row r="17" spans="1:14" x14ac:dyDescent="0.3">
      <c r="A17" t="s">
        <v>78</v>
      </c>
      <c r="B17" t="str">
        <f>VLOOKUP(A17,[119]WRDS!$A$1:$N$39,2,FALSE)</f>
        <v>NU</v>
      </c>
      <c r="C17" t="str">
        <f>VLOOKUP(A17,[119]WRDS!$A$1:$N$39,3,FALSE)</f>
        <v>NORTHEAST UTILS</v>
      </c>
      <c r="D17">
        <f>VLOOKUP(A17,[119]WRDS!$A$1:$N$39,13,FALSE)</f>
        <v>1.94</v>
      </c>
      <c r="E17">
        <f>VLOOKUP(A17,[103]WRDS!$A$1:$N$100,13,FALSE)</f>
        <v>1.86</v>
      </c>
      <c r="F17" s="1">
        <f t="shared" si="3"/>
        <v>2.1682638444285955</v>
      </c>
      <c r="G17" s="1">
        <f t="shared" si="4"/>
        <v>2.1834870914</v>
      </c>
      <c r="H17" s="2">
        <f t="shared" si="0"/>
        <v>-1.0472647267287361E-2</v>
      </c>
      <c r="I17" s="2">
        <f>VLOOKUP(A17,[120]WRDS!$A$1:$O$100,10,FALSE)/100</f>
        <v>2.8199999999999999E-2</v>
      </c>
      <c r="J17" s="2">
        <f>VLOOKUP(A17,[120]WRDS!$A$1:$O$100,9,FALSE)/100</f>
        <v>0.03</v>
      </c>
      <c r="K17" s="2">
        <f t="shared" si="1"/>
        <v>3.6927289041889413</v>
      </c>
      <c r="L17" s="2">
        <f t="shared" si="2"/>
        <v>3.8646052172222776</v>
      </c>
      <c r="M17">
        <f>VLOOKUP(A17,[120]WRDS!$A$1:$O$100,8,FALSE)</f>
        <v>11</v>
      </c>
      <c r="N17">
        <f>VLOOKUP(A17,[120]WRDS!$A$1:$O$100,11,FALSE)</f>
        <v>0.83</v>
      </c>
    </row>
    <row r="18" spans="1:14" x14ac:dyDescent="0.3">
      <c r="A18" t="s">
        <v>44</v>
      </c>
      <c r="B18" t="str">
        <f>VLOOKUP(A18,[119]WRDS!$A$1:$N$39,2,FALSE)</f>
        <v>OGE</v>
      </c>
      <c r="C18" t="str">
        <f>VLOOKUP(A18,[119]WRDS!$A$1:$N$39,3,FALSE)</f>
        <v>OKLAHOMA G&amp;E</v>
      </c>
      <c r="D18">
        <f>VLOOKUP(A18,[119]WRDS!$A$1:$N$39,13,FALSE)</f>
        <v>0.76249999999999996</v>
      </c>
      <c r="E18">
        <f>VLOOKUP(A18,[103]WRDS!$A$1:$N$100,13,FALSE)</f>
        <v>0.77500000000000002</v>
      </c>
      <c r="F18" s="1">
        <f t="shared" si="3"/>
        <v>0.87160959615619982</v>
      </c>
      <c r="G18" s="1">
        <f t="shared" si="4"/>
        <v>0.86656289522509755</v>
      </c>
      <c r="H18" s="2">
        <f t="shared" si="0"/>
        <v>4.0734040674157423E-3</v>
      </c>
      <c r="I18" s="2">
        <f>VLOOKUP(A18,[120]WRDS!$A$1:$O$100,10,FALSE)/100</f>
        <v>3.4000000000000002E-2</v>
      </c>
      <c r="J18" s="2">
        <f>VLOOKUP(A18,[120]WRDS!$A$1:$O$100,9,FALSE)/100</f>
        <v>3.2500000000000001E-2</v>
      </c>
      <c r="K18" s="2">
        <f t="shared" si="1"/>
        <v>7.3468272327744675</v>
      </c>
      <c r="L18" s="2">
        <f t="shared" si="2"/>
        <v>6.9785848548579468</v>
      </c>
      <c r="M18">
        <f>VLOOKUP(A18,[120]WRDS!$A$1:$O$100,8,FALSE)</f>
        <v>10</v>
      </c>
      <c r="N18">
        <f>VLOOKUP(A18,[120]WRDS!$A$1:$O$100,11,FALSE)</f>
        <v>1.61</v>
      </c>
    </row>
    <row r="19" spans="1:14" x14ac:dyDescent="0.3">
      <c r="A19" t="s">
        <v>69</v>
      </c>
      <c r="B19" t="str">
        <f>VLOOKUP(A19,[119]WRDS!$A$1:$N$39,2,FALSE)</f>
        <v>OTTR</v>
      </c>
      <c r="C19" t="str">
        <f>VLOOKUP(A19,[119]WRDS!$A$1:$N$39,3,FALSE)</f>
        <v>OTTER TAIL PWR</v>
      </c>
      <c r="D19">
        <f>VLOOKUP(A19,[119]WRDS!$A$1:$N$39,13,FALSE)</f>
        <v>0.96499999999999997</v>
      </c>
      <c r="E19">
        <f>VLOOKUP(A19,[103]WRDS!$A$1:$N$100,13,FALSE)</f>
        <v>1.1100000000000001</v>
      </c>
      <c r="F19" s="1">
        <f t="shared" si="3"/>
        <v>1.0445470343999999</v>
      </c>
      <c r="G19" s="1">
        <f t="shared" si="4"/>
        <v>1.0445470343999999</v>
      </c>
      <c r="H19" s="2">
        <f t="shared" si="0"/>
        <v>3.5616393001086877E-2</v>
      </c>
      <c r="I19" s="2">
        <f>VLOOKUP(A19,[120]WRDS!$A$1:$O$100,10,FALSE)/100</f>
        <v>0.02</v>
      </c>
      <c r="J19" s="2">
        <f>VLOOKUP(A19,[120]WRDS!$A$1:$O$100,9,FALSE)/100</f>
        <v>0.02</v>
      </c>
      <c r="K19" s="2">
        <f t="shared" si="1"/>
        <v>-0.4384608233801307</v>
      </c>
      <c r="L19" s="2">
        <f t="shared" si="2"/>
        <v>-0.4384608233801307</v>
      </c>
      <c r="M19">
        <f>VLOOKUP(A19,[120]WRDS!$A$1:$O$100,8,FALSE)</f>
        <v>2</v>
      </c>
      <c r="N19">
        <f>VLOOKUP(A19,[120]WRDS!$A$1:$O$100,11,FALSE)</f>
        <v>1.41</v>
      </c>
    </row>
    <row r="20" spans="1:14" x14ac:dyDescent="0.3">
      <c r="A20" t="s">
        <v>46</v>
      </c>
      <c r="B20" t="str">
        <f>VLOOKUP(A20,[119]WRDS!$A$1:$N$39,2,FALSE)</f>
        <v>PEG</v>
      </c>
      <c r="C20" t="str">
        <f>VLOOKUP(A20,[119]WRDS!$A$1:$N$39,3,FALSE)</f>
        <v>PUB SVC ENTERS</v>
      </c>
      <c r="D20">
        <f>VLOOKUP(A20,[119]WRDS!$A$1:$N$39,13,FALSE)</f>
        <v>1.3149999999999999</v>
      </c>
      <c r="E20">
        <f>VLOOKUP(A20,[103]WRDS!$A$1:$N$100,13,FALSE)</f>
        <v>1.2450000000000001</v>
      </c>
      <c r="F20" s="1">
        <f t="shared" si="3"/>
        <v>1.473158836488208</v>
      </c>
      <c r="G20" s="1">
        <f t="shared" si="4"/>
        <v>1.4800440851499999</v>
      </c>
      <c r="H20" s="2">
        <f t="shared" si="0"/>
        <v>-1.3582202023266765E-2</v>
      </c>
      <c r="I20" s="2">
        <f>VLOOKUP(A20,[120]WRDS!$A$1:$O$100,10,FALSE)/100</f>
        <v>2.8799999999999999E-2</v>
      </c>
      <c r="J20" s="2">
        <f>VLOOKUP(A20,[120]WRDS!$A$1:$O$100,9,FALSE)/100</f>
        <v>0.03</v>
      </c>
      <c r="K20" s="2">
        <f t="shared" si="1"/>
        <v>3.1204220015771109</v>
      </c>
      <c r="L20" s="2">
        <f t="shared" si="2"/>
        <v>3.2087729183094904</v>
      </c>
      <c r="M20">
        <f>VLOOKUP(A20,[120]WRDS!$A$1:$O$100,8,FALSE)</f>
        <v>12</v>
      </c>
      <c r="N20">
        <f>VLOOKUP(A20,[120]WRDS!$A$1:$O$100,11,FALSE)</f>
        <v>0.87</v>
      </c>
    </row>
    <row r="21" spans="1:14" x14ac:dyDescent="0.3">
      <c r="A21" t="s">
        <v>74</v>
      </c>
      <c r="B21" t="str">
        <f>VLOOKUP(A21,[119]WRDS!$A$1:$N$39,2,FALSE)</f>
        <v>PGN</v>
      </c>
      <c r="C21" t="str">
        <f>VLOOKUP(A21,[119]WRDS!$A$1:$N$39,3,FALSE)</f>
        <v>PORTLAND GEN CP</v>
      </c>
      <c r="D21">
        <f>VLOOKUP(A21,[119]WRDS!$A$1:$N$39,13,FALSE)</f>
        <v>1.34</v>
      </c>
      <c r="E21">
        <f>VLOOKUP(A21,[103]WRDS!$A$1:$N$100,13,FALSE)</f>
        <v>2.04</v>
      </c>
      <c r="F21" s="1">
        <f t="shared" si="3"/>
        <v>1.5579858758358791</v>
      </c>
      <c r="G21" s="1">
        <f t="shared" si="4"/>
        <v>1.5676104704000005</v>
      </c>
      <c r="H21" s="2">
        <f t="shared" si="0"/>
        <v>0.1107884166633426</v>
      </c>
      <c r="I21" s="2">
        <f>VLOOKUP(A21,[120]WRDS!$A$1:$O$100,10,FALSE)/100</f>
        <v>3.8399999999999997E-2</v>
      </c>
      <c r="J21" s="2">
        <f>VLOOKUP(A21,[120]WRDS!$A$1:$O$100,9,FALSE)/100</f>
        <v>0.04</v>
      </c>
      <c r="K21" s="2">
        <f t="shared" si="1"/>
        <v>-0.65339336767770884</v>
      </c>
      <c r="L21" s="2">
        <f t="shared" si="2"/>
        <v>-0.63895142466427979</v>
      </c>
      <c r="M21">
        <f>VLOOKUP(A21,[120]WRDS!$A$1:$O$100,8,FALSE)</f>
        <v>10</v>
      </c>
      <c r="N21">
        <f>VLOOKUP(A21,[120]WRDS!$A$1:$O$100,11,FALSE)</f>
        <v>1.52</v>
      </c>
    </row>
    <row r="22" spans="1:14" x14ac:dyDescent="0.3">
      <c r="A22" t="s">
        <v>47</v>
      </c>
      <c r="B22" t="str">
        <f>VLOOKUP(A22,[119]WRDS!$A$1:$N$39,2,FALSE)</f>
        <v>PNM</v>
      </c>
      <c r="C22" t="str">
        <f>VLOOKUP(A22,[119]WRDS!$A$1:$N$39,3,FALSE)</f>
        <v>PUB SVC N MEX</v>
      </c>
      <c r="D22">
        <f>VLOOKUP(A22,[119]WRDS!$A$1:$N$39,13,FALSE)</f>
        <v>0.9</v>
      </c>
      <c r="E22">
        <f>VLOOKUP(A22,[103]WRDS!$A$1:$N$100,13,FALSE)</f>
        <v>0.83330000000000004</v>
      </c>
      <c r="F22" s="1">
        <f t="shared" si="3"/>
        <v>1.0109924521515565</v>
      </c>
      <c r="G22" s="1">
        <f t="shared" si="4"/>
        <v>0.99731408487840001</v>
      </c>
      <c r="H22" s="2">
        <f t="shared" si="0"/>
        <v>-1.9066157456095634E-2</v>
      </c>
      <c r="I22" s="2">
        <f>VLOOKUP(A22,[120]WRDS!$A$1:$O$100,10,FALSE)/100</f>
        <v>2.9500000000000002E-2</v>
      </c>
      <c r="J22" s="2">
        <f>VLOOKUP(A22,[120]WRDS!$A$1:$O$100,9,FALSE)/100</f>
        <v>2.6000000000000002E-2</v>
      </c>
      <c r="K22" s="2">
        <f t="shared" si="1"/>
        <v>2.5472441192165109</v>
      </c>
      <c r="L22" s="2">
        <f t="shared" si="2"/>
        <v>2.3636727830382807</v>
      </c>
      <c r="M22">
        <f>VLOOKUP(A22,[120]WRDS!$A$1:$O$100,8,FALSE)</f>
        <v>6</v>
      </c>
      <c r="N22">
        <f>VLOOKUP(A22,[120]WRDS!$A$1:$O$100,11,FALSE)</f>
        <v>2.42</v>
      </c>
    </row>
    <row r="23" spans="1:14" x14ac:dyDescent="0.3">
      <c r="A23" t="s">
        <v>48</v>
      </c>
      <c r="B23" t="str">
        <f>VLOOKUP(A23,[119]WRDS!$A$1:$N$39,2,FALSE)</f>
        <v>AZP</v>
      </c>
      <c r="C23" t="str">
        <f>VLOOKUP(A23,[119]WRDS!$A$1:$N$39,3,FALSE)</f>
        <v>PINNACLE WST CAP</v>
      </c>
      <c r="D23">
        <f>VLOOKUP(A23,[119]WRDS!$A$1:$N$39,13,FALSE)</f>
        <v>1.41</v>
      </c>
      <c r="E23">
        <f>VLOOKUP(A23,[103]WRDS!$A$1:$N$100,13,FALSE)</f>
        <v>1.95</v>
      </c>
      <c r="F23" s="1">
        <f t="shared" si="3"/>
        <v>1.5053886750942882</v>
      </c>
      <c r="G23" s="1">
        <f t="shared" si="4"/>
        <v>1.4935759715741381</v>
      </c>
      <c r="H23" s="2">
        <f t="shared" si="0"/>
        <v>8.4435870814592029E-2</v>
      </c>
      <c r="I23" s="2">
        <f>VLOOKUP(A23,[120]WRDS!$A$1:$O$100,10,FALSE)/100</f>
        <v>1.6500000000000001E-2</v>
      </c>
      <c r="J23" s="2">
        <f>VLOOKUP(A23,[120]WRDS!$A$1:$O$100,9,FALSE)/100</f>
        <v>1.4499999999999999E-2</v>
      </c>
      <c r="K23" s="2">
        <f t="shared" si="1"/>
        <v>-0.80458542274963418</v>
      </c>
      <c r="L23" s="2">
        <f t="shared" si="2"/>
        <v>-0.82827203817392103</v>
      </c>
      <c r="M23">
        <f>VLOOKUP(A23,[120]WRDS!$A$1:$O$100,8,FALSE)</f>
        <v>6</v>
      </c>
      <c r="N23">
        <f>VLOOKUP(A23,[120]WRDS!$A$1:$O$100,11,FALSE)</f>
        <v>1.85</v>
      </c>
    </row>
    <row r="24" spans="1:14" x14ac:dyDescent="0.3">
      <c r="A24" t="s">
        <v>51</v>
      </c>
      <c r="B24" t="str">
        <f>VLOOKUP(A24,[119]WRDS!$A$1:$N$39,2,FALSE)</f>
        <v>PPL</v>
      </c>
      <c r="C24" t="str">
        <f>VLOOKUP(A24,[119]WRDS!$A$1:$N$39,3,FALSE)</f>
        <v>PENNA P&amp;L</v>
      </c>
      <c r="D24">
        <f>VLOOKUP(A24,[119]WRDS!$A$1:$N$39,13,FALSE)</f>
        <v>1.0075000000000001</v>
      </c>
      <c r="E24">
        <f>VLOOKUP(A24,[103]WRDS!$A$1:$N$100,13,FALSE)</f>
        <v>1.0649999999999999</v>
      </c>
      <c r="F24" s="1">
        <f t="shared" si="3"/>
        <v>1.1588126350523602</v>
      </c>
      <c r="G24" s="1">
        <f t="shared" si="4"/>
        <v>1.1786324992000003</v>
      </c>
      <c r="H24" s="2">
        <f t="shared" si="0"/>
        <v>1.3972410359790244E-2</v>
      </c>
      <c r="I24" s="2">
        <f>VLOOKUP(A24,[120]WRDS!$A$1:$O$100,10,FALSE)/100</f>
        <v>3.56E-2</v>
      </c>
      <c r="J24" s="2">
        <f>VLOOKUP(A24,[120]WRDS!$A$1:$O$100,9,FALSE)/100</f>
        <v>0.04</v>
      </c>
      <c r="K24" s="2">
        <f t="shared" si="1"/>
        <v>1.5478782173796986</v>
      </c>
      <c r="L24" s="2">
        <f t="shared" si="2"/>
        <v>1.8627845139097738</v>
      </c>
      <c r="M24">
        <f>VLOOKUP(A24,[120]WRDS!$A$1:$O$100,8,FALSE)</f>
        <v>11</v>
      </c>
      <c r="N24">
        <f>VLOOKUP(A24,[120]WRDS!$A$1:$O$100,11,FALSE)</f>
        <v>1.03</v>
      </c>
    </row>
    <row r="25" spans="1:14" x14ac:dyDescent="0.3">
      <c r="A25" t="s">
        <v>91</v>
      </c>
      <c r="B25" t="str">
        <f>VLOOKUP(A25,[119]WRDS!$A$1:$N$39,2,FALSE)</f>
        <v>PSD</v>
      </c>
      <c r="C25" t="str">
        <f>VLOOKUP(A25,[119]WRDS!$A$1:$N$39,3,FALSE)</f>
        <v>PUGET SOUND P&amp;L</v>
      </c>
      <c r="D25">
        <f>VLOOKUP(A25,[119]WRDS!$A$1:$N$39,13,FALSE)</f>
        <v>1.94</v>
      </c>
      <c r="E25">
        <f>VLOOKUP(A25,[103]WRDS!$A$1:$N$100,13,FALSE)</f>
        <v>2.02</v>
      </c>
      <c r="F25" s="1">
        <f t="shared" si="3"/>
        <v>2.1131253836167336</v>
      </c>
      <c r="G25" s="1">
        <f t="shared" si="4"/>
        <v>2.0999183904000001</v>
      </c>
      <c r="H25" s="2">
        <f t="shared" si="0"/>
        <v>1.0153585944976173E-2</v>
      </c>
      <c r="I25" s="2">
        <f>VLOOKUP(A25,[120]WRDS!$A$1:$O$100,10,FALSE)/100</f>
        <v>2.1600000000000001E-2</v>
      </c>
      <c r="J25" s="2">
        <f>VLOOKUP(A25,[120]WRDS!$A$1:$O$100,9,FALSE)/100</f>
        <v>0.02</v>
      </c>
      <c r="K25" s="2">
        <f t="shared" si="1"/>
        <v>1.1273272435032988</v>
      </c>
      <c r="L25" s="2">
        <f t="shared" si="2"/>
        <v>0.96974744768823962</v>
      </c>
      <c r="M25">
        <f>VLOOKUP(A25,[120]WRDS!$A$1:$O$100,8,FALSE)</f>
        <v>5</v>
      </c>
      <c r="N25">
        <f>VLOOKUP(A25,[120]WRDS!$A$1:$O$100,11,FALSE)</f>
        <v>0.85</v>
      </c>
    </row>
    <row r="26" spans="1:14" x14ac:dyDescent="0.3">
      <c r="A26" t="s">
        <v>52</v>
      </c>
      <c r="B26" t="str">
        <f>VLOOKUP(A26,[119]WRDS!$A$1:$N$39,2,FALSE)</f>
        <v>SCG</v>
      </c>
      <c r="C26" t="str">
        <f>VLOOKUP(A26,[119]WRDS!$A$1:$N$39,3,FALSE)</f>
        <v>SCANA CP</v>
      </c>
      <c r="D26">
        <f>VLOOKUP(A26,[119]WRDS!$A$1:$N$39,13,FALSE)</f>
        <v>1.52</v>
      </c>
      <c r="E26">
        <f>VLOOKUP(A26,[103]WRDS!$A$1:$N$100,13,FALSE)</f>
        <v>1.86</v>
      </c>
      <c r="F26" s="1">
        <f t="shared" si="3"/>
        <v>1.7591125230158202</v>
      </c>
      <c r="G26" s="1">
        <f t="shared" si="4"/>
        <v>1.7442349609499996</v>
      </c>
      <c r="H26" s="2">
        <f t="shared" si="0"/>
        <v>5.1761668945156103E-2</v>
      </c>
      <c r="I26" s="2">
        <f>VLOOKUP(A26,[120]WRDS!$A$1:$O$100,10,FALSE)/100</f>
        <v>3.7200000000000004E-2</v>
      </c>
      <c r="J26" s="2">
        <f>VLOOKUP(A26,[120]WRDS!$A$1:$O$100,9,FALSE)/100</f>
        <v>3.5000000000000003E-2</v>
      </c>
      <c r="K26" s="2">
        <f t="shared" si="1"/>
        <v>-0.28132147285638848</v>
      </c>
      <c r="L26" s="2">
        <f t="shared" si="2"/>
        <v>-0.32382396639713973</v>
      </c>
      <c r="M26">
        <f>VLOOKUP(A26,[120]WRDS!$A$1:$O$100,8,FALSE)</f>
        <v>9</v>
      </c>
      <c r="N26">
        <f>VLOOKUP(A26,[120]WRDS!$A$1:$O$100,11,FALSE)</f>
        <v>0.97</v>
      </c>
    </row>
    <row r="27" spans="1:14" x14ac:dyDescent="0.3">
      <c r="A27" t="s">
        <v>53</v>
      </c>
      <c r="B27" t="str">
        <f>VLOOKUP(A27,[119]WRDS!$A$1:$N$39,2,FALSE)</f>
        <v>SO</v>
      </c>
      <c r="C27" t="str">
        <f>VLOOKUP(A27,[119]WRDS!$A$1:$N$39,3,FALSE)</f>
        <v>SOUTHN CO</v>
      </c>
      <c r="D27">
        <f>VLOOKUP(A27,[119]WRDS!$A$1:$N$39,13,FALSE)</f>
        <v>1.34</v>
      </c>
      <c r="E27">
        <f>VLOOKUP(A27,[103]WRDS!$A$1:$N$100,13,FALSE)</f>
        <v>1.57</v>
      </c>
      <c r="F27" s="1">
        <f t="shared" si="3"/>
        <v>1.5099396782323127</v>
      </c>
      <c r="G27" s="1">
        <f t="shared" si="4"/>
        <v>1.5081818054</v>
      </c>
      <c r="H27" s="2">
        <f t="shared" si="0"/>
        <v>4.0396095133300003E-2</v>
      </c>
      <c r="I27" s="2">
        <f>VLOOKUP(A27,[120]WRDS!$A$1:$O$100,10,FALSE)/100</f>
        <v>3.0299999999999997E-2</v>
      </c>
      <c r="J27" s="2">
        <f>VLOOKUP(A27,[120]WRDS!$A$1:$O$100,9,FALSE)/100</f>
        <v>0.03</v>
      </c>
      <c r="K27" s="2">
        <f t="shared" si="1"/>
        <v>-0.24992750165541172</v>
      </c>
      <c r="L27" s="2">
        <f t="shared" si="2"/>
        <v>-0.25735396203506106</v>
      </c>
      <c r="M27">
        <f>VLOOKUP(A27,[120]WRDS!$A$1:$O$100,8,FALSE)</f>
        <v>13</v>
      </c>
      <c r="N27">
        <f>VLOOKUP(A27,[120]WRDS!$A$1:$O$100,11,FALSE)</f>
        <v>0.63</v>
      </c>
    </row>
    <row r="28" spans="1:14" x14ac:dyDescent="0.3">
      <c r="A28" t="s">
        <v>75</v>
      </c>
      <c r="B28" t="str">
        <f>VLOOKUP(A28,[119]WRDS!$A$1:$N$39,2,FALSE)</f>
        <v>TE</v>
      </c>
      <c r="C28" t="str">
        <f>VLOOKUP(A28,[119]WRDS!$A$1:$N$39,3,FALSE)</f>
        <v>TECO ENERGY INC</v>
      </c>
      <c r="D28">
        <f>VLOOKUP(A28,[119]WRDS!$A$1:$N$39,13,FALSE)</f>
        <v>1.1599999999999999</v>
      </c>
      <c r="E28">
        <f>VLOOKUP(A28,[103]WRDS!$A$1:$N$100,13,FALSE)</f>
        <v>1.365</v>
      </c>
      <c r="F28" s="1">
        <f t="shared" si="3"/>
        <v>1.4414003390743777</v>
      </c>
      <c r="G28" s="1">
        <f t="shared" si="4"/>
        <v>1.4589547746987599</v>
      </c>
      <c r="H28" s="2">
        <f t="shared" si="0"/>
        <v>4.1522521806951485E-2</v>
      </c>
      <c r="I28" s="2">
        <f>VLOOKUP(A28,[120]WRDS!$A$1:$O$100,10,FALSE)/100</f>
        <v>5.5800000000000002E-2</v>
      </c>
      <c r="J28" s="2">
        <f>VLOOKUP(A28,[120]WRDS!$A$1:$O$100,9,FALSE)/100</f>
        <v>5.9000000000000004E-2</v>
      </c>
      <c r="K28" s="2">
        <f t="shared" si="1"/>
        <v>0.34384901426334508</v>
      </c>
      <c r="L28" s="2">
        <f t="shared" si="2"/>
        <v>0.42091562440031111</v>
      </c>
      <c r="M28">
        <f>VLOOKUP(A28,[120]WRDS!$A$1:$O$100,8,FALSE)</f>
        <v>13</v>
      </c>
      <c r="N28">
        <f>VLOOKUP(A28,[120]WRDS!$A$1:$O$100,11,FALSE)</f>
        <v>1.03</v>
      </c>
    </row>
    <row r="29" spans="1:14" x14ac:dyDescent="0.3">
      <c r="A29" t="s">
        <v>55</v>
      </c>
      <c r="B29" t="str">
        <f>VLOOKUP(A29,[119]WRDS!$A$1:$N$39,2,FALSE)</f>
        <v>WPC</v>
      </c>
      <c r="C29" t="str">
        <f>VLOOKUP(A29,[119]WRDS!$A$1:$N$39,3,FALSE)</f>
        <v>WISCONSIN ENERGY</v>
      </c>
      <c r="D29">
        <f>VLOOKUP(A29,[119]WRDS!$A$1:$N$39,13,FALSE)</f>
        <v>0.95350000000000001</v>
      </c>
      <c r="E29">
        <f>VLOOKUP(A29,[103]WRDS!$A$1:$N$100,13,FALSE)</f>
        <v>0.91</v>
      </c>
      <c r="F29" s="1">
        <f t="shared" si="3"/>
        <v>1.1514976091260976</v>
      </c>
      <c r="G29" s="1">
        <f t="shared" si="4"/>
        <v>1.1589852093749999</v>
      </c>
      <c r="H29" s="2">
        <f t="shared" si="0"/>
        <v>-1.1605833039929903E-2</v>
      </c>
      <c r="I29" s="2">
        <f>VLOOKUP(A29,[120]WRDS!$A$1:$O$100,10,FALSE)/100</f>
        <v>4.8300000000000003E-2</v>
      </c>
      <c r="J29" s="2">
        <f>VLOOKUP(A29,[120]WRDS!$A$1:$O$100,9,FALSE)/100</f>
        <v>0.05</v>
      </c>
      <c r="K29" s="2">
        <f t="shared" si="1"/>
        <v>5.1617003996028297</v>
      </c>
      <c r="L29" s="2">
        <f t="shared" si="2"/>
        <v>5.3081784674977532</v>
      </c>
      <c r="M29">
        <f>VLOOKUP(A29,[120]WRDS!$A$1:$O$100,8,FALSE)</f>
        <v>12</v>
      </c>
      <c r="N29">
        <f>VLOOKUP(A29,[120]WRDS!$A$1:$O$100,11,FALSE)</f>
        <v>1.28</v>
      </c>
    </row>
    <row r="30" spans="1:14" x14ac:dyDescent="0.3">
      <c r="A30" t="s">
        <v>132</v>
      </c>
      <c r="B30" t="str">
        <f>VLOOKUP(A30,'[5]Ticker List'!$H$4:$I$20,2,FALSE)</f>
        <v>EGAS</v>
      </c>
      <c r="C30" t="str">
        <f>VLOOKUP(A30,[121]xkxgsmq8az7ijsb6!$B$1:$N$12,2,FALSE)</f>
        <v>ATMOS ENERGY CP</v>
      </c>
      <c r="D30">
        <f>VLOOKUP(A30,[121]xkxgsmq8az7ijsb6!$B$1:$N$12,12,FALSE)</f>
        <v>0.65780000000000005</v>
      </c>
      <c r="E30">
        <f>VLOOKUP(A30,[105]zpbatbjcaumtwvkb!$B$1:$N$13,12,FALSE)</f>
        <v>1.1299999999999999</v>
      </c>
      <c r="F30" s="1">
        <f t="shared" si="3"/>
        <v>0.79956001125000009</v>
      </c>
      <c r="G30" s="1">
        <f t="shared" si="4"/>
        <v>0.79956001125000009</v>
      </c>
      <c r="H30" s="2">
        <f t="shared" si="0"/>
        <v>0.1448435550052567</v>
      </c>
      <c r="I30" s="2">
        <f>VLOOKUP(A30,[122]iuqz56ykwmmsath4!$B$1:$N$11,9,FALSE)/100</f>
        <v>0.05</v>
      </c>
      <c r="J30" s="2">
        <f>VLOOKUP(A30,[122]iuqz56ykwmmsath4!$B$1:$N$11,8,FALSE)/100</f>
        <v>0.05</v>
      </c>
      <c r="K30" s="2">
        <f t="shared" si="1"/>
        <v>-0.65479996677666885</v>
      </c>
      <c r="L30" s="2">
        <f t="shared" si="2"/>
        <v>-0.65479996677666885</v>
      </c>
      <c r="M30">
        <f>VLOOKUP(A30,[122]iuqz56ykwmmsath4!$B$1:$N$11,7,FALSE)</f>
        <v>1</v>
      </c>
      <c r="N30">
        <f>VLOOKUP(A30,[122]iuqz56ykwmmsath4!$B$1:$N$11,10,FALSE)</f>
        <v>0</v>
      </c>
    </row>
    <row r="31" spans="1:14" x14ac:dyDescent="0.3">
      <c r="A31" t="s">
        <v>134</v>
      </c>
      <c r="B31" t="str">
        <f>VLOOKUP(A31,'[5]Ticker List'!$H$4:$I$20,2,FALSE)</f>
        <v>NJR</v>
      </c>
      <c r="C31" t="str">
        <f>VLOOKUP(A31,[121]xkxgsmq8az7ijsb6!$B$1:$N$12,2,FALSE)</f>
        <v>NEW JERSEY RES</v>
      </c>
      <c r="D31">
        <f>VLOOKUP(A31,[121]xkxgsmq8az7ijsb6!$B$1:$N$12,12,FALSE)</f>
        <v>0.22</v>
      </c>
      <c r="E31">
        <f>VLOOKUP(A31,[105]zpbatbjcaumtwvkb!$B$1:$N$13,12,FALSE)</f>
        <v>0.4022</v>
      </c>
      <c r="F31" s="1">
        <f t="shared" si="3"/>
        <v>0.2883751222</v>
      </c>
      <c r="G31" s="1">
        <f t="shared" si="4"/>
        <v>0.2938032109375</v>
      </c>
      <c r="H31" s="2">
        <f t="shared" si="0"/>
        <v>0.16279952679161735</v>
      </c>
      <c r="I31" s="2">
        <f>VLOOKUP(A31,[122]iuqz56ykwmmsath4!$B$1:$N$11,9,FALSE)/100</f>
        <v>7.0000000000000007E-2</v>
      </c>
      <c r="J31" s="2">
        <f>VLOOKUP(A31,[122]iuqz56ykwmmsath4!$B$1:$N$11,8,FALSE)/100</f>
        <v>7.4999999999999997E-2</v>
      </c>
      <c r="K31" s="2">
        <f t="shared" si="1"/>
        <v>-0.5700233202176338</v>
      </c>
      <c r="L31" s="2">
        <f t="shared" si="2"/>
        <v>-0.53931070023317906</v>
      </c>
      <c r="M31">
        <f>VLOOKUP(A31,[122]iuqz56ykwmmsath4!$B$1:$N$11,7,FALSE)</f>
        <v>4</v>
      </c>
      <c r="N31">
        <f>VLOOKUP(A31,[122]iuqz56ykwmmsath4!$B$1:$N$11,10,FALSE)</f>
        <v>1.41</v>
      </c>
    </row>
    <row r="32" spans="1:14" x14ac:dyDescent="0.3">
      <c r="A32" t="s">
        <v>135</v>
      </c>
      <c r="B32" t="str">
        <f>VLOOKUP(A32,'[5]Ticker List'!$H$4:$I$20,2,FALSE)</f>
        <v>NI</v>
      </c>
      <c r="C32" t="str">
        <f>VLOOKUP(A32,[121]xkxgsmq8az7ijsb6!$B$1:$N$12,2,FALSE)</f>
        <v>NIPSCO IND INC</v>
      </c>
      <c r="D32">
        <f>VLOOKUP(A32,[121]xkxgsmq8az7ijsb6!$B$1:$N$12,12,FALSE)</f>
        <v>0.84499999999999997</v>
      </c>
      <c r="E32">
        <f>VLOOKUP(A32,[105]zpbatbjcaumtwvkb!$B$1:$N$13,12,FALSE)</f>
        <v>1.1499999999999999</v>
      </c>
      <c r="F32" s="1">
        <f t="shared" si="3"/>
        <v>1.038496917283076</v>
      </c>
      <c r="G32" s="1">
        <f t="shared" si="4"/>
        <v>1.0173557300486331</v>
      </c>
      <c r="H32" s="2">
        <f t="shared" si="0"/>
        <v>8.0090839773107714E-2</v>
      </c>
      <c r="I32" s="2">
        <f>VLOOKUP(A32,[122]iuqz56ykwmmsath4!$B$1:$N$11,9,FALSE)/100</f>
        <v>5.2900000000000003E-2</v>
      </c>
      <c r="J32" s="2">
        <f>VLOOKUP(A32,[122]iuqz56ykwmmsath4!$B$1:$N$11,8,FALSE)/100</f>
        <v>4.7500000000000001E-2</v>
      </c>
      <c r="K32" s="2">
        <f t="shared" si="1"/>
        <v>-0.33949999588139718</v>
      </c>
      <c r="L32" s="2">
        <f t="shared" si="2"/>
        <v>-0.40692343675550791</v>
      </c>
      <c r="M32">
        <f>VLOOKUP(A32,[122]iuqz56ykwmmsath4!$B$1:$N$11,7,FALSE)</f>
        <v>10</v>
      </c>
      <c r="N32">
        <f>VLOOKUP(A32,[122]iuqz56ykwmmsath4!$B$1:$N$11,10,FALSE)</f>
        <v>3.03</v>
      </c>
    </row>
    <row r="33" spans="1:14" x14ac:dyDescent="0.3">
      <c r="A33" t="s">
        <v>138</v>
      </c>
      <c r="B33" t="str">
        <f>VLOOKUP(A33,'[5]Ticker List'!$H$4:$I$20,2,FALSE)</f>
        <v>SJI</v>
      </c>
      <c r="C33" t="str">
        <f>VLOOKUP(A33,[121]xkxgsmq8az7ijsb6!$B$1:$N$12,2,FALSE)</f>
        <v>SO JERSEY INDS</v>
      </c>
      <c r="D33">
        <f>VLOOKUP(A33,[121]xkxgsmq8az7ijsb6!$B$1:$N$12,12,FALSE)</f>
        <v>0.41670000000000001</v>
      </c>
      <c r="E33">
        <f>VLOOKUP(A33,[105]zpbatbjcaumtwvkb!$B$1:$N$13,12,FALSE)</f>
        <v>0.38750000000000001</v>
      </c>
      <c r="F33" s="1">
        <f t="shared" si="3"/>
        <v>0.48748006195200011</v>
      </c>
      <c r="G33" s="1">
        <f t="shared" si="4"/>
        <v>0.48748006195200011</v>
      </c>
      <c r="H33" s="2">
        <f t="shared" si="0"/>
        <v>-1.7998725148193451E-2</v>
      </c>
      <c r="I33" s="2">
        <f>VLOOKUP(A33,[122]iuqz56ykwmmsath4!$B$1:$N$11,9,FALSE)/100</f>
        <v>0.04</v>
      </c>
      <c r="J33" s="2">
        <f>VLOOKUP(A33,[122]iuqz56ykwmmsath4!$B$1:$N$11,8,FALSE)/100</f>
        <v>0.04</v>
      </c>
      <c r="K33" s="2">
        <f t="shared" si="1"/>
        <v>3.2223796224820309</v>
      </c>
      <c r="L33" s="2">
        <f t="shared" si="2"/>
        <v>3.2223796224820309</v>
      </c>
      <c r="M33">
        <f>VLOOKUP(A33,[122]iuqz56ykwmmsath4!$B$1:$N$11,7,FALSE)</f>
        <v>1</v>
      </c>
      <c r="N33">
        <f>VLOOKUP(A33,[122]iuqz56ykwmmsath4!$B$1:$N$11,10,FALSE)</f>
        <v>0</v>
      </c>
    </row>
    <row r="34" spans="1:14" x14ac:dyDescent="0.3">
      <c r="A34" t="s">
        <v>139</v>
      </c>
      <c r="B34" t="str">
        <f>VLOOKUP(A34,'[5]Ticker List'!$H$4:$I$20,2,FALSE)</f>
        <v>SWX</v>
      </c>
      <c r="C34" t="str">
        <f>VLOOKUP(A34,[121]xkxgsmq8az7ijsb6!$B$1:$N$12,2,FALSE)</f>
        <v>SOUTHWEST GAS</v>
      </c>
      <c r="D34">
        <f>VLOOKUP(A34,[121]xkxgsmq8az7ijsb6!$B$1:$N$12,12,FALSE)</f>
        <v>2.14</v>
      </c>
      <c r="E34">
        <f>VLOOKUP(A34,[105]zpbatbjcaumtwvkb!$B$1:$N$13,12,FALSE)</f>
        <v>0.71</v>
      </c>
      <c r="F34" s="1">
        <f t="shared" si="3"/>
        <v>2.8051034614000003</v>
      </c>
      <c r="G34" s="1">
        <f t="shared" si="4"/>
        <v>2.7017006944000008</v>
      </c>
      <c r="H34" s="2">
        <f t="shared" si="0"/>
        <v>-0.24105353258972095</v>
      </c>
      <c r="I34" s="2">
        <f>VLOOKUP(A34,[122]iuqz56ykwmmsath4!$B$1:$N$11,9,FALSE)/100</f>
        <v>7.0000000000000007E-2</v>
      </c>
      <c r="J34" s="2">
        <f>VLOOKUP(A34,[122]iuqz56ykwmmsath4!$B$1:$N$11,8,FALSE)/100</f>
        <v>0.06</v>
      </c>
      <c r="K34" s="2">
        <f t="shared" si="1"/>
        <v>1.2903919276683729</v>
      </c>
      <c r="L34" s="2">
        <f t="shared" si="2"/>
        <v>1.2489073665728909</v>
      </c>
      <c r="M34">
        <f>VLOOKUP(A34,[122]iuqz56ykwmmsath4!$B$1:$N$11,7,FALSE)</f>
        <v>3</v>
      </c>
      <c r="N34">
        <f>VLOOKUP(A34,[122]iuqz56ykwmmsath4!$B$1:$N$11,10,FALSE)</f>
        <v>3.61</v>
      </c>
    </row>
    <row r="35" spans="1:14" x14ac:dyDescent="0.3">
      <c r="A35" t="s">
        <v>148</v>
      </c>
      <c r="B35" t="str">
        <f>VLOOKUP(A35,'[5]Ticker List'!$H$4:$I$20,2,FALSE)</f>
        <v>AGLT</v>
      </c>
      <c r="C35" t="str">
        <f>VLOOKUP(A35,[121]xkxgsmq8az7ijsb6!$B$1:$N$12,2,FALSE)</f>
        <v>ATLANTA GAS LT</v>
      </c>
      <c r="D35">
        <f>VLOOKUP(A35,[121]xkxgsmq8az7ijsb6!$B$1:$N$12,12,FALSE)</f>
        <v>1.02</v>
      </c>
      <c r="E35">
        <f>VLOOKUP(A35,[105]zpbatbjcaumtwvkb!$B$1:$N$13,12,FALSE)</f>
        <v>1.18</v>
      </c>
      <c r="F35" s="1">
        <f t="shared" si="3"/>
        <v>1.3642070838062299</v>
      </c>
      <c r="G35" s="1">
        <f t="shared" si="4"/>
        <v>1.3370119302000001</v>
      </c>
      <c r="H35" s="2">
        <f t="shared" si="0"/>
        <v>3.7099581200226162E-2</v>
      </c>
      <c r="I35" s="2">
        <f>VLOOKUP(A35,[122]iuqz56ykwmmsath4!$B$1:$N$11,9,FALSE)/100</f>
        <v>7.5399999999999995E-2</v>
      </c>
      <c r="J35" s="2">
        <f>VLOOKUP(A35,[122]iuqz56ykwmmsath4!$B$1:$N$11,8,FALSE)/100</f>
        <v>7.0000000000000007E-2</v>
      </c>
      <c r="K35" s="2">
        <f t="shared" si="1"/>
        <v>1.0323679556668512</v>
      </c>
      <c r="L35" s="2">
        <f t="shared" si="2"/>
        <v>0.88681375194535306</v>
      </c>
      <c r="M35">
        <f>VLOOKUP(A35,[122]iuqz56ykwmmsath4!$B$1:$N$11,7,FALSE)</f>
        <v>7</v>
      </c>
      <c r="N35">
        <f>VLOOKUP(A35,[122]iuqz56ykwmmsath4!$B$1:$N$11,10,FALSE)</f>
        <v>2.86</v>
      </c>
    </row>
    <row r="36" spans="1:14" x14ac:dyDescent="0.3">
      <c r="A36" t="s">
        <v>144</v>
      </c>
      <c r="B36" t="str">
        <f>VLOOKUP(A36,'[5]Ticker List'!$H$4:$I$20,2,FALSE)</f>
        <v>GAS</v>
      </c>
      <c r="C36" t="str">
        <f>VLOOKUP(A36,[121]xkxgsmq8az7ijsb6!$B$1:$N$12,2,FALSE)</f>
        <v>NICOR INC</v>
      </c>
      <c r="D36">
        <f>VLOOKUP(A36,[121]xkxgsmq8az7ijsb6!$B$1:$N$12,12,FALSE)</f>
        <v>1.99</v>
      </c>
      <c r="E36">
        <f>VLOOKUP(A36,[105]zpbatbjcaumtwvkb!$B$1:$N$13,12,FALSE)</f>
        <v>1.96</v>
      </c>
      <c r="F36" s="1">
        <f t="shared" si="3"/>
        <v>2.4962510520664516</v>
      </c>
      <c r="G36" s="1">
        <f t="shared" si="4"/>
        <v>2.5123291504000007</v>
      </c>
      <c r="H36" s="2">
        <f t="shared" si="0"/>
        <v>-3.7903398321865733E-3</v>
      </c>
      <c r="I36" s="2">
        <f>VLOOKUP(A36,[122]iuqz56ykwmmsath4!$B$1:$N$11,9,FALSE)/100</f>
        <v>5.8299999999999998E-2</v>
      </c>
      <c r="J36" s="2">
        <f>VLOOKUP(A36,[122]iuqz56ykwmmsath4!$B$1:$N$11,8,FALSE)/100</f>
        <v>0.06</v>
      </c>
      <c r="K36" s="2">
        <f t="shared" si="1"/>
        <v>16.381206588636633</v>
      </c>
      <c r="L36" s="2">
        <f t="shared" si="2"/>
        <v>16.829715185560858</v>
      </c>
      <c r="M36">
        <f>VLOOKUP(A36,[122]iuqz56ykwmmsath4!$B$1:$N$11,7,FALSE)</f>
        <v>6</v>
      </c>
      <c r="N36">
        <f>VLOOKUP(A36,[122]iuqz56ykwmmsath4!$B$1:$N$11,10,FALSE)</f>
        <v>1.6</v>
      </c>
    </row>
    <row r="37" spans="1:14" x14ac:dyDescent="0.3">
      <c r="A37" t="s">
        <v>146</v>
      </c>
      <c r="B37" t="str">
        <f>VLOOKUP(A37,'[5]Ticker List'!$H$4:$I$20,2,FALSE)</f>
        <v>PNY</v>
      </c>
      <c r="C37" t="str">
        <f>VLOOKUP(A37,[121]xkxgsmq8az7ijsb6!$B$1:$N$12,2,FALSE)</f>
        <v>PIEDMONT NAT GAS</v>
      </c>
      <c r="D37">
        <f>VLOOKUP(A37,[121]xkxgsmq8az7ijsb6!$B$1:$N$12,12,FALSE)</f>
        <v>0.61499999999999999</v>
      </c>
      <c r="E37">
        <f>VLOOKUP(A37,[105]zpbatbjcaumtwvkb!$B$1:$N$13,12,FALSE)</f>
        <v>0.68</v>
      </c>
      <c r="F37" s="1">
        <f t="shared" si="3"/>
        <v>1.2167850689378399</v>
      </c>
      <c r="G37" s="1">
        <f t="shared" si="4"/>
        <v>1.2167850689378399</v>
      </c>
      <c r="H37" s="2">
        <f t="shared" si="0"/>
        <v>2.5435738092693283E-2</v>
      </c>
      <c r="I37" s="2">
        <f>VLOOKUP(A37,[122]iuqz56ykwmmsath4!$B$1:$N$11,9,FALSE)/100</f>
        <v>0.18600000000000003</v>
      </c>
      <c r="J37" s="2">
        <f>VLOOKUP(A37,[122]iuqz56ykwmmsath4!$B$1:$N$11,8,FALSE)/100</f>
        <v>0.18600000000000003</v>
      </c>
      <c r="K37" s="2">
        <f t="shared" si="1"/>
        <v>6.3125458094503157</v>
      </c>
      <c r="L37" s="2">
        <f t="shared" si="2"/>
        <v>6.3125458094503157</v>
      </c>
      <c r="M37">
        <f>VLOOKUP(A37,[122]iuqz56ykwmmsath4!$B$1:$N$11,7,FALSE)</f>
        <v>1</v>
      </c>
      <c r="N37">
        <f>VLOOKUP(A37,[122]iuqz56ykwmmsath4!$B$1:$N$11,10,FALSE)</f>
        <v>0</v>
      </c>
    </row>
    <row r="38" spans="1:14" x14ac:dyDescent="0.3">
      <c r="A38" t="s">
        <v>145</v>
      </c>
      <c r="B38" t="str">
        <f>VLOOKUP(A38,'[5]Ticker List'!$H$4:$I$20,2,FALSE)</f>
        <v>WGL</v>
      </c>
      <c r="C38" t="str">
        <f>VLOOKUP(A38,[121]xkxgsmq8az7ijsb6!$B$1:$N$12,2,FALSE)</f>
        <v>WASH GAS LT</v>
      </c>
      <c r="D38">
        <f>VLOOKUP(A38,[121]xkxgsmq8az7ijsb6!$B$1:$N$12,12,FALSE)</f>
        <v>1.48</v>
      </c>
      <c r="E38">
        <f>VLOOKUP(A38,[105]zpbatbjcaumtwvkb!$B$1:$N$13,12,FALSE)</f>
        <v>1.425</v>
      </c>
      <c r="F38" s="1">
        <f t="shared" si="3"/>
        <v>1.8265188514028801</v>
      </c>
      <c r="G38" s="1">
        <f t="shared" si="4"/>
        <v>1.8684659008000004</v>
      </c>
      <c r="H38" s="2">
        <f t="shared" si="0"/>
        <v>-9.4228921902890228E-3</v>
      </c>
      <c r="I38" s="2">
        <f>VLOOKUP(A38,[122]iuqz56ykwmmsath4!$B$1:$N$11,9,FALSE)/100</f>
        <v>5.4000000000000006E-2</v>
      </c>
      <c r="J38" s="2">
        <f>VLOOKUP(A38,[122]iuqz56ykwmmsath4!$B$1:$N$11,8,FALSE)/100</f>
        <v>0.06</v>
      </c>
      <c r="K38" s="2">
        <f t="shared" si="1"/>
        <v>6.7307245917183414</v>
      </c>
      <c r="L38" s="2">
        <f t="shared" si="2"/>
        <v>7.3674717685759337</v>
      </c>
      <c r="M38">
        <f>VLOOKUP(A38,[122]iuqz56ykwmmsath4!$B$1:$N$11,7,FALSE)</f>
        <v>5</v>
      </c>
      <c r="N38">
        <f>VLOOKUP(A38,[122]iuqz56ykwmmsath4!$B$1:$N$11,10,FALSE)</f>
        <v>0.89</v>
      </c>
    </row>
  </sheetData>
  <mergeCells count="3">
    <mergeCell ref="P1:Q1"/>
    <mergeCell ref="P7:Q7"/>
    <mergeCell ref="P13:Q13"/>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D4036-C580-4876-AF1E-B03B8CB80F2D}">
  <dimension ref="A1:Q39"/>
  <sheetViews>
    <sheetView workbookViewId="0">
      <selection activeCell="A30" sqref="A30:N39"/>
    </sheetView>
  </sheetViews>
  <sheetFormatPr defaultRowHeight="14.4" x14ac:dyDescent="0.3"/>
  <cols>
    <col min="1" max="1" width="13.33203125" bestFit="1" customWidth="1"/>
    <col min="2" max="2" width="10.44140625" bestFit="1" customWidth="1"/>
    <col min="3" max="3" width="15.109375" bestFit="1" customWidth="1"/>
    <col min="4" max="5" width="15.44140625" bestFit="1" customWidth="1"/>
    <col min="6" max="6" width="14.33203125" bestFit="1" customWidth="1"/>
    <col min="7" max="7" width="16" bestFit="1" customWidth="1"/>
    <col min="8" max="8" width="18.33203125" bestFit="1" customWidth="1"/>
    <col min="9" max="9" width="21.44140625" bestFit="1" customWidth="1"/>
    <col min="10" max="10" width="23.109375" bestFit="1" customWidth="1"/>
    <col min="11" max="11" width="22" bestFit="1" customWidth="1"/>
    <col min="12" max="12" width="24.109375" bestFit="1" customWidth="1"/>
    <col min="13" max="13" width="19.88671875" bestFit="1" customWidth="1"/>
    <col min="14" max="14" width="8.33203125" bestFit="1" customWidth="1"/>
    <col min="16" max="16" width="51.88671875" bestFit="1" customWidth="1"/>
    <col min="17" max="17" width="12" bestFit="1" customWidth="1"/>
  </cols>
  <sheetData>
    <row r="1" spans="1:17" x14ac:dyDescent="0.3">
      <c r="A1" t="s">
        <v>0</v>
      </c>
      <c r="B1" t="s">
        <v>1</v>
      </c>
      <c r="C1" t="s">
        <v>2</v>
      </c>
      <c r="D1" t="s">
        <v>109</v>
      </c>
      <c r="E1" t="s">
        <v>105</v>
      </c>
      <c r="F1" t="s">
        <v>5</v>
      </c>
      <c r="G1" t="s">
        <v>6</v>
      </c>
      <c r="H1" t="s">
        <v>7</v>
      </c>
      <c r="I1" t="s">
        <v>8</v>
      </c>
      <c r="J1" t="s">
        <v>9</v>
      </c>
      <c r="K1" t="s">
        <v>10</v>
      </c>
      <c r="L1" t="s">
        <v>11</v>
      </c>
      <c r="M1" t="s">
        <v>12</v>
      </c>
      <c r="N1" t="s">
        <v>13</v>
      </c>
      <c r="P1" s="111" t="s">
        <v>14</v>
      </c>
      <c r="Q1" s="111"/>
    </row>
    <row r="2" spans="1:17" x14ac:dyDescent="0.3">
      <c r="A2" t="s">
        <v>63</v>
      </c>
      <c r="B2" t="str">
        <f>VLOOKUP(A2,[123]WRDS!$A$1:$N$39,2,FALSE)</f>
        <v>AVDO</v>
      </c>
      <c r="C2" t="str">
        <f>VLOOKUP(A2,[123]WRDS!$A$1:$N$39,3,FALSE)</f>
        <v>AUDIO VIDEO AFFI</v>
      </c>
      <c r="D2">
        <f>VLOOKUP(A2,[123]WRDS!$A$1:$N$39,13,FALSE)</f>
        <v>0.12</v>
      </c>
      <c r="E2">
        <f>VLOOKUP(A2,[107]WRDS!$A$1:$N$40,13,FALSE)</f>
        <v>0.32</v>
      </c>
      <c r="F2" s="1">
        <f>D2*(1+I2)^4</f>
        <v>0.20988074999999992</v>
      </c>
      <c r="G2" s="1">
        <f>D2*(1+J2)^4</f>
        <v>0.20988074999999992</v>
      </c>
      <c r="H2" s="2">
        <f t="shared" ref="H2:H39" si="0">((E2/D2)^(1/4)-1)</f>
        <v>0.27788620849254486</v>
      </c>
      <c r="I2" s="2">
        <f>VLOOKUP(A2,[124]WRDS!$A$1:$O$100,10,FALSE)/100</f>
        <v>0.15</v>
      </c>
      <c r="J2" s="2">
        <f>VLOOKUP(A2,[124]WRDS!$A$1:$O$100,9,FALSE)/100</f>
        <v>0.15</v>
      </c>
      <c r="K2" s="2">
        <f t="shared" ref="K2:K39" si="1">(I2-H2)/(ABS(H2))</f>
        <v>-0.46021070705988565</v>
      </c>
      <c r="L2" s="2">
        <f t="shared" ref="L2:L39" si="2">(J2-H2)/(ABS(H2))</f>
        <v>-0.46021070705988565</v>
      </c>
      <c r="M2">
        <f>VLOOKUP(A2,[124]WRDS!$A$1:$O$100,8,FALSE)</f>
        <v>2</v>
      </c>
      <c r="N2">
        <f>VLOOKUP(A2,[124]WRDS!$A$1:$O$100,11,FALSE)</f>
        <v>4.24</v>
      </c>
      <c r="P2" t="s">
        <v>16</v>
      </c>
      <c r="Q2" s="3">
        <f>AVERAGE(H2:H999)</f>
        <v>-1.1533667348060676E-3</v>
      </c>
    </row>
    <row r="3" spans="1:17" x14ac:dyDescent="0.3">
      <c r="A3" t="s">
        <v>19</v>
      </c>
      <c r="B3" t="str">
        <f>VLOOKUP(A3,[123]WRDS!$A$1:$N$39,2,FALSE)</f>
        <v>BHP</v>
      </c>
      <c r="C3" t="str">
        <f>VLOOKUP(A3,[123]WRDS!$A$1:$N$39,3,FALSE)</f>
        <v>BLACK HILLS CORP</v>
      </c>
      <c r="D3">
        <f>VLOOKUP(A3,[123]WRDS!$A$1:$N$39,13,FALSE)</f>
        <v>1.022</v>
      </c>
      <c r="E3">
        <f>VLOOKUP(A3,[107]WRDS!$A$1:$N$40,13,FALSE)</f>
        <v>1.1533</v>
      </c>
      <c r="F3" s="1">
        <f t="shared" ref="F3:F39" si="3">D3*(1+I3)^4</f>
        <v>1.275706725217022</v>
      </c>
      <c r="G3" s="1">
        <f t="shared" ref="G3:G39" si="4">D3*(1+J3)^4</f>
        <v>1.275706725217022</v>
      </c>
      <c r="H3" s="2">
        <f t="shared" si="0"/>
        <v>3.0677627411449526E-2</v>
      </c>
      <c r="I3" s="2">
        <f>VLOOKUP(A3,[124]WRDS!$A$1:$O$100,10,FALSE)/100</f>
        <v>5.7000000000000002E-2</v>
      </c>
      <c r="J3" s="2">
        <f>VLOOKUP(A3,[124]WRDS!$A$1:$O$100,9,FALSE)/100</f>
        <v>5.7000000000000002E-2</v>
      </c>
      <c r="K3" s="2">
        <f t="shared" si="1"/>
        <v>0.85803156272529801</v>
      </c>
      <c r="L3" s="2">
        <f t="shared" si="2"/>
        <v>0.85803156272529801</v>
      </c>
      <c r="M3">
        <f>VLOOKUP(A3,[124]WRDS!$A$1:$O$100,8,FALSE)</f>
        <v>2</v>
      </c>
      <c r="N3">
        <f>VLOOKUP(A3,[124]WRDS!$A$1:$O$100,11,FALSE)</f>
        <v>1.84</v>
      </c>
      <c r="P3" t="s">
        <v>18</v>
      </c>
      <c r="Q3" s="3">
        <f>AVERAGE(I2:I999)</f>
        <v>5.0163157894736847E-2</v>
      </c>
    </row>
    <row r="4" spans="1:17" x14ac:dyDescent="0.3">
      <c r="A4" t="s">
        <v>88</v>
      </c>
      <c r="B4" t="str">
        <f>VLOOKUP(A4,[123]WRDS!$A$1:$N$39,2,FALSE)</f>
        <v>CIN</v>
      </c>
      <c r="C4" t="str">
        <f>VLOOKUP(A4,[123]WRDS!$A$1:$N$39,3,FALSE)</f>
        <v>CINN GAS &amp; EL</v>
      </c>
      <c r="D4">
        <f>VLOOKUP(A4,[123]WRDS!$A$1:$N$39,13,FALSE)</f>
        <v>3.1</v>
      </c>
      <c r="E4">
        <f>VLOOKUP(A4,[107]WRDS!$A$1:$N$40,13,FALSE)</f>
        <v>2.0299999999999998</v>
      </c>
      <c r="F4" s="1">
        <f t="shared" si="3"/>
        <v>3.348965042679195</v>
      </c>
      <c r="G4" s="1">
        <f t="shared" si="4"/>
        <v>3.489077311</v>
      </c>
      <c r="H4" s="2">
        <f t="shared" si="0"/>
        <v>-0.10043285343293329</v>
      </c>
      <c r="I4" s="2">
        <f>VLOOKUP(A4,[124]WRDS!$A$1:$O$100,10,FALSE)/100</f>
        <v>1.95E-2</v>
      </c>
      <c r="J4" s="2">
        <f>VLOOKUP(A4,[124]WRDS!$A$1:$O$100,9,FALSE)/100</f>
        <v>0.03</v>
      </c>
      <c r="K4" s="2">
        <f t="shared" si="1"/>
        <v>1.1941595736202162</v>
      </c>
      <c r="L4" s="2">
        <f t="shared" si="2"/>
        <v>1.2987070363387943</v>
      </c>
      <c r="M4">
        <f>VLOOKUP(A4,[124]WRDS!$A$1:$O$100,8,FALSE)</f>
        <v>10</v>
      </c>
      <c r="N4">
        <f>VLOOKUP(A4,[124]WRDS!$A$1:$O$100,11,FALSE)</f>
        <v>3.38</v>
      </c>
      <c r="P4" t="s">
        <v>20</v>
      </c>
      <c r="Q4" s="3">
        <f>(Q3-Q2)/ABS(Q2)</f>
        <v>44.492807951645588</v>
      </c>
    </row>
    <row r="5" spans="1:17" x14ac:dyDescent="0.3">
      <c r="A5" t="s">
        <v>21</v>
      </c>
      <c r="B5" t="str">
        <f>VLOOKUP(A5,[123]WRDS!$A$1:$N$39,2,FALSE)</f>
        <v>CMS</v>
      </c>
      <c r="C5" t="str">
        <f>VLOOKUP(A5,[123]WRDS!$A$1:$N$39,3,FALSE)</f>
        <v>CMS ENERGY CORP</v>
      </c>
      <c r="D5">
        <f>VLOOKUP(A5,[123]WRDS!$A$1:$N$39,13,FALSE)</f>
        <v>3.3</v>
      </c>
      <c r="E5">
        <f>VLOOKUP(A5,[107]WRDS!$A$1:$N$40,13,FALSE)</f>
        <v>0.56999999999999995</v>
      </c>
      <c r="F5" s="1">
        <f t="shared" si="3"/>
        <v>4.2437446881199916</v>
      </c>
      <c r="G5" s="1">
        <f t="shared" si="4"/>
        <v>4.2056167602539061</v>
      </c>
      <c r="H5" s="2">
        <f t="shared" si="0"/>
        <v>-0.35532589062626629</v>
      </c>
      <c r="I5" s="2">
        <f>VLOOKUP(A5,[124]WRDS!$A$1:$O$100,10,FALSE)/100</f>
        <v>6.4899999999999999E-2</v>
      </c>
      <c r="J5" s="2">
        <f>VLOOKUP(A5,[124]WRDS!$A$1:$O$100,9,FALSE)/100</f>
        <v>6.25E-2</v>
      </c>
      <c r="K5" s="2">
        <f t="shared" si="1"/>
        <v>1.1826492290939254</v>
      </c>
      <c r="L5" s="2">
        <f t="shared" si="2"/>
        <v>1.1758948662306679</v>
      </c>
      <c r="M5">
        <f>VLOOKUP(A5,[124]WRDS!$A$1:$O$100,8,FALSE)</f>
        <v>12</v>
      </c>
      <c r="N5">
        <f>VLOOKUP(A5,[124]WRDS!$A$1:$O$100,11,FALSE)</f>
        <v>2.92</v>
      </c>
      <c r="P5" t="s">
        <v>22</v>
      </c>
      <c r="Q5" s="3">
        <f>AVERAGE(J2:J999)</f>
        <v>4.8947368421052649E-2</v>
      </c>
    </row>
    <row r="6" spans="1:17" x14ac:dyDescent="0.3">
      <c r="A6" t="s">
        <v>71</v>
      </c>
      <c r="B6" t="str">
        <f>VLOOKUP(A6,[123]WRDS!$A$1:$N$39,2,FALSE)</f>
        <v>CNL</v>
      </c>
      <c r="C6" t="str">
        <f>VLOOKUP(A6,[123]WRDS!$A$1:$N$39,3,FALSE)</f>
        <v>CENT LA ELEC INC</v>
      </c>
      <c r="D6">
        <f>VLOOKUP(A6,[123]WRDS!$A$1:$N$39,13,FALSE)</f>
        <v>0.92</v>
      </c>
      <c r="E6">
        <f>VLOOKUP(A6,[107]WRDS!$A$1:$N$40,13,FALSE)</f>
        <v>0.96499999999999997</v>
      </c>
      <c r="F6" s="1">
        <f t="shared" si="3"/>
        <v>1.0455578539109374</v>
      </c>
      <c r="G6" s="1">
        <f t="shared" si="4"/>
        <v>1.0455578539109374</v>
      </c>
      <c r="H6" s="2">
        <f t="shared" si="0"/>
        <v>1.2010157453180348E-2</v>
      </c>
      <c r="I6" s="2">
        <f>VLOOKUP(A6,[124]WRDS!$A$1:$O$100,10,FALSE)/100</f>
        <v>3.2500000000000001E-2</v>
      </c>
      <c r="J6" s="2">
        <f>VLOOKUP(A6,[124]WRDS!$A$1:$O$100,9,FALSE)/100</f>
        <v>3.2500000000000001E-2</v>
      </c>
      <c r="K6" s="2">
        <f t="shared" si="1"/>
        <v>1.7060427914201777</v>
      </c>
      <c r="L6" s="2">
        <f t="shared" si="2"/>
        <v>1.7060427914201777</v>
      </c>
      <c r="M6">
        <f>VLOOKUP(A6,[124]WRDS!$A$1:$O$100,8,FALSE)</f>
        <v>2</v>
      </c>
      <c r="N6">
        <f>VLOOKUP(A6,[124]WRDS!$A$1:$O$100,11,FALSE)</f>
        <v>1.77</v>
      </c>
      <c r="P6" t="s">
        <v>24</v>
      </c>
      <c r="Q6" s="3">
        <f>(Q5-Q2)/ABS(Q2)</f>
        <v>43.438685757035365</v>
      </c>
    </row>
    <row r="7" spans="1:17" x14ac:dyDescent="0.3">
      <c r="A7" t="s">
        <v>84</v>
      </c>
      <c r="B7" t="str">
        <f>VLOOKUP(A7,[123]WRDS!$A$1:$N$39,2,FALSE)</f>
        <v>CV</v>
      </c>
      <c r="C7" t="str">
        <f>VLOOKUP(A7,[123]WRDS!$A$1:$N$39,3,FALSE)</f>
        <v>CNTRL VT PUB SVC</v>
      </c>
      <c r="D7">
        <f>VLOOKUP(A7,[123]WRDS!$A$1:$N$39,13,FALSE)</f>
        <v>1.72</v>
      </c>
      <c r="E7">
        <f>VLOOKUP(A7,[107]WRDS!$A$1:$N$40,13,FALSE)</f>
        <v>1.7130000000000001</v>
      </c>
      <c r="F7" s="1">
        <f t="shared" si="3"/>
        <v>1.9623224424255086</v>
      </c>
      <c r="G7" s="1">
        <f t="shared" si="4"/>
        <v>1.9623224424255086</v>
      </c>
      <c r="H7" s="2">
        <f t="shared" si="0"/>
        <v>-1.0189983390724855E-3</v>
      </c>
      <c r="I7" s="2">
        <f>VLOOKUP(A7,[124]WRDS!$A$1:$O$100,10,FALSE)/100</f>
        <v>3.3500000000000002E-2</v>
      </c>
      <c r="J7" s="2">
        <f>VLOOKUP(A7,[124]WRDS!$A$1:$O$100,9,FALSE)/100</f>
        <v>3.3500000000000002E-2</v>
      </c>
      <c r="K7" s="2">
        <f t="shared" si="1"/>
        <v>33.87542159341735</v>
      </c>
      <c r="L7" s="2">
        <f t="shared" si="2"/>
        <v>33.87542159341735</v>
      </c>
      <c r="M7">
        <f>VLOOKUP(A7,[124]WRDS!$A$1:$O$100,8,FALSE)</f>
        <v>2</v>
      </c>
      <c r="N7">
        <f>VLOOKUP(A7,[124]WRDS!$A$1:$O$100,11,FALSE)</f>
        <v>1.91</v>
      </c>
      <c r="P7" s="111" t="s">
        <v>26</v>
      </c>
      <c r="Q7" s="111"/>
    </row>
    <row r="8" spans="1:17" x14ac:dyDescent="0.3">
      <c r="A8" t="s">
        <v>25</v>
      </c>
      <c r="B8" t="str">
        <f>VLOOKUP(A8,[123]WRDS!$A$1:$N$39,2,FALSE)</f>
        <v>D</v>
      </c>
      <c r="C8" t="str">
        <f>VLOOKUP(A8,[123]WRDS!$A$1:$N$39,3,FALSE)</f>
        <v>DOMINION RES INC</v>
      </c>
      <c r="D8">
        <f>VLOOKUP(A8,[123]WRDS!$A$1:$N$39,13,FALSE)</f>
        <v>1.5065</v>
      </c>
      <c r="E8">
        <f>VLOOKUP(A8,[107]WRDS!$A$1:$N$40,13,FALSE)</f>
        <v>1.45</v>
      </c>
      <c r="F8" s="1">
        <f t="shared" si="3"/>
        <v>1.7821317429969741</v>
      </c>
      <c r="G8" s="1">
        <f t="shared" si="4"/>
        <v>1.7828153706057059</v>
      </c>
      <c r="H8" s="2">
        <f t="shared" si="0"/>
        <v>-9.5108636903449284E-3</v>
      </c>
      <c r="I8" s="2">
        <f>VLOOKUP(A8,[124]WRDS!$A$1:$O$100,10,FALSE)/100</f>
        <v>4.2900000000000001E-2</v>
      </c>
      <c r="J8" s="2">
        <f>VLOOKUP(A8,[124]WRDS!$A$1:$O$100,9,FALSE)/100</f>
        <v>4.2999999999999997E-2</v>
      </c>
      <c r="K8" s="2">
        <f t="shared" si="1"/>
        <v>5.5106313576495127</v>
      </c>
      <c r="L8" s="2">
        <f t="shared" si="2"/>
        <v>5.5211456498584859</v>
      </c>
      <c r="M8">
        <f>VLOOKUP(A8,[124]WRDS!$A$1:$O$100,8,FALSE)</f>
        <v>14</v>
      </c>
      <c r="N8">
        <f>VLOOKUP(A8,[124]WRDS!$A$1:$O$100,11,FALSE)</f>
        <v>1.43</v>
      </c>
      <c r="P8" t="s">
        <v>28</v>
      </c>
      <c r="Q8" s="2">
        <f>MEDIAN(H2:H99)</f>
        <v>1.9252744225793927E-3</v>
      </c>
    </row>
    <row r="9" spans="1:17" x14ac:dyDescent="0.3">
      <c r="A9" t="s">
        <v>86</v>
      </c>
      <c r="B9" t="str">
        <f>VLOOKUP(A9,[123]WRDS!$A$1:$N$39,2,FALSE)</f>
        <v>DPL</v>
      </c>
      <c r="C9" t="str">
        <f>VLOOKUP(A9,[123]WRDS!$A$1:$N$39,3,FALSE)</f>
        <v>DPL INC</v>
      </c>
      <c r="D9">
        <f>VLOOKUP(A9,[123]WRDS!$A$1:$N$39,13,FALSE)</f>
        <v>0.89200000000000002</v>
      </c>
      <c r="E9">
        <f>VLOOKUP(A9,[107]WRDS!$A$1:$N$40,13,FALSE)</f>
        <v>0.89329999999999998</v>
      </c>
      <c r="F9" s="1">
        <f t="shared" si="3"/>
        <v>1.0160949678597422</v>
      </c>
      <c r="G9" s="1">
        <f t="shared" si="4"/>
        <v>1.0435138355200002</v>
      </c>
      <c r="H9" s="2">
        <f t="shared" si="0"/>
        <v>3.6415081876373101E-4</v>
      </c>
      <c r="I9" s="2">
        <f>VLOOKUP(A9,[124]WRDS!$A$1:$O$100,10,FALSE)/100</f>
        <v>3.3099999999999997E-2</v>
      </c>
      <c r="J9" s="2">
        <f>VLOOKUP(A9,[124]WRDS!$A$1:$O$100,9,FALSE)/100</f>
        <v>0.04</v>
      </c>
      <c r="K9" s="2">
        <f t="shared" si="1"/>
        <v>89.896404166747189</v>
      </c>
      <c r="L9" s="2">
        <f t="shared" si="2"/>
        <v>108.84459718035914</v>
      </c>
      <c r="M9">
        <f>VLOOKUP(A9,[124]WRDS!$A$1:$O$100,8,FALSE)</f>
        <v>8</v>
      </c>
      <c r="N9">
        <f>VLOOKUP(A9,[124]WRDS!$A$1:$O$100,11,FALSE)</f>
        <v>1.87</v>
      </c>
      <c r="P9" t="s">
        <v>30</v>
      </c>
      <c r="Q9" s="2">
        <f>MEDIAN(I2:I100)</f>
        <v>4.6449999999999998E-2</v>
      </c>
    </row>
    <row r="10" spans="1:17" x14ac:dyDescent="0.3">
      <c r="A10" t="s">
        <v>29</v>
      </c>
      <c r="B10" t="str">
        <f>VLOOKUP(A10,[123]WRDS!$A$1:$N$39,2,FALSE)</f>
        <v>DUK</v>
      </c>
      <c r="C10" t="str">
        <f>VLOOKUP(A10,[123]WRDS!$A$1:$N$39,3,FALSE)</f>
        <v>DUKE POWER CO</v>
      </c>
      <c r="D10">
        <f>VLOOKUP(A10,[123]WRDS!$A$1:$N$39,13,FALSE)</f>
        <v>3.7124999999999999</v>
      </c>
      <c r="E10">
        <f>VLOOKUP(A10,[107]WRDS!$A$1:$N$40,13,FALSE)</f>
        <v>3.57</v>
      </c>
      <c r="F10" s="1">
        <f t="shared" si="3"/>
        <v>4.4086137685959024</v>
      </c>
      <c r="G10" s="1">
        <f t="shared" si="4"/>
        <v>4.5125669531249999</v>
      </c>
      <c r="H10" s="2">
        <f t="shared" si="0"/>
        <v>-9.737259959862854E-3</v>
      </c>
      <c r="I10" s="2">
        <f>VLOOKUP(A10,[124]WRDS!$A$1:$O$100,10,FALSE)/100</f>
        <v>4.3899999999999995E-2</v>
      </c>
      <c r="J10" s="2">
        <f>VLOOKUP(A10,[124]WRDS!$A$1:$O$100,9,FALSE)/100</f>
        <v>0.05</v>
      </c>
      <c r="K10" s="2">
        <f t="shared" si="1"/>
        <v>5.5084551692115156</v>
      </c>
      <c r="L10" s="2">
        <f t="shared" si="2"/>
        <v>6.1349147713115215</v>
      </c>
      <c r="M10">
        <f>VLOOKUP(A10,[124]WRDS!$A$1:$O$100,8,FALSE)</f>
        <v>13</v>
      </c>
      <c r="N10">
        <f>VLOOKUP(A10,[124]WRDS!$A$1:$O$100,11,FALSE)</f>
        <v>1.37</v>
      </c>
      <c r="P10" t="s">
        <v>32</v>
      </c>
      <c r="Q10" s="2">
        <f>(Q9-Q8)/ABS(Q8)</f>
        <v>23.126430733842327</v>
      </c>
    </row>
    <row r="11" spans="1:17" x14ac:dyDescent="0.3">
      <c r="A11" t="s">
        <v>72</v>
      </c>
      <c r="B11" t="str">
        <f>VLOOKUP(A11,[123]WRDS!$A$1:$N$39,2,FALSE)</f>
        <v>EDE</v>
      </c>
      <c r="C11" t="str">
        <f>VLOOKUP(A11,[123]WRDS!$A$1:$N$39,3,FALSE)</f>
        <v>EMPIRE DIST ELEC</v>
      </c>
      <c r="D11">
        <f>VLOOKUP(A11,[123]WRDS!$A$1:$N$39,13,FALSE)</f>
        <v>1.53</v>
      </c>
      <c r="E11">
        <f>VLOOKUP(A11,[107]WRDS!$A$1:$N$40,13,FALSE)</f>
        <v>1.25</v>
      </c>
      <c r="F11" s="1">
        <f t="shared" si="3"/>
        <v>1.53</v>
      </c>
      <c r="G11" s="1">
        <f t="shared" si="4"/>
        <v>1.53</v>
      </c>
      <c r="H11" s="2">
        <f t="shared" si="0"/>
        <v>-4.9275587997376635E-2</v>
      </c>
      <c r="I11" s="2">
        <f>VLOOKUP(A11,[124]WRDS!$A$1:$O$100,10,FALSE)/100</f>
        <v>0</v>
      </c>
      <c r="J11" s="2">
        <f>VLOOKUP(A11,[124]WRDS!$A$1:$O$100,9,FALSE)/100</f>
        <v>0</v>
      </c>
      <c r="K11" s="2">
        <f t="shared" si="1"/>
        <v>1</v>
      </c>
      <c r="L11" s="2">
        <f t="shared" si="2"/>
        <v>1</v>
      </c>
      <c r="M11">
        <f>VLOOKUP(A11,[124]WRDS!$A$1:$O$100,8,FALSE)</f>
        <v>1</v>
      </c>
      <c r="N11">
        <f>VLOOKUP(A11,[124]WRDS!$A$1:$O$100,11,FALSE)</f>
        <v>0</v>
      </c>
      <c r="P11" t="s">
        <v>34</v>
      </c>
      <c r="Q11" s="2">
        <f>MEDIAN(J2:J99)</f>
        <v>4.3999999999999997E-2</v>
      </c>
    </row>
    <row r="12" spans="1:17" x14ac:dyDescent="0.3">
      <c r="A12" t="s">
        <v>35</v>
      </c>
      <c r="B12" t="str">
        <f>VLOOKUP(A12,[123]WRDS!$A$1:$N$39,2,FALSE)</f>
        <v>EXC</v>
      </c>
      <c r="C12" t="str">
        <f>VLOOKUP(A12,[123]WRDS!$A$1:$N$39,3,FALSE)</f>
        <v>EXCEL INDS INC</v>
      </c>
      <c r="D12">
        <f>VLOOKUP(A12,[123]WRDS!$A$1:$N$39,13,FALSE)</f>
        <v>1.4870000000000001</v>
      </c>
      <c r="E12">
        <f>VLOOKUP(A12,[107]WRDS!$A$1:$N$40,13,FALSE)</f>
        <v>1</v>
      </c>
      <c r="F12" s="1">
        <f t="shared" si="3"/>
        <v>1.8773032395200007</v>
      </c>
      <c r="G12" s="1">
        <f t="shared" si="4"/>
        <v>1.8773032395200007</v>
      </c>
      <c r="H12" s="2">
        <f t="shared" si="0"/>
        <v>-9.4429517855465717E-2</v>
      </c>
      <c r="I12" s="2">
        <f>VLOOKUP(A12,[124]WRDS!$A$1:$O$100,10,FALSE)/100</f>
        <v>0.06</v>
      </c>
      <c r="J12" s="2">
        <f>VLOOKUP(A12,[124]WRDS!$A$1:$O$100,9,FALSE)/100</f>
        <v>0.06</v>
      </c>
      <c r="K12" s="2">
        <f t="shared" si="1"/>
        <v>1.635394539362536</v>
      </c>
      <c r="L12" s="2">
        <f t="shared" si="2"/>
        <v>1.635394539362536</v>
      </c>
      <c r="M12">
        <f>VLOOKUP(A12,[124]WRDS!$A$1:$O$100,8,FALSE)</f>
        <v>1</v>
      </c>
      <c r="N12">
        <f>VLOOKUP(A12,[124]WRDS!$A$1:$O$100,11,FALSE)</f>
        <v>0</v>
      </c>
      <c r="P12" t="s">
        <v>32</v>
      </c>
      <c r="Q12" s="2">
        <f>(Q11-Q8)/ABS(Q8)</f>
        <v>21.853884871669802</v>
      </c>
    </row>
    <row r="13" spans="1:17" x14ac:dyDescent="0.3">
      <c r="A13" t="s">
        <v>89</v>
      </c>
      <c r="B13" t="str">
        <f>VLOOKUP(A13,[123]WRDS!$A$1:$N$39,2,FALSE)</f>
        <v>FPL</v>
      </c>
      <c r="C13" t="str">
        <f>VLOOKUP(A13,[123]WRDS!$A$1:$N$39,3,FALSE)</f>
        <v>FPL GROUP</v>
      </c>
      <c r="D13">
        <f>VLOOKUP(A13,[123]WRDS!$A$1:$N$39,13,FALSE)</f>
        <v>0.42249999999999999</v>
      </c>
      <c r="E13">
        <f>VLOOKUP(A13,[107]WRDS!$A$1:$N$40,13,FALSE)</f>
        <v>0.33</v>
      </c>
      <c r="F13" s="1">
        <f t="shared" si="3"/>
        <v>0.51374705720014957</v>
      </c>
      <c r="G13" s="1">
        <f t="shared" si="4"/>
        <v>0.51159779743842249</v>
      </c>
      <c r="H13" s="2">
        <f t="shared" si="0"/>
        <v>-5.9904861889947703E-2</v>
      </c>
      <c r="I13" s="2">
        <f>VLOOKUP(A13,[124]WRDS!$A$1:$O$100,10,FALSE)/100</f>
        <v>5.0099999999999999E-2</v>
      </c>
      <c r="J13" s="2">
        <f>VLOOKUP(A13,[124]WRDS!$A$1:$O$100,9,FALSE)/100</f>
        <v>4.9000000000000002E-2</v>
      </c>
      <c r="K13" s="2">
        <f t="shared" si="1"/>
        <v>1.8363261080885156</v>
      </c>
      <c r="L13" s="2">
        <f t="shared" si="2"/>
        <v>1.8179636586095262</v>
      </c>
      <c r="M13">
        <f>VLOOKUP(A13,[124]WRDS!$A$1:$O$100,8,FALSE)</f>
        <v>14</v>
      </c>
      <c r="N13">
        <f>VLOOKUP(A13,[124]WRDS!$A$1:$O$100,11,FALSE)</f>
        <v>1.1599999999999999</v>
      </c>
      <c r="P13" s="111" t="s">
        <v>37</v>
      </c>
      <c r="Q13" s="111"/>
    </row>
    <row r="14" spans="1:17" x14ac:dyDescent="0.3">
      <c r="A14" t="s">
        <v>36</v>
      </c>
      <c r="B14" t="str">
        <f>VLOOKUP(A14,[123]WRDS!$A$1:$N$39,2,FALSE)</f>
        <v>HE</v>
      </c>
      <c r="C14" t="str">
        <f>VLOOKUP(A14,[123]WRDS!$A$1:$N$39,3,FALSE)</f>
        <v>HAWAIIAN ELEC</v>
      </c>
      <c r="D14">
        <f>VLOOKUP(A14,[123]WRDS!$A$1:$N$39,13,FALSE)</f>
        <v>1.45</v>
      </c>
      <c r="E14">
        <f>VLOOKUP(A14,[107]WRDS!$A$1:$N$40,13,FALSE)</f>
        <v>1.3149999999999999</v>
      </c>
      <c r="F14" s="1">
        <f t="shared" si="3"/>
        <v>1.706757764031775</v>
      </c>
      <c r="G14" s="1">
        <f t="shared" si="4"/>
        <v>1.7159523978614495</v>
      </c>
      <c r="H14" s="2">
        <f t="shared" si="0"/>
        <v>-2.4135683976185707E-2</v>
      </c>
      <c r="I14" s="2">
        <f>VLOOKUP(A14,[124]WRDS!$A$1:$O$100,10,FALSE)/100</f>
        <v>4.1599999999999998E-2</v>
      </c>
      <c r="J14" s="2">
        <f>VLOOKUP(A14,[124]WRDS!$A$1:$O$100,9,FALSE)/100</f>
        <v>4.2999999999999997E-2</v>
      </c>
      <c r="K14" s="2">
        <f t="shared" si="1"/>
        <v>2.7235890244936107</v>
      </c>
      <c r="L14" s="2">
        <f t="shared" si="2"/>
        <v>2.7815944243563764</v>
      </c>
      <c r="M14">
        <f>VLOOKUP(A14,[124]WRDS!$A$1:$O$100,8,FALSE)</f>
        <v>5</v>
      </c>
      <c r="N14">
        <f>VLOOKUP(A14,[124]WRDS!$A$1:$O$100,11,FALSE)</f>
        <v>0.74</v>
      </c>
      <c r="P14" t="s">
        <v>39</v>
      </c>
      <c r="Q14" s="1">
        <f>AVERAGE(M2:M1002)</f>
        <v>7.4473684210526319</v>
      </c>
    </row>
    <row r="15" spans="1:17" x14ac:dyDescent="0.3">
      <c r="A15" t="s">
        <v>38</v>
      </c>
      <c r="B15" t="str">
        <f>VLOOKUP(A15,[123]WRDS!$A$1:$N$39,2,FALSE)</f>
        <v>IDA</v>
      </c>
      <c r="C15" t="str">
        <f>VLOOKUP(A15,[123]WRDS!$A$1:$N$39,3,FALSE)</f>
        <v>IDAHO POWER CO</v>
      </c>
      <c r="D15">
        <f>VLOOKUP(A15,[123]WRDS!$A$1:$N$39,13,FALSE)</f>
        <v>1.32</v>
      </c>
      <c r="E15">
        <f>VLOOKUP(A15,[107]WRDS!$A$1:$N$40,13,FALSE)</f>
        <v>1.54</v>
      </c>
      <c r="F15" s="1">
        <f t="shared" si="3"/>
        <v>1.6420792064883154</v>
      </c>
      <c r="G15" s="1">
        <f t="shared" si="4"/>
        <v>1.5741245528249994</v>
      </c>
      <c r="H15" s="2">
        <f t="shared" si="0"/>
        <v>3.9289877625411807E-2</v>
      </c>
      <c r="I15" s="2">
        <f>VLOOKUP(A15,[124]WRDS!$A$1:$O$100,10,FALSE)/100</f>
        <v>5.6100000000000004E-2</v>
      </c>
      <c r="J15" s="2">
        <f>VLOOKUP(A15,[124]WRDS!$A$1:$O$100,9,FALSE)/100</f>
        <v>4.4999999999999998E-2</v>
      </c>
      <c r="K15" s="2">
        <f t="shared" si="1"/>
        <v>0.42784868242286889</v>
      </c>
      <c r="L15" s="2">
        <f t="shared" si="2"/>
        <v>0.14533316771887866</v>
      </c>
      <c r="M15">
        <f>VLOOKUP(A15,[124]WRDS!$A$1:$O$100,8,FALSE)</f>
        <v>7</v>
      </c>
      <c r="N15">
        <f>VLOOKUP(A15,[124]WRDS!$A$1:$O$100,11,FALSE)</f>
        <v>3.47</v>
      </c>
      <c r="P15" t="s">
        <v>41</v>
      </c>
      <c r="Q15" s="1">
        <f>COUNT(N2:N1002)</f>
        <v>38</v>
      </c>
    </row>
    <row r="16" spans="1:17" x14ac:dyDescent="0.3">
      <c r="A16" t="s">
        <v>78</v>
      </c>
      <c r="B16" t="str">
        <f>VLOOKUP(A16,[123]WRDS!$A$1:$N$39,2,FALSE)</f>
        <v>NU</v>
      </c>
      <c r="C16" t="str">
        <f>VLOOKUP(A16,[123]WRDS!$A$1:$N$39,3,FALSE)</f>
        <v>NORTHEAST UTILS</v>
      </c>
      <c r="D16">
        <f>VLOOKUP(A16,[123]WRDS!$A$1:$N$39,13,FALSE)</f>
        <v>2.15</v>
      </c>
      <c r="E16">
        <f>VLOOKUP(A16,[107]WRDS!$A$1:$N$40,13,FALSE)</f>
        <v>2.0299999999999998</v>
      </c>
      <c r="F16" s="1">
        <f t="shared" si="3"/>
        <v>2.4301977103012451</v>
      </c>
      <c r="G16" s="1">
        <f t="shared" si="4"/>
        <v>2.3501291353964837</v>
      </c>
      <c r="H16" s="2">
        <f t="shared" si="0"/>
        <v>-1.4255427570955437E-2</v>
      </c>
      <c r="I16" s="2">
        <f>VLOOKUP(A16,[124]WRDS!$A$1:$O$100,10,FALSE)/100</f>
        <v>3.1099999999999999E-2</v>
      </c>
      <c r="J16" s="2">
        <f>VLOOKUP(A16,[124]WRDS!$A$1:$O$100,9,FALSE)/100</f>
        <v>2.2499999999999999E-2</v>
      </c>
      <c r="K16" s="2">
        <f t="shared" si="1"/>
        <v>3.1816251982062154</v>
      </c>
      <c r="L16" s="2">
        <f t="shared" si="2"/>
        <v>2.5783462044900269</v>
      </c>
      <c r="M16">
        <f>VLOOKUP(A16,[124]WRDS!$A$1:$O$100,8,FALSE)</f>
        <v>10</v>
      </c>
      <c r="N16">
        <f>VLOOKUP(A16,[124]WRDS!$A$1:$O$100,11,FALSE)</f>
        <v>1.67</v>
      </c>
    </row>
    <row r="17" spans="1:14" x14ac:dyDescent="0.3">
      <c r="A17" t="s">
        <v>44</v>
      </c>
      <c r="B17" t="str">
        <f>VLOOKUP(A17,[123]WRDS!$A$1:$N$39,2,FALSE)</f>
        <v>OGE</v>
      </c>
      <c r="C17" t="str">
        <f>VLOOKUP(A17,[123]WRDS!$A$1:$N$39,3,FALSE)</f>
        <v>OKLAHOMA G&amp;E</v>
      </c>
      <c r="D17">
        <f>VLOOKUP(A17,[123]WRDS!$A$1:$N$39,13,FALSE)</f>
        <v>0.8</v>
      </c>
      <c r="E17">
        <f>VLOOKUP(A17,[107]WRDS!$A$1:$N$40,13,FALSE)</f>
        <v>0.65</v>
      </c>
      <c r="F17" s="1">
        <f t="shared" si="3"/>
        <v>0.93876982421946353</v>
      </c>
      <c r="G17" s="1">
        <f t="shared" si="4"/>
        <v>0.93588684800000022</v>
      </c>
      <c r="H17" s="2">
        <f t="shared" si="0"/>
        <v>-5.0585538942029107E-2</v>
      </c>
      <c r="I17" s="2">
        <f>VLOOKUP(A17,[124]WRDS!$A$1:$O$100,10,FALSE)/100</f>
        <v>4.0800000000000003E-2</v>
      </c>
      <c r="J17" s="2">
        <f>VLOOKUP(A17,[124]WRDS!$A$1:$O$100,9,FALSE)/100</f>
        <v>0.04</v>
      </c>
      <c r="K17" s="2">
        <f t="shared" si="1"/>
        <v>1.8065546172544824</v>
      </c>
      <c r="L17" s="2">
        <f t="shared" si="2"/>
        <v>1.7907398208377281</v>
      </c>
      <c r="M17">
        <f>VLOOKUP(A17,[124]WRDS!$A$1:$O$100,8,FALSE)</f>
        <v>13</v>
      </c>
      <c r="N17">
        <f>VLOOKUP(A17,[124]WRDS!$A$1:$O$100,11,FALSE)</f>
        <v>1.1100000000000001</v>
      </c>
    </row>
    <row r="18" spans="1:14" x14ac:dyDescent="0.3">
      <c r="A18" t="s">
        <v>69</v>
      </c>
      <c r="B18" t="str">
        <f>VLOOKUP(A18,[123]WRDS!$A$1:$N$39,2,FALSE)</f>
        <v>OTTR</v>
      </c>
      <c r="C18" t="str">
        <f>VLOOKUP(A18,[123]WRDS!$A$1:$N$39,3,FALSE)</f>
        <v>OTTER TAIL PWR</v>
      </c>
      <c r="D18">
        <f>VLOOKUP(A18,[123]WRDS!$A$1:$N$39,13,FALSE)</f>
        <v>0.96499999999999997</v>
      </c>
      <c r="E18">
        <f>VLOOKUP(A18,[107]WRDS!$A$1:$N$40,13,FALSE)</f>
        <v>1.085</v>
      </c>
      <c r="F18" s="1">
        <f t="shared" si="3"/>
        <v>1.0861160016499998</v>
      </c>
      <c r="G18" s="1">
        <f t="shared" si="4"/>
        <v>1.0861160016499998</v>
      </c>
      <c r="H18" s="2">
        <f t="shared" si="0"/>
        <v>2.9735312600124075E-2</v>
      </c>
      <c r="I18" s="2">
        <f>VLOOKUP(A18,[124]WRDS!$A$1:$O$100,10,FALSE)/100</f>
        <v>0.03</v>
      </c>
      <c r="J18" s="2">
        <f>VLOOKUP(A18,[124]WRDS!$A$1:$O$100,9,FALSE)/100</f>
        <v>0.03</v>
      </c>
      <c r="K18" s="2">
        <f t="shared" si="1"/>
        <v>8.901450051506072E-3</v>
      </c>
      <c r="L18" s="2">
        <f t="shared" si="2"/>
        <v>8.901450051506072E-3</v>
      </c>
      <c r="M18">
        <f>VLOOKUP(A18,[124]WRDS!$A$1:$O$100,8,FALSE)</f>
        <v>2</v>
      </c>
      <c r="N18">
        <f>VLOOKUP(A18,[124]WRDS!$A$1:$O$100,11,FALSE)</f>
        <v>0</v>
      </c>
    </row>
    <row r="19" spans="1:14" x14ac:dyDescent="0.3">
      <c r="A19" t="s">
        <v>45</v>
      </c>
      <c r="B19" t="str">
        <f>VLOOKUP(A19,[123]WRDS!$A$1:$N$39,2,FALSE)</f>
        <v>PCG</v>
      </c>
      <c r="C19" t="str">
        <f>VLOOKUP(A19,[123]WRDS!$A$1:$N$39,3,FALSE)</f>
        <v>PACIFIC G&amp;E</v>
      </c>
      <c r="D19">
        <f>VLOOKUP(A19,[123]WRDS!$A$1:$N$39,13,FALSE)</f>
        <v>1.33</v>
      </c>
      <c r="E19">
        <f>VLOOKUP(A19,[107]WRDS!$A$1:$N$40,13,FALSE)</f>
        <v>2.58</v>
      </c>
      <c r="F19" s="1">
        <f t="shared" si="3"/>
        <v>1.7485783264563333</v>
      </c>
      <c r="G19" s="1">
        <f t="shared" si="4"/>
        <v>1.6166233125</v>
      </c>
      <c r="H19" s="2">
        <f t="shared" si="0"/>
        <v>0.18016305858803072</v>
      </c>
      <c r="I19" s="2">
        <f>VLOOKUP(A19,[124]WRDS!$A$1:$O$100,10,FALSE)/100</f>
        <v>7.0800000000000002E-2</v>
      </c>
      <c r="J19" s="2">
        <f>VLOOKUP(A19,[124]WRDS!$A$1:$O$100,9,FALSE)/100</f>
        <v>0.05</v>
      </c>
      <c r="K19" s="2">
        <f t="shared" si="1"/>
        <v>-0.60702265739229821</v>
      </c>
      <c r="L19" s="2">
        <f t="shared" si="2"/>
        <v>-0.72247362810190563</v>
      </c>
      <c r="M19">
        <f>VLOOKUP(A19,[124]WRDS!$A$1:$O$100,8,FALSE)</f>
        <v>12</v>
      </c>
      <c r="N19">
        <f>VLOOKUP(A19,[124]WRDS!$A$1:$O$100,11,FALSE)</f>
        <v>5.15</v>
      </c>
    </row>
    <row r="20" spans="1:14" x14ac:dyDescent="0.3">
      <c r="A20" t="s">
        <v>46</v>
      </c>
      <c r="B20" t="str">
        <f>VLOOKUP(A20,[123]WRDS!$A$1:$N$39,2,FALSE)</f>
        <v>PEG</v>
      </c>
      <c r="C20" t="str">
        <f>VLOOKUP(A20,[123]WRDS!$A$1:$N$39,3,FALSE)</f>
        <v>PUB SVC ENTERS</v>
      </c>
      <c r="D20">
        <f>VLOOKUP(A20,[123]WRDS!$A$1:$N$39,13,FALSE)</f>
        <v>1.2849999999999999</v>
      </c>
      <c r="E20">
        <f>VLOOKUP(A20,[107]WRDS!$A$1:$N$40,13,FALSE)</f>
        <v>0.98499999999999999</v>
      </c>
      <c r="F20" s="1">
        <f t="shared" si="3"/>
        <v>1.4831338716562299</v>
      </c>
      <c r="G20" s="1">
        <f t="shared" si="4"/>
        <v>1.4462788208499997</v>
      </c>
      <c r="H20" s="2">
        <f t="shared" si="0"/>
        <v>-6.4307225764737908E-2</v>
      </c>
      <c r="I20" s="2">
        <f>VLOOKUP(A20,[124]WRDS!$A$1:$O$100,10,FALSE)/100</f>
        <v>3.6499999999999998E-2</v>
      </c>
      <c r="J20" s="2">
        <f>VLOOKUP(A20,[124]WRDS!$A$1:$O$100,9,FALSE)/100</f>
        <v>0.03</v>
      </c>
      <c r="K20" s="2">
        <f t="shared" si="1"/>
        <v>1.5675878498247136</v>
      </c>
      <c r="L20" s="2">
        <f t="shared" si="2"/>
        <v>1.4665105614997644</v>
      </c>
      <c r="M20">
        <f>VLOOKUP(A20,[124]WRDS!$A$1:$O$100,8,FALSE)</f>
        <v>13</v>
      </c>
      <c r="N20">
        <f>VLOOKUP(A20,[124]WRDS!$A$1:$O$100,11,FALSE)</f>
        <v>1.21</v>
      </c>
    </row>
    <row r="21" spans="1:14" x14ac:dyDescent="0.3">
      <c r="A21" t="s">
        <v>74</v>
      </c>
      <c r="B21" t="str">
        <f>VLOOKUP(A21,[123]WRDS!$A$1:$N$39,2,FALSE)</f>
        <v>PGN</v>
      </c>
      <c r="C21" t="str">
        <f>VLOOKUP(A21,[123]WRDS!$A$1:$N$39,3,FALSE)</f>
        <v>PORTLAND GEN CP</v>
      </c>
      <c r="D21">
        <f>VLOOKUP(A21,[123]WRDS!$A$1:$N$39,13,FALSE)</f>
        <v>2.11</v>
      </c>
      <c r="E21">
        <f>VLOOKUP(A21,[107]WRDS!$A$1:$N$40,13,FALSE)</f>
        <v>1.92</v>
      </c>
      <c r="F21" s="1">
        <f t="shared" si="3"/>
        <v>2.5104403571700864</v>
      </c>
      <c r="G21" s="1">
        <f t="shared" si="4"/>
        <v>2.4447523757324228</v>
      </c>
      <c r="H21" s="2">
        <f t="shared" si="0"/>
        <v>-2.3314605299845192E-2</v>
      </c>
      <c r="I21" s="2">
        <f>VLOOKUP(A21,[124]WRDS!$A$1:$O$100,10,FALSE)/100</f>
        <v>4.4400000000000002E-2</v>
      </c>
      <c r="J21" s="2">
        <f>VLOOKUP(A21,[124]WRDS!$A$1:$O$100,9,FALSE)/100</f>
        <v>3.7499999999999999E-2</v>
      </c>
      <c r="K21" s="2">
        <f t="shared" si="1"/>
        <v>2.9043856599320086</v>
      </c>
      <c r="L21" s="2">
        <f t="shared" si="2"/>
        <v>2.6084338344020344</v>
      </c>
      <c r="M21">
        <f>VLOOKUP(A21,[124]WRDS!$A$1:$O$100,8,FALSE)</f>
        <v>10</v>
      </c>
      <c r="N21">
        <f>VLOOKUP(A21,[124]WRDS!$A$1:$O$100,11,FALSE)</f>
        <v>2.6</v>
      </c>
    </row>
    <row r="22" spans="1:14" x14ac:dyDescent="0.3">
      <c r="A22" t="s">
        <v>48</v>
      </c>
      <c r="B22" t="str">
        <f>VLOOKUP(A22,[123]WRDS!$A$1:$N$39,2,FALSE)</f>
        <v>AZP</v>
      </c>
      <c r="C22" t="str">
        <f>VLOOKUP(A22,[123]WRDS!$A$1:$N$39,3,FALSE)</f>
        <v>PINNACLE WST CAP</v>
      </c>
      <c r="D22">
        <f>VLOOKUP(A22,[123]WRDS!$A$1:$N$39,13,FALSE)</f>
        <v>2.15</v>
      </c>
      <c r="E22">
        <f>VLOOKUP(A22,[107]WRDS!$A$1:$N$40,13,FALSE)</f>
        <v>1.72</v>
      </c>
      <c r="F22" s="1">
        <f t="shared" si="3"/>
        <v>2.3492099043370591</v>
      </c>
      <c r="G22" s="1">
        <f t="shared" si="4"/>
        <v>2.4151486356953851</v>
      </c>
      <c r="H22" s="2">
        <f t="shared" si="0"/>
        <v>-5.4258390996824168E-2</v>
      </c>
      <c r="I22" s="2">
        <f>VLOOKUP(A22,[124]WRDS!$A$1:$O$100,10,FALSE)/100</f>
        <v>2.2400000000000003E-2</v>
      </c>
      <c r="J22" s="2">
        <f>VLOOKUP(A22,[124]WRDS!$A$1:$O$100,9,FALSE)/100</f>
        <v>2.9500000000000002E-2</v>
      </c>
      <c r="K22" s="2">
        <f t="shared" si="1"/>
        <v>1.412839370804621</v>
      </c>
      <c r="L22" s="2">
        <f t="shared" si="2"/>
        <v>1.5436947070864429</v>
      </c>
      <c r="M22">
        <f>VLOOKUP(A22,[124]WRDS!$A$1:$O$100,8,FALSE)</f>
        <v>8</v>
      </c>
      <c r="N22">
        <f>VLOOKUP(A22,[124]WRDS!$A$1:$O$100,11,FALSE)</f>
        <v>3.28</v>
      </c>
    </row>
    <row r="23" spans="1:14" x14ac:dyDescent="0.3">
      <c r="A23" t="s">
        <v>49</v>
      </c>
      <c r="B23" t="str">
        <f>VLOOKUP(A23,[123]WRDS!$A$1:$N$39,2,FALSE)</f>
        <v>POM</v>
      </c>
      <c r="C23" t="str">
        <f>VLOOKUP(A23,[123]WRDS!$A$1:$N$39,3,FALSE)</f>
        <v>POTOMAC ELEC</v>
      </c>
      <c r="D23">
        <f>VLOOKUP(A23,[123]WRDS!$A$1:$N$39,13,FALSE)</f>
        <v>2.14</v>
      </c>
      <c r="E23">
        <f>VLOOKUP(A23,[107]WRDS!$A$1:$N$40,13,FALSE)</f>
        <v>1.63</v>
      </c>
      <c r="F23" s="1">
        <f t="shared" si="3"/>
        <v>2.5863512909013333</v>
      </c>
      <c r="G23" s="1">
        <f t="shared" si="4"/>
        <v>2.581421387530241</v>
      </c>
      <c r="H23" s="2">
        <f t="shared" si="0"/>
        <v>-6.5792267257951065E-2</v>
      </c>
      <c r="I23" s="2">
        <f>VLOOKUP(A23,[124]WRDS!$A$1:$O$100,10,FALSE)/100</f>
        <v>4.8499999999999995E-2</v>
      </c>
      <c r="J23" s="2">
        <f>VLOOKUP(A23,[124]WRDS!$A$1:$O$100,9,FALSE)/100</f>
        <v>4.8000000000000001E-2</v>
      </c>
      <c r="K23" s="2">
        <f t="shared" si="1"/>
        <v>1.7371686981062158</v>
      </c>
      <c r="L23" s="2">
        <f t="shared" si="2"/>
        <v>1.7295690208061518</v>
      </c>
      <c r="M23">
        <f>VLOOKUP(A23,[124]WRDS!$A$1:$O$100,8,FALSE)</f>
        <v>12</v>
      </c>
      <c r="N23">
        <f>VLOOKUP(A23,[124]WRDS!$A$1:$O$100,11,FALSE)</f>
        <v>1.58</v>
      </c>
    </row>
    <row r="24" spans="1:14" x14ac:dyDescent="0.3">
      <c r="A24" t="s">
        <v>51</v>
      </c>
      <c r="B24" t="str">
        <f>VLOOKUP(A24,[123]WRDS!$A$1:$N$39,2,FALSE)</f>
        <v>PPL</v>
      </c>
      <c r="C24" t="str">
        <f>VLOOKUP(A24,[123]WRDS!$A$1:$N$39,3,FALSE)</f>
        <v>PENNA P&amp;L</v>
      </c>
      <c r="D24">
        <f>VLOOKUP(A24,[123]WRDS!$A$1:$N$39,13,FALSE)</f>
        <v>0.93500000000000005</v>
      </c>
      <c r="E24">
        <f>VLOOKUP(A24,[107]WRDS!$A$1:$N$40,13,FALSE)</f>
        <v>1</v>
      </c>
      <c r="F24" s="1">
        <f t="shared" si="3"/>
        <v>1.0980308166265349</v>
      </c>
      <c r="G24" s="1">
        <f t="shared" si="4"/>
        <v>1.1001419062681339</v>
      </c>
      <c r="H24" s="2">
        <f t="shared" si="0"/>
        <v>1.6944138087259031E-2</v>
      </c>
      <c r="I24" s="2">
        <f>VLOOKUP(A24,[124]WRDS!$A$1:$O$100,10,FALSE)/100</f>
        <v>4.0999999999999995E-2</v>
      </c>
      <c r="J24" s="2">
        <f>VLOOKUP(A24,[124]WRDS!$A$1:$O$100,9,FALSE)/100</f>
        <v>4.1500000000000002E-2</v>
      </c>
      <c r="K24" s="2">
        <f t="shared" si="1"/>
        <v>1.4197158798433966</v>
      </c>
      <c r="L24" s="2">
        <f t="shared" si="2"/>
        <v>1.4492246100853898</v>
      </c>
      <c r="M24">
        <f>VLOOKUP(A24,[124]WRDS!$A$1:$O$100,8,FALSE)</f>
        <v>12</v>
      </c>
      <c r="N24">
        <f>VLOOKUP(A24,[124]WRDS!$A$1:$O$100,11,FALSE)</f>
        <v>1.06</v>
      </c>
    </row>
    <row r="25" spans="1:14" x14ac:dyDescent="0.3">
      <c r="A25" t="s">
        <v>91</v>
      </c>
      <c r="B25" t="str">
        <f>VLOOKUP(A25,[123]WRDS!$A$1:$N$39,2,FALSE)</f>
        <v>PSD</v>
      </c>
      <c r="C25" t="str">
        <f>VLOOKUP(A25,[123]WRDS!$A$1:$N$39,3,FALSE)</f>
        <v>PUGET SOUND P&amp;L</v>
      </c>
      <c r="D25">
        <f>VLOOKUP(A25,[123]WRDS!$A$1:$N$39,13,FALSE)</f>
        <v>2.14</v>
      </c>
      <c r="E25">
        <f>VLOOKUP(A25,[107]WRDS!$A$1:$N$40,13,FALSE)</f>
        <v>2.17</v>
      </c>
      <c r="F25" s="1">
        <f t="shared" si="3"/>
        <v>2.3927268142497757</v>
      </c>
      <c r="G25" s="1">
        <f t="shared" si="4"/>
        <v>2.4085888534</v>
      </c>
      <c r="H25" s="2">
        <f t="shared" si="0"/>
        <v>3.4863980263950545E-3</v>
      </c>
      <c r="I25" s="2">
        <f>VLOOKUP(A25,[124]WRDS!$A$1:$O$100,10,FALSE)/100</f>
        <v>2.8300000000000002E-2</v>
      </c>
      <c r="J25" s="2">
        <f>VLOOKUP(A25,[124]WRDS!$A$1:$O$100,9,FALSE)/100</f>
        <v>0.03</v>
      </c>
      <c r="K25" s="2">
        <f t="shared" si="1"/>
        <v>7.1172602169185719</v>
      </c>
      <c r="L25" s="2">
        <f t="shared" si="2"/>
        <v>7.6048694878995455</v>
      </c>
      <c r="M25">
        <f>VLOOKUP(A25,[124]WRDS!$A$1:$O$100,8,FALSE)</f>
        <v>6</v>
      </c>
      <c r="N25">
        <f>VLOOKUP(A25,[124]WRDS!$A$1:$O$100,11,FALSE)</f>
        <v>2.56</v>
      </c>
    </row>
    <row r="26" spans="1:14" x14ac:dyDescent="0.3">
      <c r="A26" t="s">
        <v>52</v>
      </c>
      <c r="B26" t="str">
        <f>VLOOKUP(A26,[123]WRDS!$A$1:$N$39,2,FALSE)</f>
        <v>SCG</v>
      </c>
      <c r="C26" t="str">
        <f>VLOOKUP(A26,[123]WRDS!$A$1:$N$39,3,FALSE)</f>
        <v>SCANA CP</v>
      </c>
      <c r="D26">
        <f>VLOOKUP(A26,[123]WRDS!$A$1:$N$39,13,FALSE)</f>
        <v>1.5</v>
      </c>
      <c r="E26">
        <f>VLOOKUP(A26,[107]WRDS!$A$1:$N$40,13,FALSE)</f>
        <v>1.5349999999999999</v>
      </c>
      <c r="F26" s="1">
        <f t="shared" si="3"/>
        <v>1.7433423289714085</v>
      </c>
      <c r="G26" s="1">
        <f t="shared" si="4"/>
        <v>1.7547878400000003</v>
      </c>
      <c r="H26" s="2">
        <f t="shared" si="0"/>
        <v>5.7829754472720207E-3</v>
      </c>
      <c r="I26" s="2">
        <f>VLOOKUP(A26,[124]WRDS!$A$1:$O$100,10,FALSE)/100</f>
        <v>3.8300000000000001E-2</v>
      </c>
      <c r="J26" s="2">
        <f>VLOOKUP(A26,[124]WRDS!$A$1:$O$100,9,FALSE)/100</f>
        <v>0.04</v>
      </c>
      <c r="K26" s="2">
        <f t="shared" si="1"/>
        <v>5.6228882258296808</v>
      </c>
      <c r="L26" s="2">
        <f t="shared" si="2"/>
        <v>5.9168545439474478</v>
      </c>
      <c r="M26">
        <f>VLOOKUP(A26,[124]WRDS!$A$1:$O$100,8,FALSE)</f>
        <v>9</v>
      </c>
      <c r="N26">
        <f>VLOOKUP(A26,[124]WRDS!$A$1:$O$100,11,FALSE)</f>
        <v>1.97</v>
      </c>
    </row>
    <row r="27" spans="1:14" x14ac:dyDescent="0.3">
      <c r="A27" t="s">
        <v>53</v>
      </c>
      <c r="B27" t="str">
        <f>VLOOKUP(A27,[123]WRDS!$A$1:$N$39,2,FALSE)</f>
        <v>SO</v>
      </c>
      <c r="C27" t="str">
        <f>VLOOKUP(A27,[123]WRDS!$A$1:$N$39,3,FALSE)</f>
        <v>SOUTHN CO</v>
      </c>
      <c r="D27">
        <f>VLOOKUP(A27,[123]WRDS!$A$1:$N$39,13,FALSE)</f>
        <v>1.36</v>
      </c>
      <c r="E27">
        <f>VLOOKUP(A27,[107]WRDS!$A$1:$N$40,13,FALSE)</f>
        <v>1.49</v>
      </c>
      <c r="F27" s="1">
        <f t="shared" si="3"/>
        <v>1.5396281309616855</v>
      </c>
      <c r="G27" s="1">
        <f t="shared" si="4"/>
        <v>1.5306919816</v>
      </c>
      <c r="H27" s="2">
        <f t="shared" si="0"/>
        <v>2.3085289103913276E-2</v>
      </c>
      <c r="I27" s="2">
        <f>VLOOKUP(A27,[124]WRDS!$A$1:$O$100,10,FALSE)/100</f>
        <v>3.15E-2</v>
      </c>
      <c r="J27" s="2">
        <f>VLOOKUP(A27,[124]WRDS!$A$1:$O$100,9,FALSE)/100</f>
        <v>0.03</v>
      </c>
      <c r="K27" s="2">
        <f t="shared" si="1"/>
        <v>0.36450532883559661</v>
      </c>
      <c r="L27" s="2">
        <f t="shared" si="2"/>
        <v>0.29952888460533006</v>
      </c>
      <c r="M27">
        <f>VLOOKUP(A27,[124]WRDS!$A$1:$O$100,8,FALSE)</f>
        <v>13</v>
      </c>
      <c r="N27">
        <f>VLOOKUP(A27,[124]WRDS!$A$1:$O$100,11,FALSE)</f>
        <v>1.1399999999999999</v>
      </c>
    </row>
    <row r="28" spans="1:14" x14ac:dyDescent="0.3">
      <c r="A28" t="s">
        <v>75</v>
      </c>
      <c r="B28" t="str">
        <f>VLOOKUP(A28,[123]WRDS!$A$1:$N$39,2,FALSE)</f>
        <v>TE</v>
      </c>
      <c r="C28" t="str">
        <f>VLOOKUP(A28,[123]WRDS!$A$1:$N$39,3,FALSE)</f>
        <v>TECO ENERGY INC</v>
      </c>
      <c r="D28">
        <f>VLOOKUP(A28,[123]WRDS!$A$1:$N$39,13,FALSE)</f>
        <v>1.115</v>
      </c>
      <c r="E28">
        <f>VLOOKUP(A28,[107]WRDS!$A$1:$N$40,13,FALSE)</f>
        <v>1.3</v>
      </c>
      <c r="F28" s="1">
        <f t="shared" si="3"/>
        <v>1.3682431589966797</v>
      </c>
      <c r="G28" s="1">
        <f t="shared" si="4"/>
        <v>1.3552894687499999</v>
      </c>
      <c r="H28" s="2">
        <f t="shared" si="0"/>
        <v>3.9123391456254319E-2</v>
      </c>
      <c r="I28" s="2">
        <f>VLOOKUP(A28,[124]WRDS!$A$1:$O$100,10,FALSE)/100</f>
        <v>5.2499999999999998E-2</v>
      </c>
      <c r="J28" s="2">
        <f>VLOOKUP(A28,[124]WRDS!$A$1:$O$100,9,FALSE)/100</f>
        <v>0.05</v>
      </c>
      <c r="K28" s="2">
        <f t="shared" si="1"/>
        <v>0.34190820493419355</v>
      </c>
      <c r="L28" s="2">
        <f t="shared" si="2"/>
        <v>0.2780078142230416</v>
      </c>
      <c r="M28">
        <f>VLOOKUP(A28,[124]WRDS!$A$1:$O$100,8,FALSE)</f>
        <v>13</v>
      </c>
      <c r="N28">
        <f>VLOOKUP(A28,[124]WRDS!$A$1:$O$100,11,FALSE)</f>
        <v>1.63</v>
      </c>
    </row>
    <row r="29" spans="1:14" x14ac:dyDescent="0.3">
      <c r="A29" t="s">
        <v>55</v>
      </c>
      <c r="B29" t="str">
        <f>VLOOKUP(A29,[123]WRDS!$A$1:$N$39,2,FALSE)</f>
        <v>WPC</v>
      </c>
      <c r="C29" t="str">
        <f>VLOOKUP(A29,[123]WRDS!$A$1:$N$39,3,FALSE)</f>
        <v>WISCONSIN ENERGY</v>
      </c>
      <c r="D29">
        <f>VLOOKUP(A29,[123]WRDS!$A$1:$N$39,13,FALSE)</f>
        <v>0.91</v>
      </c>
      <c r="E29">
        <f>VLOOKUP(A29,[107]WRDS!$A$1:$N$40,13,FALSE)</f>
        <v>0.83499999999999996</v>
      </c>
      <c r="F29" s="1">
        <f t="shared" si="3"/>
        <v>1.108219070390307</v>
      </c>
      <c r="G29" s="1">
        <f t="shared" si="4"/>
        <v>1.1273304320687498</v>
      </c>
      <c r="H29" s="2">
        <f t="shared" si="0"/>
        <v>-2.1273672728106208E-2</v>
      </c>
      <c r="I29" s="2">
        <f>VLOOKUP(A29,[124]WRDS!$A$1:$O$100,10,FALSE)/100</f>
        <v>5.0499999999999996E-2</v>
      </c>
      <c r="J29" s="2">
        <f>VLOOKUP(A29,[124]WRDS!$A$1:$O$100,9,FALSE)/100</f>
        <v>5.5E-2</v>
      </c>
      <c r="K29" s="2">
        <f t="shared" si="1"/>
        <v>3.373826120455484</v>
      </c>
      <c r="L29" s="2">
        <f t="shared" si="2"/>
        <v>3.5853551806940915</v>
      </c>
      <c r="M29">
        <f>VLOOKUP(A29,[124]WRDS!$A$1:$O$100,8,FALSE)</f>
        <v>13</v>
      </c>
      <c r="N29">
        <f>VLOOKUP(A29,[124]WRDS!$A$1:$O$100,11,FALSE)</f>
        <v>1.41</v>
      </c>
    </row>
    <row r="30" spans="1:14" x14ac:dyDescent="0.3">
      <c r="A30" t="s">
        <v>132</v>
      </c>
      <c r="B30" t="str">
        <f>VLOOKUP(A30,'[5]Ticker List'!$H$4:$I$20,2,FALSE)</f>
        <v>EGAS</v>
      </c>
      <c r="C30" t="str">
        <f>VLOOKUP(A30,[125]m5tseemude7qecs4!$B$1:$N$11,2,FALSE)</f>
        <v>ATMOS ENERGY CP</v>
      </c>
      <c r="D30">
        <f>VLOOKUP(A30,[125]m5tseemude7qecs4!$B$1:$N$11,12,FALSE)</f>
        <v>0.57779999999999998</v>
      </c>
      <c r="E30">
        <f>VLOOKUP(A30,[109]n23hiuisxfitqcvf!$B$1:$N$12,12,FALSE)</f>
        <v>1.48</v>
      </c>
      <c r="F30" s="1">
        <f t="shared" si="3"/>
        <v>0.70231951125000003</v>
      </c>
      <c r="G30" s="1">
        <f t="shared" si="4"/>
        <v>0.70231951125000003</v>
      </c>
      <c r="H30" s="2">
        <f t="shared" si="0"/>
        <v>0.26508889783855927</v>
      </c>
      <c r="I30" s="2">
        <f>VLOOKUP(A30,[126]fwet27bvkgarns7c!$B$1:$N$11,9,FALSE)/100</f>
        <v>0.05</v>
      </c>
      <c r="J30" s="2">
        <f>VLOOKUP(A30,[126]fwet27bvkgarns7c!$B$1:$N$11,8,FALSE)/100</f>
        <v>0.05</v>
      </c>
      <c r="K30" s="2">
        <f t="shared" si="1"/>
        <v>-0.81138402849880842</v>
      </c>
      <c r="L30" s="2">
        <f t="shared" si="2"/>
        <v>-0.81138402849880842</v>
      </c>
      <c r="M30">
        <f>VLOOKUP(A30,[126]fwet27bvkgarns7c!$B$1:$N$11,7,FALSE)</f>
        <v>1</v>
      </c>
      <c r="N30">
        <f>VLOOKUP(A30,[126]fwet27bvkgarns7c!$B$1:$N$11,10,FALSE)</f>
        <v>0</v>
      </c>
    </row>
    <row r="31" spans="1:14" x14ac:dyDescent="0.3">
      <c r="A31" t="s">
        <v>134</v>
      </c>
      <c r="B31" t="str">
        <f>VLOOKUP(A31,'[5]Ticker List'!$H$4:$I$20,2,FALSE)</f>
        <v>NJR</v>
      </c>
      <c r="C31" t="str">
        <f>VLOOKUP(A31,[125]m5tseemude7qecs4!$B$1:$N$11,2,FALSE)</f>
        <v>NEW JERSEY RES</v>
      </c>
      <c r="D31">
        <f>VLOOKUP(A31,[125]m5tseemude7qecs4!$B$1:$N$11,12,FALSE)</f>
        <v>0.33329999999999999</v>
      </c>
      <c r="E31">
        <f>VLOOKUP(A31,[109]n23hiuisxfitqcvf!$B$1:$N$12,12,FALSE)</f>
        <v>0.38669999999999999</v>
      </c>
      <c r="F31" s="1">
        <f t="shared" si="3"/>
        <v>0.436888310133</v>
      </c>
      <c r="G31" s="1">
        <f t="shared" si="4"/>
        <v>0.44511186457031243</v>
      </c>
      <c r="H31" s="2">
        <f t="shared" si="0"/>
        <v>3.7850298583361086E-2</v>
      </c>
      <c r="I31" s="2">
        <f>VLOOKUP(A31,[126]fwet27bvkgarns7c!$B$1:$N$11,9,FALSE)/100</f>
        <v>7.0000000000000007E-2</v>
      </c>
      <c r="J31" s="2">
        <f>VLOOKUP(A31,[126]fwet27bvkgarns7c!$B$1:$N$11,8,FALSE)/100</f>
        <v>7.4999999999999997E-2</v>
      </c>
      <c r="K31" s="2">
        <f t="shared" si="1"/>
        <v>0.84939095911840079</v>
      </c>
      <c r="L31" s="2">
        <f t="shared" si="2"/>
        <v>0.98149031334114345</v>
      </c>
      <c r="M31">
        <f>VLOOKUP(A31,[126]fwet27bvkgarns7c!$B$1:$N$11,7,FALSE)</f>
        <v>4</v>
      </c>
      <c r="N31">
        <f>VLOOKUP(A31,[126]fwet27bvkgarns7c!$B$1:$N$11,10,FALSE)</f>
        <v>1.41</v>
      </c>
    </row>
    <row r="32" spans="1:14" x14ac:dyDescent="0.3">
      <c r="A32" t="s">
        <v>135</v>
      </c>
      <c r="B32" t="str">
        <f>VLOOKUP(A32,'[5]Ticker List'!$H$4:$I$20,2,FALSE)</f>
        <v>NI</v>
      </c>
      <c r="C32" t="str">
        <f>VLOOKUP(A32,[125]m5tseemude7qecs4!$B$1:$N$11,2,FALSE)</f>
        <v>NIPSCO IND INC</v>
      </c>
      <c r="D32">
        <f>VLOOKUP(A32,[125]m5tseemude7qecs4!$B$1:$N$11,12,FALSE)</f>
        <v>0.69499999999999995</v>
      </c>
      <c r="E32">
        <f>VLOOKUP(A32,[109]n23hiuisxfitqcvf!$B$1:$N$12,12,FALSE)</f>
        <v>0.995</v>
      </c>
      <c r="F32" s="1">
        <f t="shared" si="3"/>
        <v>0.96033424615439422</v>
      </c>
      <c r="G32" s="1">
        <f t="shared" si="4"/>
        <v>0.8208977384021483</v>
      </c>
      <c r="H32" s="2">
        <f t="shared" si="0"/>
        <v>9.3854528347839583E-2</v>
      </c>
      <c r="I32" s="2">
        <f>VLOOKUP(A32,[126]fwet27bvkgarns7c!$B$1:$N$11,9,FALSE)/100</f>
        <v>8.4199999999999997E-2</v>
      </c>
      <c r="J32" s="2">
        <f>VLOOKUP(A32,[126]fwet27bvkgarns7c!$B$1:$N$11,8,FALSE)/100</f>
        <v>4.2500000000000003E-2</v>
      </c>
      <c r="K32" s="2">
        <f t="shared" si="1"/>
        <v>-0.10286694225406356</v>
      </c>
      <c r="L32" s="2">
        <f t="shared" si="2"/>
        <v>-0.5471715563633931</v>
      </c>
      <c r="M32">
        <f>VLOOKUP(A32,[126]fwet27bvkgarns7c!$B$1:$N$11,7,FALSE)</f>
        <v>10</v>
      </c>
      <c r="N32">
        <f>VLOOKUP(A32,[126]fwet27bvkgarns7c!$B$1:$N$11,10,FALSE)</f>
        <v>9.4700000000000006</v>
      </c>
    </row>
    <row r="33" spans="1:14" x14ac:dyDescent="0.3">
      <c r="A33" t="s">
        <v>138</v>
      </c>
      <c r="B33" t="str">
        <f>VLOOKUP(A33,'[5]Ticker List'!$H$4:$I$20,2,FALSE)</f>
        <v>SJI</v>
      </c>
      <c r="C33" t="str">
        <f>VLOOKUP(A33,[125]m5tseemude7qecs4!$B$1:$N$11,2,FALSE)</f>
        <v>SO JERSEY INDS</v>
      </c>
      <c r="D33">
        <f>VLOOKUP(A33,[125]m5tseemude7qecs4!$B$1:$N$11,12,FALSE)</f>
        <v>0.47299999999999998</v>
      </c>
      <c r="E33">
        <f>VLOOKUP(A33,[109]n23hiuisxfitqcvf!$B$1:$N$12,12,FALSE)</f>
        <v>0.40450000000000003</v>
      </c>
      <c r="F33" s="1">
        <f t="shared" si="3"/>
        <v>0.55334309888000011</v>
      </c>
      <c r="G33" s="1">
        <f t="shared" si="4"/>
        <v>0.55334309888000011</v>
      </c>
      <c r="H33" s="2">
        <f t="shared" si="0"/>
        <v>-3.8355955593084246E-2</v>
      </c>
      <c r="I33" s="2">
        <f>VLOOKUP(A33,[126]fwet27bvkgarns7c!$B$1:$N$11,9,FALSE)/100</f>
        <v>0.04</v>
      </c>
      <c r="J33" s="2">
        <f>VLOOKUP(A33,[126]fwet27bvkgarns7c!$B$1:$N$11,8,FALSE)/100</f>
        <v>0.04</v>
      </c>
      <c r="K33" s="2">
        <f t="shared" si="1"/>
        <v>2.042862819645463</v>
      </c>
      <c r="L33" s="2">
        <f t="shared" si="2"/>
        <v>2.042862819645463</v>
      </c>
      <c r="M33">
        <f>VLOOKUP(A33,[126]fwet27bvkgarns7c!$B$1:$N$11,7,FALSE)</f>
        <v>1</v>
      </c>
      <c r="N33">
        <f>VLOOKUP(A33,[126]fwet27bvkgarns7c!$B$1:$N$11,10,FALSE)</f>
        <v>0</v>
      </c>
    </row>
    <row r="34" spans="1:14" x14ac:dyDescent="0.3">
      <c r="A34" t="s">
        <v>139</v>
      </c>
      <c r="B34" t="str">
        <f>VLOOKUP(A34,'[5]Ticker List'!$H$4:$I$20,2,FALSE)</f>
        <v>SWX</v>
      </c>
      <c r="C34" t="str">
        <f>VLOOKUP(A34,[125]m5tseemude7qecs4!$B$1:$N$11,2,FALSE)</f>
        <v>SOUTHWEST GAS</v>
      </c>
      <c r="D34">
        <f>VLOOKUP(A34,[125]m5tseemude7qecs4!$B$1:$N$11,12,FALSE)</f>
        <v>2.0699999999999998</v>
      </c>
      <c r="E34">
        <f>VLOOKUP(A34,[109]n23hiuisxfitqcvf!$B$1:$N$12,12,FALSE)</f>
        <v>0.81</v>
      </c>
      <c r="F34" s="1">
        <f t="shared" si="3"/>
        <v>2.8507905995288336</v>
      </c>
      <c r="G34" s="1">
        <f t="shared" si="4"/>
        <v>3.0306870000000008</v>
      </c>
      <c r="H34" s="2">
        <f t="shared" si="0"/>
        <v>-0.20908708306715307</v>
      </c>
      <c r="I34" s="2">
        <f>VLOOKUP(A34,[126]fwet27bvkgarns7c!$B$1:$N$11,9,FALSE)/100</f>
        <v>8.3299999999999999E-2</v>
      </c>
      <c r="J34" s="2">
        <f>VLOOKUP(A34,[126]fwet27bvkgarns7c!$B$1:$N$11,8,FALSE)/100</f>
        <v>0.1</v>
      </c>
      <c r="K34" s="2">
        <f t="shared" si="1"/>
        <v>1.3983985943945008</v>
      </c>
      <c r="L34" s="2">
        <f t="shared" si="2"/>
        <v>1.4782696211218496</v>
      </c>
      <c r="M34">
        <f>VLOOKUP(A34,[126]fwet27bvkgarns7c!$B$1:$N$11,7,FALSE)</f>
        <v>3</v>
      </c>
      <c r="N34">
        <f>VLOOKUP(A34,[126]fwet27bvkgarns7c!$B$1:$N$11,10,FALSE)</f>
        <v>3.79</v>
      </c>
    </row>
    <row r="35" spans="1:14" x14ac:dyDescent="0.3">
      <c r="A35" t="s">
        <v>148</v>
      </c>
      <c r="B35" t="str">
        <f>VLOOKUP(A35,'[5]Ticker List'!$H$4:$I$20,2,FALSE)</f>
        <v>AGLT</v>
      </c>
      <c r="C35" t="str">
        <f>VLOOKUP(A35,[125]m5tseemude7qecs4!$B$1:$N$11,2,FALSE)</f>
        <v>ATLANTA GAS LT</v>
      </c>
      <c r="D35">
        <f>VLOOKUP(A35,[125]m5tseemude7qecs4!$B$1:$N$11,12,FALSE)</f>
        <v>0.95499999999999996</v>
      </c>
      <c r="E35">
        <f>VLOOKUP(A35,[109]n23hiuisxfitqcvf!$B$1:$N$12,12,FALSE)</f>
        <v>1.0900000000000001</v>
      </c>
      <c r="F35" s="1">
        <f t="shared" si="3"/>
        <v>1.2443395043073886</v>
      </c>
      <c r="G35" s="1">
        <f t="shared" si="4"/>
        <v>1.2285753648468745</v>
      </c>
      <c r="H35" s="2">
        <f t="shared" si="0"/>
        <v>3.3607808504793946E-2</v>
      </c>
      <c r="I35" s="2">
        <f>VLOOKUP(A35,[126]fwet27bvkgarns7c!$B$1:$N$11,9,FALSE)/100</f>
        <v>6.8400000000000002E-2</v>
      </c>
      <c r="J35" s="2">
        <f>VLOOKUP(A35,[126]fwet27bvkgarns7c!$B$1:$N$11,8,FALSE)/100</f>
        <v>6.5000000000000002E-2</v>
      </c>
      <c r="K35" s="2">
        <f t="shared" si="1"/>
        <v>1.035241303825067</v>
      </c>
      <c r="L35" s="2">
        <f t="shared" si="2"/>
        <v>0.93407433843025367</v>
      </c>
      <c r="M35">
        <f>VLOOKUP(A35,[126]fwet27bvkgarns7c!$B$1:$N$11,7,FALSE)</f>
        <v>8</v>
      </c>
      <c r="N35">
        <f>VLOOKUP(A35,[126]fwet27bvkgarns7c!$B$1:$N$11,10,FALSE)</f>
        <v>2</v>
      </c>
    </row>
    <row r="36" spans="1:14" x14ac:dyDescent="0.3">
      <c r="A36" t="s">
        <v>143</v>
      </c>
      <c r="B36" t="str">
        <f>VLOOKUP(A36,'[5]Ticker List'!$H$4:$I$20,2,FALSE)</f>
        <v>LG</v>
      </c>
      <c r="C36" t="str">
        <f>VLOOKUP(A36,[125]m5tseemude7qecs4!$B$1:$N$11,2,FALSE)</f>
        <v>LACLEDE GAS</v>
      </c>
      <c r="D36">
        <f>VLOOKUP(A36,[125]m5tseemude7qecs4!$B$1:$N$11,12,FALSE)</f>
        <v>1.45</v>
      </c>
      <c r="E36">
        <f>VLOOKUP(A36,[109]n23hiuisxfitqcvf!$B$1:$N$12,12,FALSE)</f>
        <v>1.61</v>
      </c>
      <c r="F36" s="1">
        <f t="shared" si="3"/>
        <v>1.7624840625</v>
      </c>
      <c r="G36" s="1">
        <f t="shared" si="4"/>
        <v>1.7624840625</v>
      </c>
      <c r="H36" s="2">
        <f t="shared" si="0"/>
        <v>2.6513034748228748E-2</v>
      </c>
      <c r="I36" s="2">
        <f>VLOOKUP(A36,[126]fwet27bvkgarns7c!$B$1:$N$11,9,FALSE)/100</f>
        <v>0.05</v>
      </c>
      <c r="J36" s="2">
        <f>VLOOKUP(A36,[126]fwet27bvkgarns7c!$B$1:$N$11,8,FALSE)/100</f>
        <v>0.05</v>
      </c>
      <c r="K36" s="2">
        <f t="shared" si="1"/>
        <v>0.88586483874088939</v>
      </c>
      <c r="L36" s="2">
        <f t="shared" si="2"/>
        <v>0.88586483874088939</v>
      </c>
      <c r="M36">
        <f>VLOOKUP(A36,[126]fwet27bvkgarns7c!$B$1:$N$11,7,FALSE)</f>
        <v>1</v>
      </c>
      <c r="N36">
        <f>VLOOKUP(A36,[126]fwet27bvkgarns7c!$B$1:$N$11,10,FALSE)</f>
        <v>0</v>
      </c>
    </row>
    <row r="37" spans="1:14" x14ac:dyDescent="0.3">
      <c r="A37" t="s">
        <v>144</v>
      </c>
      <c r="B37" t="str">
        <f>VLOOKUP(A37,'[5]Ticker List'!$H$4:$I$20,2,FALSE)</f>
        <v>GAS</v>
      </c>
      <c r="C37" t="str">
        <f>VLOOKUP(A37,[125]m5tseemude7qecs4!$B$1:$N$11,2,FALSE)</f>
        <v>NICOR INC</v>
      </c>
      <c r="D37">
        <f>VLOOKUP(A37,[125]m5tseemude7qecs4!$B$1:$N$11,12,FALSE)</f>
        <v>1.7450000000000001</v>
      </c>
      <c r="E37">
        <f>VLOOKUP(A37,[109]n23hiuisxfitqcvf!$B$1:$N$12,12,FALSE)</f>
        <v>1.91</v>
      </c>
      <c r="F37" s="1">
        <f t="shared" si="3"/>
        <v>2.2080145068794867</v>
      </c>
      <c r="G37" s="1">
        <f t="shared" si="4"/>
        <v>2.2030222952000007</v>
      </c>
      <c r="H37" s="2">
        <f t="shared" si="0"/>
        <v>2.2844193244256017E-2</v>
      </c>
      <c r="I37" s="2">
        <f>VLOOKUP(A37,[126]fwet27bvkgarns7c!$B$1:$N$11,9,FALSE)/100</f>
        <v>6.0599999999999994E-2</v>
      </c>
      <c r="J37" s="2">
        <f>VLOOKUP(A37,[126]fwet27bvkgarns7c!$B$1:$N$11,8,FALSE)/100</f>
        <v>0.06</v>
      </c>
      <c r="K37" s="2">
        <f t="shared" si="1"/>
        <v>1.6527529053904042</v>
      </c>
      <c r="L37" s="2">
        <f t="shared" si="2"/>
        <v>1.6264880251390144</v>
      </c>
      <c r="M37">
        <f>VLOOKUP(A37,[126]fwet27bvkgarns7c!$B$1:$N$11,7,FALSE)</f>
        <v>8</v>
      </c>
      <c r="N37">
        <f>VLOOKUP(A37,[126]fwet27bvkgarns7c!$B$1:$N$11,10,FALSE)</f>
        <v>1.57</v>
      </c>
    </row>
    <row r="38" spans="1:14" x14ac:dyDescent="0.3">
      <c r="A38" t="s">
        <v>146</v>
      </c>
      <c r="B38" t="str">
        <f>VLOOKUP(A38,'[5]Ticker List'!$H$4:$I$20,2,FALSE)</f>
        <v>PNY</v>
      </c>
      <c r="C38" t="str">
        <f>VLOOKUP(A38,[125]m5tseemude7qecs4!$B$1:$N$11,2,FALSE)</f>
        <v>PIEDMONT NAT GAS</v>
      </c>
      <c r="D38">
        <f>VLOOKUP(A38,[125]m5tseemude7qecs4!$B$1:$N$11,12,FALSE)</f>
        <v>0.60499999999999998</v>
      </c>
      <c r="E38">
        <f>VLOOKUP(A38,[109]n23hiuisxfitqcvf!$B$1:$N$12,12,FALSE)</f>
        <v>0.72750000000000004</v>
      </c>
      <c r="F38" s="1">
        <f t="shared" si="3"/>
        <v>0.85557493767051274</v>
      </c>
      <c r="G38" s="1">
        <f t="shared" si="4"/>
        <v>0.85557493767051274</v>
      </c>
      <c r="H38" s="2">
        <f t="shared" si="0"/>
        <v>4.7175338353559804E-2</v>
      </c>
      <c r="I38" s="2">
        <f>VLOOKUP(A38,[126]fwet27bvkgarns7c!$B$1:$N$11,9,FALSE)/100</f>
        <v>9.0500000000000011E-2</v>
      </c>
      <c r="J38" s="2">
        <f>VLOOKUP(A38,[126]fwet27bvkgarns7c!$B$1:$N$11,8,FALSE)/100</f>
        <v>9.0500000000000011E-2</v>
      </c>
      <c r="K38" s="2">
        <f t="shared" si="1"/>
        <v>0.91837521803743405</v>
      </c>
      <c r="L38" s="2">
        <f t="shared" si="2"/>
        <v>0.91837521803743405</v>
      </c>
      <c r="M38">
        <f>VLOOKUP(A38,[126]fwet27bvkgarns7c!$B$1:$N$11,7,FALSE)</f>
        <v>2</v>
      </c>
      <c r="N38">
        <f>VLOOKUP(A38,[126]fwet27bvkgarns7c!$B$1:$N$11,10,FALSE)</f>
        <v>4.17</v>
      </c>
    </row>
    <row r="39" spans="1:14" x14ac:dyDescent="0.3">
      <c r="A39" t="s">
        <v>145</v>
      </c>
      <c r="B39" t="str">
        <f>VLOOKUP(A39,'[5]Ticker List'!$H$4:$I$20,2,FALSE)</f>
        <v>WGL</v>
      </c>
      <c r="C39" t="str">
        <f>VLOOKUP(A39,[125]m5tseemude7qecs4!$B$1:$N$11,2,FALSE)</f>
        <v>WASH GAS LT</v>
      </c>
      <c r="D39">
        <f>VLOOKUP(A39,[125]m5tseemude7qecs4!$B$1:$N$11,12,FALSE)</f>
        <v>1.2450000000000001</v>
      </c>
      <c r="E39">
        <f>VLOOKUP(A39,[109]n23hiuisxfitqcvf!$B$1:$N$12,12,FALSE)</f>
        <v>1.325</v>
      </c>
      <c r="F39" s="1">
        <f t="shared" si="3"/>
        <v>1.5570080416423837</v>
      </c>
      <c r="G39" s="1">
        <f t="shared" si="4"/>
        <v>1.5570080416423837</v>
      </c>
      <c r="H39" s="2">
        <f t="shared" si="0"/>
        <v>1.569106433431422E-2</v>
      </c>
      <c r="I39" s="2">
        <f>VLOOKUP(A39,[126]fwet27bvkgarns7c!$B$1:$N$11,9,FALSE)/100</f>
        <v>5.7500000000000002E-2</v>
      </c>
      <c r="J39" s="2">
        <f>VLOOKUP(A39,[126]fwet27bvkgarns7c!$B$1:$N$11,8,FALSE)/100</f>
        <v>5.7500000000000002E-2</v>
      </c>
      <c r="K39" s="2">
        <f t="shared" si="1"/>
        <v>2.6645060382714343</v>
      </c>
      <c r="L39" s="2">
        <f t="shared" si="2"/>
        <v>2.6645060382714343</v>
      </c>
      <c r="M39">
        <f>VLOOKUP(A39,[126]fwet27bvkgarns7c!$B$1:$N$11,7,FALSE)</f>
        <v>6</v>
      </c>
      <c r="N39">
        <f>VLOOKUP(A39,[126]fwet27bvkgarns7c!$B$1:$N$11,10,FALSE)</f>
        <v>1.61</v>
      </c>
    </row>
  </sheetData>
  <mergeCells count="3">
    <mergeCell ref="P1:Q1"/>
    <mergeCell ref="P7:Q7"/>
    <mergeCell ref="P13:Q13"/>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38AD54-DC61-4E7A-B5CD-A54F25B61120}">
  <dimension ref="A1:Q34"/>
  <sheetViews>
    <sheetView workbookViewId="0">
      <selection activeCell="A28" sqref="A28"/>
    </sheetView>
  </sheetViews>
  <sheetFormatPr defaultRowHeight="14.4" x14ac:dyDescent="0.3"/>
  <cols>
    <col min="1" max="1" width="13.33203125" bestFit="1" customWidth="1"/>
    <col min="2" max="2" width="10.44140625" bestFit="1" customWidth="1"/>
    <col min="3" max="3" width="15.109375" bestFit="1" customWidth="1"/>
    <col min="4" max="5" width="15.44140625" bestFit="1" customWidth="1"/>
    <col min="6" max="6" width="14.33203125" bestFit="1" customWidth="1"/>
    <col min="7" max="7" width="16" bestFit="1" customWidth="1"/>
    <col min="8" max="8" width="18.33203125" bestFit="1" customWidth="1"/>
    <col min="9" max="9" width="21.44140625" bestFit="1" customWidth="1"/>
    <col min="10" max="10" width="23.109375" bestFit="1" customWidth="1"/>
    <col min="11" max="11" width="22" bestFit="1" customWidth="1"/>
    <col min="12" max="12" width="24.109375" bestFit="1" customWidth="1"/>
    <col min="13" max="13" width="19.88671875" bestFit="1" customWidth="1"/>
    <col min="14" max="14" width="8.33203125" bestFit="1" customWidth="1"/>
    <col min="16" max="16" width="51.88671875" bestFit="1" customWidth="1"/>
    <col min="17" max="17" width="22.5546875" bestFit="1" customWidth="1"/>
  </cols>
  <sheetData>
    <row r="1" spans="1:17" x14ac:dyDescent="0.3">
      <c r="A1" t="s">
        <v>0</v>
      </c>
      <c r="B1" t="s">
        <v>1</v>
      </c>
      <c r="C1" t="s">
        <v>2</v>
      </c>
      <c r="D1" t="s">
        <v>110</v>
      </c>
      <c r="E1" t="s">
        <v>106</v>
      </c>
      <c r="F1" t="s">
        <v>5</v>
      </c>
      <c r="G1" t="s">
        <v>6</v>
      </c>
      <c r="H1" t="s">
        <v>7</v>
      </c>
      <c r="I1" t="s">
        <v>8</v>
      </c>
      <c r="J1" t="s">
        <v>9</v>
      </c>
      <c r="K1" t="s">
        <v>10</v>
      </c>
      <c r="L1" t="s">
        <v>11</v>
      </c>
      <c r="M1" t="s">
        <v>12</v>
      </c>
      <c r="N1" t="s">
        <v>13</v>
      </c>
      <c r="P1" s="111" t="s">
        <v>14</v>
      </c>
      <c r="Q1" s="111"/>
    </row>
    <row r="2" spans="1:17" x14ac:dyDescent="0.3">
      <c r="A2" t="s">
        <v>63</v>
      </c>
      <c r="B2" t="str">
        <f>VLOOKUP(A2,[127]WRDS!$A$1:$N$39,2,FALSE)</f>
        <v>AVDO</v>
      </c>
      <c r="C2" t="str">
        <f>VLOOKUP(A2,[127]WRDS!$A$1:$N$39,3,FALSE)</f>
        <v>AUDIO VIDEO AFFI</v>
      </c>
      <c r="D2">
        <f>VLOOKUP(A2,[127]WRDS!$A$1:$N$39,13,FALSE)</f>
        <v>0.11559999999999999</v>
      </c>
      <c r="E2">
        <f>VLOOKUP(A2,[111]WRDS!$A$1:$N$40,13,FALSE)</f>
        <v>0.2044</v>
      </c>
      <c r="F2" s="1">
        <f>D2*(1+I2)^4</f>
        <v>0.19116573560300154</v>
      </c>
      <c r="G2" s="1">
        <f>D2*(1+J2)^4</f>
        <v>0.18189883801600004</v>
      </c>
      <c r="H2" s="2">
        <f t="shared" ref="H2:H34" si="0">((E2/D2)^(1/4)-1)</f>
        <v>0.1531366204175113</v>
      </c>
      <c r="I2" s="2">
        <f>VLOOKUP(A2,[128]WRDS!$A$1:$O$36,10,FALSE)/100</f>
        <v>0.13400000000000001</v>
      </c>
      <c r="J2" s="2">
        <f>VLOOKUP(A2,[128]WRDS!$A$1:$O$36,9,FALSE)/100</f>
        <v>0.12</v>
      </c>
      <c r="K2" s="2">
        <f t="shared" ref="K2:K34" si="1">(I2-H2)/(ABS(H2))</f>
        <v>-0.124964364273792</v>
      </c>
      <c r="L2" s="2">
        <f t="shared" ref="L2:L34" si="2">(J2-H2)/(ABS(H2))</f>
        <v>-0.21638599785712725</v>
      </c>
      <c r="M2">
        <f>VLOOKUP(A2,[128]WRDS!$A$1:$O$36,8,FALSE)</f>
        <v>5</v>
      </c>
      <c r="N2">
        <f>VLOOKUP(A2,[128]WRDS!$A$1:$O$36,11,FALSE)</f>
        <v>3.13</v>
      </c>
      <c r="P2" t="s">
        <v>16</v>
      </c>
      <c r="Q2" s="3">
        <f>AVERAGE(H2:H999)</f>
        <v>3.3189339241744965E-3</v>
      </c>
    </row>
    <row r="3" spans="1:17" x14ac:dyDescent="0.3">
      <c r="A3" t="s">
        <v>19</v>
      </c>
      <c r="B3" t="str">
        <f>VLOOKUP(A3,[127]WRDS!$A$1:$N$39,2,FALSE)</f>
        <v>BHP</v>
      </c>
      <c r="C3" t="str">
        <f>VLOOKUP(A3,[127]WRDS!$A$1:$N$39,3,FALSE)</f>
        <v>BLACK HILLS CORP</v>
      </c>
      <c r="D3">
        <f>VLOOKUP(A3,[127]WRDS!$A$1:$N$39,13,FALSE)</f>
        <v>0.9647</v>
      </c>
      <c r="E3">
        <f>VLOOKUP(A3,[111]WRDS!$A$1:$N$40,13,FALSE)</f>
        <v>1.1113</v>
      </c>
      <c r="F3" s="1">
        <f t="shared" ref="F3:F34" si="3">D3*(1+I3)^4</f>
        <v>1.3582580669015079</v>
      </c>
      <c r="G3" s="1">
        <f t="shared" ref="G3:G34" si="4">D3*(1+J3)^4</f>
        <v>1.4124172700000004</v>
      </c>
      <c r="H3" s="2">
        <f t="shared" si="0"/>
        <v>3.6000008460475241E-2</v>
      </c>
      <c r="I3" s="2">
        <f>VLOOKUP(A3,[128]WRDS!$A$1:$O$36,10,FALSE)/100</f>
        <v>8.929999999999999E-2</v>
      </c>
      <c r="J3" s="2">
        <f>VLOOKUP(A3,[128]WRDS!$A$1:$O$36,9,FALSE)/100</f>
        <v>0.1</v>
      </c>
      <c r="K3" s="2">
        <f t="shared" si="1"/>
        <v>1.4805549725923906</v>
      </c>
      <c r="L3" s="2">
        <f t="shared" si="2"/>
        <v>1.7777771249634837</v>
      </c>
      <c r="M3">
        <f>VLOOKUP(A3,[128]WRDS!$A$1:$O$36,8,FALSE)</f>
        <v>3</v>
      </c>
      <c r="N3">
        <f>VLOOKUP(A3,[128]WRDS!$A$1:$O$36,11,FALSE)</f>
        <v>1.85</v>
      </c>
      <c r="P3" t="s">
        <v>18</v>
      </c>
      <c r="Q3" s="3">
        <f>AVERAGE(I2:I999)</f>
        <v>4.5760606060606057E-2</v>
      </c>
    </row>
    <row r="4" spans="1:17" x14ac:dyDescent="0.3">
      <c r="A4" t="s">
        <v>88</v>
      </c>
      <c r="B4" t="str">
        <f>VLOOKUP(A4,[127]WRDS!$A$1:$N$39,2,FALSE)</f>
        <v>CIN</v>
      </c>
      <c r="C4" t="str">
        <f>VLOOKUP(A4,[127]WRDS!$A$1:$N$39,3,FALSE)</f>
        <v>CINN GAS &amp; EL</v>
      </c>
      <c r="D4">
        <f>VLOOKUP(A4,[127]WRDS!$A$1:$N$39,13,FALSE)</f>
        <v>1.4730000000000001</v>
      </c>
      <c r="E4">
        <f>VLOOKUP(A4,[111]WRDS!$A$1:$N$40,13,FALSE)</f>
        <v>2.2400000000000002</v>
      </c>
      <c r="F4" s="1">
        <f t="shared" si="3"/>
        <v>1.6189480716984608</v>
      </c>
      <c r="G4" s="1">
        <f t="shared" si="4"/>
        <v>1.6227461887104919</v>
      </c>
      <c r="H4" s="2">
        <f t="shared" si="0"/>
        <v>0.11048147450953438</v>
      </c>
      <c r="I4" s="2">
        <f>VLOOKUP(A4,[128]WRDS!$A$1:$O$36,10,FALSE)/100</f>
        <v>2.3900000000000001E-2</v>
      </c>
      <c r="J4" s="2">
        <f>VLOOKUP(A4,[128]WRDS!$A$1:$O$36,9,FALSE)/100</f>
        <v>2.4500000000000001E-2</v>
      </c>
      <c r="K4" s="2">
        <f t="shared" si="1"/>
        <v>-0.78367413988543866</v>
      </c>
      <c r="L4" s="2">
        <f t="shared" si="2"/>
        <v>-0.7782433651545293</v>
      </c>
      <c r="M4">
        <f>VLOOKUP(A4,[128]WRDS!$A$1:$O$36,8,FALSE)</f>
        <v>14</v>
      </c>
      <c r="N4">
        <f>VLOOKUP(A4,[128]WRDS!$A$1:$O$36,11,FALSE)</f>
        <v>1.85</v>
      </c>
      <c r="P4" t="s">
        <v>20</v>
      </c>
      <c r="Q4" s="3">
        <f>(Q3-Q2)/ABS(Q2)</f>
        <v>12.787742421533109</v>
      </c>
    </row>
    <row r="5" spans="1:17" x14ac:dyDescent="0.3">
      <c r="A5" t="s">
        <v>21</v>
      </c>
      <c r="B5" t="str">
        <f>VLOOKUP(A5,[127]WRDS!$A$1:$N$39,2,FALSE)</f>
        <v>CMS</v>
      </c>
      <c r="C5" t="str">
        <f>VLOOKUP(A5,[127]WRDS!$A$1:$N$39,3,FALSE)</f>
        <v>CMS ENERGY CORP</v>
      </c>
      <c r="D5">
        <f>VLOOKUP(A5,[127]WRDS!$A$1:$N$39,13,FALSE)</f>
        <v>2.19</v>
      </c>
      <c r="E5">
        <f>VLOOKUP(A5,[111]WRDS!$A$1:$N$40,13,FALSE)</f>
        <v>0.62</v>
      </c>
      <c r="F5" s="1">
        <f t="shared" si="3"/>
        <v>3.4979889938238888</v>
      </c>
      <c r="G5" s="1">
        <f t="shared" si="4"/>
        <v>2.8173613078687492</v>
      </c>
      <c r="H5" s="2">
        <f t="shared" si="0"/>
        <v>-0.27056450331220849</v>
      </c>
      <c r="I5" s="2">
        <f>VLOOKUP(A5,[128]WRDS!$A$1:$O$36,10,FALSE)/100</f>
        <v>0.1242</v>
      </c>
      <c r="J5" s="2">
        <f>VLOOKUP(A5,[128]WRDS!$A$1:$O$36,9,FALSE)/100</f>
        <v>6.5000000000000002E-2</v>
      </c>
      <c r="K5" s="2">
        <f t="shared" si="1"/>
        <v>1.4590402601951213</v>
      </c>
      <c r="L5" s="2">
        <f t="shared" si="2"/>
        <v>1.2402384614547737</v>
      </c>
      <c r="M5">
        <f>VLOOKUP(A5,[128]WRDS!$A$1:$O$36,8,FALSE)</f>
        <v>11</v>
      </c>
      <c r="N5">
        <f>VLOOKUP(A5,[128]WRDS!$A$1:$O$36,11,FALSE)</f>
        <v>11.43</v>
      </c>
      <c r="P5" t="s">
        <v>22</v>
      </c>
      <c r="Q5" s="3">
        <f>AVERAGE(J2:J999)</f>
        <v>4.42878787878788E-2</v>
      </c>
    </row>
    <row r="6" spans="1:17" x14ac:dyDescent="0.3">
      <c r="A6" t="s">
        <v>71</v>
      </c>
      <c r="B6" t="str">
        <f>VLOOKUP(A6,[127]WRDS!$A$1:$N$39,2,FALSE)</f>
        <v>CNL</v>
      </c>
      <c r="C6" t="str">
        <f>VLOOKUP(A6,[127]WRDS!$A$1:$N$39,3,FALSE)</f>
        <v>CENT LA ELEC INC</v>
      </c>
      <c r="D6">
        <f>VLOOKUP(A6,[127]WRDS!$A$1:$N$39,13,FALSE)</f>
        <v>0.88</v>
      </c>
      <c r="E6">
        <f>VLOOKUP(A6,[111]WRDS!$A$1:$N$40,13,FALSE)</f>
        <v>0.96</v>
      </c>
      <c r="F6" s="1">
        <f t="shared" si="3"/>
        <v>1.0196123652343756</v>
      </c>
      <c r="G6" s="1">
        <f t="shared" si="4"/>
        <v>1.0196123652343756</v>
      </c>
      <c r="H6" s="2">
        <f t="shared" si="0"/>
        <v>2.1991162258356844E-2</v>
      </c>
      <c r="I6" s="2">
        <f>VLOOKUP(A6,[128]WRDS!$A$1:$O$36,10,FALSE)/100</f>
        <v>3.7499999999999999E-2</v>
      </c>
      <c r="J6" s="2">
        <f>VLOOKUP(A6,[128]WRDS!$A$1:$O$36,9,FALSE)/100</f>
        <v>3.7499999999999999E-2</v>
      </c>
      <c r="K6" s="2">
        <f t="shared" si="1"/>
        <v>0.7052304721070235</v>
      </c>
      <c r="L6" s="2">
        <f t="shared" si="2"/>
        <v>0.7052304721070235</v>
      </c>
      <c r="M6">
        <f>VLOOKUP(A6,[128]WRDS!$A$1:$O$36,8,FALSE)</f>
        <v>2</v>
      </c>
      <c r="N6">
        <f>VLOOKUP(A6,[128]WRDS!$A$1:$O$36,11,FALSE)</f>
        <v>1.06</v>
      </c>
      <c r="P6" t="s">
        <v>24</v>
      </c>
      <c r="Q6" s="3">
        <f>(Q5-Q2)/ABS(Q2)</f>
        <v>12.344007383001554</v>
      </c>
    </row>
    <row r="7" spans="1:17" x14ac:dyDescent="0.3">
      <c r="A7" t="s">
        <v>25</v>
      </c>
      <c r="B7" t="str">
        <f>VLOOKUP(A7,[127]WRDS!$A$1:$N$39,2,FALSE)</f>
        <v>D</v>
      </c>
      <c r="C7" t="str">
        <f>VLOOKUP(A7,[127]WRDS!$A$1:$N$39,3,FALSE)</f>
        <v>DOMINION RES INC</v>
      </c>
      <c r="D7">
        <f>VLOOKUP(A7,[127]WRDS!$A$1:$N$39,13,FALSE)</f>
        <v>1.5035000000000001</v>
      </c>
      <c r="E7">
        <f>VLOOKUP(A7,[111]WRDS!$A$1:$N$40,13,FALSE)</f>
        <v>1.4730000000000001</v>
      </c>
      <c r="F7" s="1">
        <f t="shared" si="3"/>
        <v>1.779265124265303</v>
      </c>
      <c r="G7" s="1">
        <f t="shared" si="4"/>
        <v>1.7588823449600004</v>
      </c>
      <c r="H7" s="2">
        <f t="shared" si="0"/>
        <v>-5.1105430035688348E-3</v>
      </c>
      <c r="I7" s="2">
        <f>VLOOKUP(A7,[128]WRDS!$A$1:$O$36,10,FALSE)/100</f>
        <v>4.2999999999999997E-2</v>
      </c>
      <c r="J7" s="2">
        <f>VLOOKUP(A7,[128]WRDS!$A$1:$O$36,9,FALSE)/100</f>
        <v>0.04</v>
      </c>
      <c r="K7" s="2">
        <f t="shared" si="1"/>
        <v>9.4139787044100594</v>
      </c>
      <c r="L7" s="2">
        <f t="shared" si="2"/>
        <v>8.8269569343349392</v>
      </c>
      <c r="M7">
        <f>VLOOKUP(A7,[128]WRDS!$A$1:$O$36,8,FALSE)</f>
        <v>17</v>
      </c>
      <c r="N7">
        <f>VLOOKUP(A7,[128]WRDS!$A$1:$O$36,11,FALSE)</f>
        <v>0.97</v>
      </c>
      <c r="P7" s="111" t="s">
        <v>26</v>
      </c>
      <c r="Q7" s="111"/>
    </row>
    <row r="8" spans="1:17" x14ac:dyDescent="0.3">
      <c r="A8" t="s">
        <v>86</v>
      </c>
      <c r="B8" t="str">
        <f>VLOOKUP(A8,[127]WRDS!$A$1:$N$39,2,FALSE)</f>
        <v>DPL</v>
      </c>
      <c r="C8" t="str">
        <f>VLOOKUP(A8,[127]WRDS!$A$1:$N$39,3,FALSE)</f>
        <v>DPL INC</v>
      </c>
      <c r="D8">
        <f>VLOOKUP(A8,[127]WRDS!$A$1:$N$39,13,FALSE)</f>
        <v>0.77</v>
      </c>
      <c r="E8">
        <f>VLOOKUP(A8,[111]WRDS!$A$1:$N$40,13,FALSE)</f>
        <v>0.76870000000000005</v>
      </c>
      <c r="F8" s="1">
        <f t="shared" si="3"/>
        <v>0.87712233772645898</v>
      </c>
      <c r="G8" s="1">
        <f t="shared" si="4"/>
        <v>0.87508646468632811</v>
      </c>
      <c r="H8" s="2">
        <f t="shared" si="0"/>
        <v>-4.2234541021801686E-4</v>
      </c>
      <c r="I8" s="2">
        <f>VLOOKUP(A8,[128]WRDS!$A$1:$O$36,10,FALSE)/100</f>
        <v>3.3099999999999997E-2</v>
      </c>
      <c r="J8" s="2">
        <f>VLOOKUP(A8,[128]WRDS!$A$1:$O$36,9,FALSE)/100</f>
        <v>3.2500000000000001E-2</v>
      </c>
      <c r="K8" s="2">
        <f t="shared" si="1"/>
        <v>79.371870983311055</v>
      </c>
      <c r="L8" s="2">
        <f t="shared" si="2"/>
        <v>77.951232838598472</v>
      </c>
      <c r="M8">
        <f>VLOOKUP(A8,[128]WRDS!$A$1:$O$36,8,FALSE)</f>
        <v>8</v>
      </c>
      <c r="N8">
        <f>VLOOKUP(A8,[128]WRDS!$A$1:$O$36,11,FALSE)</f>
        <v>0.7</v>
      </c>
      <c r="P8" t="s">
        <v>28</v>
      </c>
      <c r="Q8" s="2">
        <f>MEDIAN(H2:H99)</f>
        <v>2.1991162258356844E-2</v>
      </c>
    </row>
    <row r="9" spans="1:17" x14ac:dyDescent="0.3">
      <c r="A9" t="s">
        <v>29</v>
      </c>
      <c r="B9" t="str">
        <f>VLOOKUP(A9,[127]WRDS!$A$1:$N$39,2,FALSE)</f>
        <v>DUK</v>
      </c>
      <c r="C9" t="str">
        <f>VLOOKUP(A9,[127]WRDS!$A$1:$N$39,3,FALSE)</f>
        <v>DUKE POWER CO</v>
      </c>
      <c r="D9">
        <f>VLOOKUP(A9,[127]WRDS!$A$1:$N$39,13,FALSE)</f>
        <v>3.3</v>
      </c>
      <c r="E9">
        <f>VLOOKUP(A9,[111]WRDS!$A$1:$N$40,13,FALSE)</f>
        <v>3.9</v>
      </c>
      <c r="F9" s="1">
        <f t="shared" si="3"/>
        <v>3.959468219707551</v>
      </c>
      <c r="G9" s="1">
        <f t="shared" si="4"/>
        <v>3.9882987196142055</v>
      </c>
      <c r="H9" s="2">
        <f t="shared" si="0"/>
        <v>4.264788543842446E-2</v>
      </c>
      <c r="I9" s="2">
        <f>VLOOKUP(A9,[128]WRDS!$A$1:$O$36,10,FALSE)/100</f>
        <v>4.6600000000000003E-2</v>
      </c>
      <c r="J9" s="2">
        <f>VLOOKUP(A9,[128]WRDS!$A$1:$O$36,9,FALSE)/100</f>
        <v>4.8499999999999995E-2</v>
      </c>
      <c r="K9" s="2">
        <f t="shared" si="1"/>
        <v>9.266847631359483E-2</v>
      </c>
      <c r="L9" s="2">
        <f t="shared" si="2"/>
        <v>0.13721933693582275</v>
      </c>
      <c r="M9">
        <f>VLOOKUP(A9,[128]WRDS!$A$1:$O$36,8,FALSE)</f>
        <v>16</v>
      </c>
      <c r="N9">
        <f>VLOOKUP(A9,[128]WRDS!$A$1:$O$36,11,FALSE)</f>
        <v>1.0900000000000001</v>
      </c>
      <c r="P9" t="s">
        <v>30</v>
      </c>
      <c r="Q9" s="2">
        <f>MEDIAN(I2:I100)</f>
        <v>4.2099999999999999E-2</v>
      </c>
    </row>
    <row r="10" spans="1:17" x14ac:dyDescent="0.3">
      <c r="A10" t="s">
        <v>31</v>
      </c>
      <c r="B10" t="str">
        <f>VLOOKUP(A10,[127]WRDS!$A$1:$N$39,2,FALSE)</f>
        <v>ED</v>
      </c>
      <c r="C10" t="str">
        <f>VLOOKUP(A10,[127]WRDS!$A$1:$N$39,3,FALSE)</f>
        <v>CONSOL EDISON</v>
      </c>
      <c r="D10">
        <f>VLOOKUP(A10,[127]WRDS!$A$1:$N$39,13,FALSE)</f>
        <v>2.21</v>
      </c>
      <c r="E10">
        <f>VLOOKUP(A10,[111]WRDS!$A$1:$N$40,13,FALSE)</f>
        <v>2.3199999999999998</v>
      </c>
      <c r="F10" s="1">
        <f t="shared" si="3"/>
        <v>2.6253926698521601</v>
      </c>
      <c r="G10" s="1">
        <f t="shared" si="4"/>
        <v>2.6354661073812489</v>
      </c>
      <c r="H10" s="2">
        <f t="shared" si="0"/>
        <v>1.2217701244495061E-2</v>
      </c>
      <c r="I10" s="2">
        <f>VLOOKUP(A10,[128]WRDS!$A$1:$O$36,10,FALSE)/100</f>
        <v>4.4000000000000004E-2</v>
      </c>
      <c r="J10" s="2">
        <f>VLOOKUP(A10,[128]WRDS!$A$1:$O$36,9,FALSE)/100</f>
        <v>4.4999999999999998E-2</v>
      </c>
      <c r="K10" s="2">
        <f t="shared" si="1"/>
        <v>2.6013321261906874</v>
      </c>
      <c r="L10" s="2">
        <f t="shared" si="2"/>
        <v>2.6831805836041118</v>
      </c>
      <c r="M10">
        <f>VLOOKUP(A10,[128]WRDS!$A$1:$O$36,8,FALSE)</f>
        <v>13</v>
      </c>
      <c r="N10">
        <f>VLOOKUP(A10,[128]WRDS!$A$1:$O$36,11,FALSE)</f>
        <v>1.53</v>
      </c>
      <c r="P10" t="s">
        <v>32</v>
      </c>
      <c r="Q10" s="2">
        <f>(Q9-Q8)/ABS(Q8)</f>
        <v>0.91440541001881837</v>
      </c>
    </row>
    <row r="11" spans="1:17" x14ac:dyDescent="0.3">
      <c r="A11" t="s">
        <v>72</v>
      </c>
      <c r="B11" t="str">
        <f>VLOOKUP(A11,[127]WRDS!$A$1:$N$39,2,FALSE)</f>
        <v>EDE</v>
      </c>
      <c r="C11" t="str">
        <f>VLOOKUP(A11,[127]WRDS!$A$1:$N$39,3,FALSE)</f>
        <v>EMPIRE DIST ELEC</v>
      </c>
      <c r="D11">
        <f>VLOOKUP(A11,[127]WRDS!$A$1:$N$39,13,FALSE)</f>
        <v>1.4750000000000001</v>
      </c>
      <c r="E11">
        <f>VLOOKUP(A11,[111]WRDS!$A$1:$N$40,13,FALSE)</f>
        <v>1.2949999999999999</v>
      </c>
      <c r="F11" s="1">
        <f t="shared" si="3"/>
        <v>1.5348909147500001</v>
      </c>
      <c r="G11" s="1">
        <f t="shared" si="4"/>
        <v>1.5348909147500001</v>
      </c>
      <c r="H11" s="2">
        <f t="shared" si="0"/>
        <v>-3.2013195642024761E-2</v>
      </c>
      <c r="I11" s="2">
        <f>VLOOKUP(A11,[128]WRDS!$A$1:$O$36,10,FALSE)/100</f>
        <v>0.01</v>
      </c>
      <c r="J11" s="2">
        <f>VLOOKUP(A11,[128]WRDS!$A$1:$O$36,9,FALSE)/100</f>
        <v>0.01</v>
      </c>
      <c r="K11" s="2">
        <f t="shared" si="1"/>
        <v>1.3123711894251717</v>
      </c>
      <c r="L11" s="2">
        <f t="shared" si="2"/>
        <v>1.3123711894251717</v>
      </c>
      <c r="M11">
        <f>VLOOKUP(A11,[128]WRDS!$A$1:$O$36,8,FALSE)</f>
        <v>1</v>
      </c>
      <c r="N11">
        <f>VLOOKUP(A11,[128]WRDS!$A$1:$O$36,11,FALSE)</f>
        <v>0</v>
      </c>
      <c r="P11" t="s">
        <v>34</v>
      </c>
      <c r="Q11" s="2">
        <f>MEDIAN(J2:J99)</f>
        <v>0.04</v>
      </c>
    </row>
    <row r="12" spans="1:17" x14ac:dyDescent="0.3">
      <c r="A12" t="s">
        <v>89</v>
      </c>
      <c r="B12" t="str">
        <f>VLOOKUP(A12,[127]WRDS!$A$1:$N$39,2,FALSE)</f>
        <v>FPL</v>
      </c>
      <c r="C12" t="str">
        <f>VLOOKUP(A12,[127]WRDS!$A$1:$N$39,3,FALSE)</f>
        <v>FPL GROUP</v>
      </c>
      <c r="D12">
        <f>VLOOKUP(A12,[127]WRDS!$A$1:$N$39,13,FALSE)</f>
        <v>0.38750000000000001</v>
      </c>
      <c r="E12">
        <f>VLOOKUP(A12,[111]WRDS!$A$1:$N$40,13,FALSE)</f>
        <v>0.2213</v>
      </c>
      <c r="F12" s="1">
        <f t="shared" si="3"/>
        <v>0.46993300306601049</v>
      </c>
      <c r="G12" s="1">
        <f t="shared" si="4"/>
        <v>0.47100867187500001</v>
      </c>
      <c r="H12" s="2">
        <f t="shared" si="0"/>
        <v>-0.13068449288578654</v>
      </c>
      <c r="I12" s="2">
        <f>VLOOKUP(A12,[128]WRDS!$A$1:$O$36,10,FALSE)/100</f>
        <v>4.9400000000000006E-2</v>
      </c>
      <c r="J12" s="2">
        <f>VLOOKUP(A12,[128]WRDS!$A$1:$O$36,9,FALSE)/100</f>
        <v>0.05</v>
      </c>
      <c r="K12" s="2">
        <f t="shared" si="1"/>
        <v>1.3780096544673728</v>
      </c>
      <c r="L12" s="2">
        <f t="shared" si="2"/>
        <v>1.3826008648455188</v>
      </c>
      <c r="M12">
        <f>VLOOKUP(A12,[128]WRDS!$A$1:$O$36,8,FALSE)</f>
        <v>17</v>
      </c>
      <c r="N12">
        <f>VLOOKUP(A12,[128]WRDS!$A$1:$O$36,11,FALSE)</f>
        <v>1.65</v>
      </c>
      <c r="P12" t="s">
        <v>32</v>
      </c>
      <c r="Q12" s="2">
        <f>(Q11-Q8)/ABS(Q8)</f>
        <v>0.81891250358082512</v>
      </c>
    </row>
    <row r="13" spans="1:17" x14ac:dyDescent="0.3">
      <c r="A13" t="s">
        <v>36</v>
      </c>
      <c r="B13" t="str">
        <f>VLOOKUP(A13,[127]WRDS!$A$1:$N$39,2,FALSE)</f>
        <v>HE</v>
      </c>
      <c r="C13" t="str">
        <f>VLOOKUP(A13,[127]WRDS!$A$1:$N$39,3,FALSE)</f>
        <v>HAWAIIAN ELEC</v>
      </c>
      <c r="D13">
        <f>VLOOKUP(A13,[127]WRDS!$A$1:$N$39,13,FALSE)</f>
        <v>1.1000000000000001</v>
      </c>
      <c r="E13">
        <f>VLOOKUP(A13,[111]WRDS!$A$1:$N$40,13,FALSE)</f>
        <v>1.2</v>
      </c>
      <c r="F13" s="1">
        <f t="shared" si="3"/>
        <v>1.2972696828093293</v>
      </c>
      <c r="G13" s="1">
        <f t="shared" si="4"/>
        <v>1.2967718100656005</v>
      </c>
      <c r="H13" s="2">
        <f t="shared" si="0"/>
        <v>2.1991162258356844E-2</v>
      </c>
      <c r="I13" s="2">
        <f>VLOOKUP(A13,[128]WRDS!$A$1:$O$36,10,FALSE)/100</f>
        <v>4.2099999999999999E-2</v>
      </c>
      <c r="J13" s="2">
        <f>VLOOKUP(A13,[128]WRDS!$A$1:$O$36,9,FALSE)/100</f>
        <v>4.2000000000000003E-2</v>
      </c>
      <c r="K13" s="2">
        <f t="shared" si="1"/>
        <v>0.91440541001881837</v>
      </c>
      <c r="L13" s="2">
        <f t="shared" si="2"/>
        <v>0.90985812875986649</v>
      </c>
      <c r="M13">
        <f>VLOOKUP(A13,[128]WRDS!$A$1:$O$36,8,FALSE)</f>
        <v>7</v>
      </c>
      <c r="N13">
        <f>VLOOKUP(A13,[128]WRDS!$A$1:$O$36,11,FALSE)</f>
        <v>0.68</v>
      </c>
      <c r="P13" s="111" t="s">
        <v>37</v>
      </c>
      <c r="Q13" s="111"/>
    </row>
    <row r="14" spans="1:17" x14ac:dyDescent="0.3">
      <c r="A14" t="s">
        <v>38</v>
      </c>
      <c r="B14" t="str">
        <f>VLOOKUP(A14,[127]WRDS!$A$1:$N$39,2,FALSE)</f>
        <v>IDA</v>
      </c>
      <c r="C14" t="str">
        <f>VLOOKUP(A14,[127]WRDS!$A$1:$N$39,3,FALSE)</f>
        <v>IDAHO POWER CO</v>
      </c>
      <c r="D14">
        <f>VLOOKUP(A14,[127]WRDS!$A$1:$N$39,13,FALSE)</f>
        <v>1.3</v>
      </c>
      <c r="E14">
        <f>VLOOKUP(A14,[111]WRDS!$A$1:$N$40,13,FALSE)</f>
        <v>1.55</v>
      </c>
      <c r="F14" s="1">
        <f t="shared" si="3"/>
        <v>1.4705622840746457</v>
      </c>
      <c r="G14" s="1">
        <f t="shared" si="4"/>
        <v>1.5208161280000003</v>
      </c>
      <c r="H14" s="2">
        <f t="shared" si="0"/>
        <v>4.4953792374733625E-2</v>
      </c>
      <c r="I14" s="2">
        <f>VLOOKUP(A14,[128]WRDS!$A$1:$O$36,10,FALSE)/100</f>
        <v>3.1300000000000001E-2</v>
      </c>
      <c r="J14" s="2">
        <f>VLOOKUP(A14,[128]WRDS!$A$1:$O$36,9,FALSE)/100</f>
        <v>0.04</v>
      </c>
      <c r="K14" s="2">
        <f t="shared" si="1"/>
        <v>-0.30372948873625549</v>
      </c>
      <c r="L14" s="2">
        <f t="shared" si="2"/>
        <v>-0.1101974296948952</v>
      </c>
      <c r="M14">
        <f>VLOOKUP(A14,[128]WRDS!$A$1:$O$36,8,FALSE)</f>
        <v>11</v>
      </c>
      <c r="N14">
        <f>VLOOKUP(A14,[128]WRDS!$A$1:$O$36,11,FALSE)</f>
        <v>1.62</v>
      </c>
      <c r="P14" t="s">
        <v>39</v>
      </c>
      <c r="Q14" s="1">
        <f>AVERAGE(M2:M1002)</f>
        <v>9.6666666666666661</v>
      </c>
    </row>
    <row r="15" spans="1:17" x14ac:dyDescent="0.3">
      <c r="A15" t="s">
        <v>78</v>
      </c>
      <c r="B15" t="str">
        <f>VLOOKUP(A15,[127]WRDS!$A$1:$N$39,2,FALSE)</f>
        <v>NU</v>
      </c>
      <c r="C15" t="str">
        <f>VLOOKUP(A15,[127]WRDS!$A$1:$N$39,3,FALSE)</f>
        <v>NORTHEAST UTILS</v>
      </c>
      <c r="D15">
        <f>VLOOKUP(A15,[127]WRDS!$A$1:$N$39,13,FALSE)</f>
        <v>2.0699999999999998</v>
      </c>
      <c r="E15">
        <f>VLOOKUP(A15,[111]WRDS!$A$1:$N$40,13,FALSE)</f>
        <v>2.12</v>
      </c>
      <c r="F15" s="1">
        <f t="shared" si="3"/>
        <v>2.3616322417562805</v>
      </c>
      <c r="G15" s="1">
        <f t="shared" si="4"/>
        <v>2.4030331363915201</v>
      </c>
      <c r="H15" s="2">
        <f t="shared" si="0"/>
        <v>5.9847075823908913E-3</v>
      </c>
      <c r="I15" s="2">
        <f>VLOOKUP(A15,[128]WRDS!$A$1:$O$36,10,FALSE)/100</f>
        <v>3.3500000000000002E-2</v>
      </c>
      <c r="J15" s="2">
        <f>VLOOKUP(A15,[128]WRDS!$A$1:$O$36,9,FALSE)/100</f>
        <v>3.7999999999999999E-2</v>
      </c>
      <c r="K15" s="2">
        <f t="shared" si="1"/>
        <v>4.5976001398245003</v>
      </c>
      <c r="L15" s="2">
        <f t="shared" si="2"/>
        <v>5.3495165765173436</v>
      </c>
      <c r="M15">
        <f>VLOOKUP(A15,[128]WRDS!$A$1:$O$36,8,FALSE)</f>
        <v>14</v>
      </c>
      <c r="N15">
        <f>VLOOKUP(A15,[128]WRDS!$A$1:$O$36,11,FALSE)</f>
        <v>2</v>
      </c>
      <c r="P15" t="s">
        <v>41</v>
      </c>
      <c r="Q15" s="1">
        <f>COUNT(N2:N1002)</f>
        <v>33</v>
      </c>
    </row>
    <row r="16" spans="1:17" x14ac:dyDescent="0.3">
      <c r="A16" t="s">
        <v>44</v>
      </c>
      <c r="B16" t="str">
        <f>VLOOKUP(A16,[127]WRDS!$A$1:$N$39,2,FALSE)</f>
        <v>OGE</v>
      </c>
      <c r="C16" t="str">
        <f>VLOOKUP(A16,[127]WRDS!$A$1:$N$39,3,FALSE)</f>
        <v>OKLAHOMA G&amp;E</v>
      </c>
      <c r="D16">
        <f>VLOOKUP(A16,[127]WRDS!$A$1:$N$39,13,FALSE)</f>
        <v>0.65</v>
      </c>
      <c r="E16">
        <f>VLOOKUP(A16,[111]WRDS!$A$1:$N$40,13,FALSE)</f>
        <v>0.8175</v>
      </c>
      <c r="F16" s="1">
        <f t="shared" si="3"/>
        <v>0.76245738434522792</v>
      </c>
      <c r="G16" s="1">
        <f t="shared" si="4"/>
        <v>0.76040806400000016</v>
      </c>
      <c r="H16" s="2">
        <f t="shared" si="0"/>
        <v>5.899424789950225E-2</v>
      </c>
      <c r="I16" s="2">
        <f>VLOOKUP(A16,[128]WRDS!$A$1:$O$36,10,FALSE)/100</f>
        <v>4.07E-2</v>
      </c>
      <c r="J16" s="2">
        <f>VLOOKUP(A16,[128]WRDS!$A$1:$O$36,9,FALSE)/100</f>
        <v>0.04</v>
      </c>
      <c r="K16" s="2">
        <f t="shared" si="1"/>
        <v>-0.31010223116441499</v>
      </c>
      <c r="L16" s="2">
        <f t="shared" si="2"/>
        <v>-0.32196779475618181</v>
      </c>
      <c r="M16">
        <f>VLOOKUP(A16,[128]WRDS!$A$1:$O$36,8,FALSE)</f>
        <v>15</v>
      </c>
      <c r="N16">
        <f>VLOOKUP(A16,[128]WRDS!$A$1:$O$36,11,FALSE)</f>
        <v>1.1599999999999999</v>
      </c>
    </row>
    <row r="17" spans="1:14" x14ac:dyDescent="0.3">
      <c r="A17" t="s">
        <v>69</v>
      </c>
      <c r="B17" t="str">
        <f>VLOOKUP(A17,[127]WRDS!$A$1:$N$39,2,FALSE)</f>
        <v>OTTR</v>
      </c>
      <c r="C17" t="str">
        <f>VLOOKUP(A17,[127]WRDS!$A$1:$N$39,3,FALSE)</f>
        <v>OTTER TAIL PWR</v>
      </c>
      <c r="D17">
        <f>VLOOKUP(A17,[127]WRDS!$A$1:$N$39,13,FALSE)</f>
        <v>0.91500000000000004</v>
      </c>
      <c r="E17">
        <f>VLOOKUP(A17,[111]WRDS!$A$1:$N$40,13,FALSE)</f>
        <v>1.07</v>
      </c>
      <c r="F17" s="1">
        <f t="shared" si="3"/>
        <v>0.95215266915000007</v>
      </c>
      <c r="G17" s="1">
        <f t="shared" si="4"/>
        <v>0.95215266915000007</v>
      </c>
      <c r="H17" s="2">
        <f t="shared" si="0"/>
        <v>3.9897827506683026E-2</v>
      </c>
      <c r="I17" s="2">
        <f>VLOOKUP(A17,[128]WRDS!$A$1:$O$36,10,FALSE)/100</f>
        <v>0.01</v>
      </c>
      <c r="J17" s="2">
        <f>VLOOKUP(A17,[128]WRDS!$A$1:$O$36,9,FALSE)/100</f>
        <v>0.01</v>
      </c>
      <c r="K17" s="2">
        <f t="shared" si="1"/>
        <v>-0.74935978661181568</v>
      </c>
      <c r="L17" s="2">
        <f t="shared" si="2"/>
        <v>-0.74935978661181568</v>
      </c>
      <c r="M17">
        <f>VLOOKUP(A17,[128]WRDS!$A$1:$O$36,8,FALSE)</f>
        <v>2</v>
      </c>
      <c r="N17">
        <f>VLOOKUP(A17,[128]WRDS!$A$1:$O$36,11,FALSE)</f>
        <v>2.83</v>
      </c>
    </row>
    <row r="18" spans="1:14" x14ac:dyDescent="0.3">
      <c r="A18" t="s">
        <v>46</v>
      </c>
      <c r="B18" t="str">
        <f>VLOOKUP(A18,[127]WRDS!$A$1:$N$39,2,FALSE)</f>
        <v>PEG</v>
      </c>
      <c r="C18" t="str">
        <f>VLOOKUP(A18,[127]WRDS!$A$1:$N$39,3,FALSE)</f>
        <v>PUB SVC ENTERS</v>
      </c>
      <c r="D18">
        <f>VLOOKUP(A18,[127]WRDS!$A$1:$N$39,13,FALSE)</f>
        <v>1.2749999999999999</v>
      </c>
      <c r="E18">
        <f>VLOOKUP(A18,[111]WRDS!$A$1:$N$40,13,FALSE)</f>
        <v>1.22</v>
      </c>
      <c r="F18" s="1">
        <f t="shared" si="3"/>
        <v>1.4806995654828796</v>
      </c>
      <c r="G18" s="1">
        <f t="shared" si="4"/>
        <v>1.4915696640000002</v>
      </c>
      <c r="H18" s="2">
        <f t="shared" si="0"/>
        <v>-1.0963290216923882E-2</v>
      </c>
      <c r="I18" s="2">
        <f>VLOOKUP(A18,[128]WRDS!$A$1:$O$36,10,FALSE)/100</f>
        <v>3.8100000000000002E-2</v>
      </c>
      <c r="J18" s="2">
        <f>VLOOKUP(A18,[128]WRDS!$A$1:$O$36,9,FALSE)/100</f>
        <v>0.04</v>
      </c>
      <c r="K18" s="2">
        <f t="shared" si="1"/>
        <v>4.4752340990832797</v>
      </c>
      <c r="L18" s="2">
        <f t="shared" si="2"/>
        <v>4.6485397365703722</v>
      </c>
      <c r="M18">
        <f>VLOOKUP(A18,[128]WRDS!$A$1:$O$36,8,FALSE)</f>
        <v>17</v>
      </c>
      <c r="N18">
        <f>VLOOKUP(A18,[128]WRDS!$A$1:$O$36,11,FALSE)</f>
        <v>1.77</v>
      </c>
    </row>
    <row r="19" spans="1:14" x14ac:dyDescent="0.3">
      <c r="A19" t="s">
        <v>74</v>
      </c>
      <c r="B19" t="str">
        <f>VLOOKUP(A19,[127]WRDS!$A$1:$N$39,2,FALSE)</f>
        <v>PGN</v>
      </c>
      <c r="C19" t="str">
        <f>VLOOKUP(A19,[127]WRDS!$A$1:$N$39,3,FALSE)</f>
        <v>PORTLAND GEN CP</v>
      </c>
      <c r="D19">
        <f>VLOOKUP(A19,[127]WRDS!$A$1:$N$39,13,FALSE)</f>
        <v>1.69</v>
      </c>
      <c r="E19">
        <f>VLOOKUP(A19,[111]WRDS!$A$1:$N$40,13,FALSE)</f>
        <v>1.06</v>
      </c>
      <c r="F19" s="1">
        <f t="shared" si="3"/>
        <v>1.9984385312313768</v>
      </c>
      <c r="G19" s="1">
        <f t="shared" si="4"/>
        <v>1.9770609664000003</v>
      </c>
      <c r="H19" s="2">
        <f t="shared" si="0"/>
        <v>-0.11007216623667038</v>
      </c>
      <c r="I19" s="2">
        <f>VLOOKUP(A19,[128]WRDS!$A$1:$O$36,10,FALSE)/100</f>
        <v>4.2800000000000005E-2</v>
      </c>
      <c r="J19" s="2">
        <f>VLOOKUP(A19,[128]WRDS!$A$1:$O$36,9,FALSE)/100</f>
        <v>0.04</v>
      </c>
      <c r="K19" s="2">
        <f t="shared" si="1"/>
        <v>1.3888358107532297</v>
      </c>
      <c r="L19" s="2">
        <f t="shared" si="2"/>
        <v>1.363397953974981</v>
      </c>
      <c r="M19">
        <f>VLOOKUP(A19,[128]WRDS!$A$1:$O$36,8,FALSE)</f>
        <v>11</v>
      </c>
      <c r="N19">
        <f>VLOOKUP(A19,[128]WRDS!$A$1:$O$36,11,FALSE)</f>
        <v>1.1599999999999999</v>
      </c>
    </row>
    <row r="20" spans="1:14" x14ac:dyDescent="0.3">
      <c r="A20" t="s">
        <v>47</v>
      </c>
      <c r="B20" t="str">
        <f>VLOOKUP(A20,[127]WRDS!$A$1:$N$39,2,FALSE)</f>
        <v>PNM</v>
      </c>
      <c r="C20" t="str">
        <f>VLOOKUP(A20,[127]WRDS!$A$1:$N$39,3,FALSE)</f>
        <v>PUB SVC N MEX</v>
      </c>
      <c r="D20">
        <f>VLOOKUP(A20,[127]WRDS!$A$1:$N$39,13,FALSE)</f>
        <v>1.3267</v>
      </c>
      <c r="E20">
        <f>VLOOKUP(A20,[111]WRDS!$A$1:$N$40,13,FALSE)</f>
        <v>0.32</v>
      </c>
      <c r="F20" s="1">
        <f t="shared" si="3"/>
        <v>1.4186841558549952</v>
      </c>
      <c r="G20" s="1">
        <f t="shared" si="4"/>
        <v>1.5077626138952616</v>
      </c>
      <c r="H20" s="2">
        <f t="shared" si="0"/>
        <v>-0.29919964639187213</v>
      </c>
      <c r="I20" s="2">
        <f>VLOOKUP(A20,[128]WRDS!$A$1:$O$36,10,FALSE)/100</f>
        <v>1.6899999999999998E-2</v>
      </c>
      <c r="J20" s="2">
        <f>VLOOKUP(A20,[128]WRDS!$A$1:$O$36,9,FALSE)/100</f>
        <v>3.2500000000000001E-2</v>
      </c>
      <c r="K20" s="2">
        <f t="shared" si="1"/>
        <v>1.0564840239746323</v>
      </c>
      <c r="L20" s="2">
        <f t="shared" si="2"/>
        <v>1.1086231230281389</v>
      </c>
      <c r="M20">
        <f>VLOOKUP(A20,[128]WRDS!$A$1:$O$36,8,FALSE)</f>
        <v>8</v>
      </c>
      <c r="N20">
        <f>VLOOKUP(A20,[128]WRDS!$A$1:$O$36,11,FALSE)</f>
        <v>4.58</v>
      </c>
    </row>
    <row r="21" spans="1:14" x14ac:dyDescent="0.3">
      <c r="A21" t="s">
        <v>48</v>
      </c>
      <c r="B21" t="str">
        <f>VLOOKUP(A21,[127]WRDS!$A$1:$N$39,2,FALSE)</f>
        <v>AZP</v>
      </c>
      <c r="C21" t="str">
        <f>VLOOKUP(A21,[127]WRDS!$A$1:$N$39,3,FALSE)</f>
        <v>PINNACLE WST CAP</v>
      </c>
      <c r="D21">
        <f>VLOOKUP(A21,[127]WRDS!$A$1:$N$39,13,FALSE)</f>
        <v>3.21</v>
      </c>
      <c r="E21">
        <f>VLOOKUP(A21,[111]WRDS!$A$1:$N$40,13,FALSE)</f>
        <v>0.77</v>
      </c>
      <c r="F21" s="1">
        <f t="shared" si="3"/>
        <v>3.6466746319635042</v>
      </c>
      <c r="G21" s="1">
        <f t="shared" si="4"/>
        <v>3.6128832800999997</v>
      </c>
      <c r="H21" s="2">
        <f t="shared" si="0"/>
        <v>-0.30016376780618959</v>
      </c>
      <c r="I21" s="2">
        <f>VLOOKUP(A21,[128]WRDS!$A$1:$O$36,10,FALSE)/100</f>
        <v>3.2400000000000005E-2</v>
      </c>
      <c r="J21" s="2">
        <f>VLOOKUP(A21,[128]WRDS!$A$1:$O$36,9,FALSE)/100</f>
        <v>0.03</v>
      </c>
      <c r="K21" s="2">
        <f t="shared" si="1"/>
        <v>1.1079410757560855</v>
      </c>
      <c r="L21" s="2">
        <f t="shared" si="2"/>
        <v>1.0999454405148941</v>
      </c>
      <c r="M21">
        <f>VLOOKUP(A21,[128]WRDS!$A$1:$O$36,8,FALSE)</f>
        <v>15</v>
      </c>
      <c r="N21">
        <f>VLOOKUP(A21,[128]WRDS!$A$1:$O$36,11,FALSE)</f>
        <v>1.49</v>
      </c>
    </row>
    <row r="22" spans="1:14" x14ac:dyDescent="0.3">
      <c r="A22" t="s">
        <v>51</v>
      </c>
      <c r="B22" t="str">
        <f>VLOOKUP(A22,[127]WRDS!$A$1:$N$39,2,FALSE)</f>
        <v>PPL</v>
      </c>
      <c r="C22" t="str">
        <f>VLOOKUP(A22,[127]WRDS!$A$1:$N$39,3,FALSE)</f>
        <v>PENNA P&amp;L</v>
      </c>
      <c r="D22">
        <f>VLOOKUP(A22,[127]WRDS!$A$1:$N$39,13,FALSE)</f>
        <v>0.83</v>
      </c>
      <c r="E22">
        <f>VLOOKUP(A22,[111]WRDS!$A$1:$N$40,13,FALSE)</f>
        <v>1.0024999999999999</v>
      </c>
      <c r="F22" s="1">
        <f t="shared" si="3"/>
        <v>0.97247728623188034</v>
      </c>
      <c r="G22" s="1">
        <f t="shared" si="4"/>
        <v>0.98600720179968004</v>
      </c>
      <c r="H22" s="2">
        <f t="shared" si="0"/>
        <v>4.8338588760205026E-2</v>
      </c>
      <c r="I22" s="2">
        <f>VLOOKUP(A22,[128]WRDS!$A$1:$O$36,10,FALSE)/100</f>
        <v>4.0399999999999998E-2</v>
      </c>
      <c r="J22" s="2">
        <f>VLOOKUP(A22,[128]WRDS!$A$1:$O$36,9,FALSE)/100</f>
        <v>4.4000000000000004E-2</v>
      </c>
      <c r="K22" s="2">
        <f t="shared" si="1"/>
        <v>-0.16422880691834571</v>
      </c>
      <c r="L22" s="2">
        <f t="shared" si="2"/>
        <v>-8.9754146148693217E-2</v>
      </c>
      <c r="M22">
        <f>VLOOKUP(A22,[128]WRDS!$A$1:$O$36,8,FALSE)</f>
        <v>14</v>
      </c>
      <c r="N22">
        <f>VLOOKUP(A22,[128]WRDS!$A$1:$O$36,11,FALSE)</f>
        <v>1.52</v>
      </c>
    </row>
    <row r="23" spans="1:14" x14ac:dyDescent="0.3">
      <c r="A23" t="s">
        <v>91</v>
      </c>
      <c r="B23" t="str">
        <f>VLOOKUP(A23,[127]WRDS!$A$1:$N$39,2,FALSE)</f>
        <v>PSD</v>
      </c>
      <c r="C23" t="str">
        <f>VLOOKUP(A23,[127]WRDS!$A$1:$N$39,3,FALSE)</f>
        <v>PUGET SOUND P&amp;L</v>
      </c>
      <c r="D23">
        <f>VLOOKUP(A23,[127]WRDS!$A$1:$N$39,13,FALSE)</f>
        <v>2.13</v>
      </c>
      <c r="E23">
        <f>VLOOKUP(A23,[111]WRDS!$A$1:$N$40,13,FALSE)</f>
        <v>2.21</v>
      </c>
      <c r="F23" s="1">
        <f t="shared" si="3"/>
        <v>2.3973337652999995</v>
      </c>
      <c r="G23" s="1">
        <f t="shared" si="4"/>
        <v>2.3973337652999995</v>
      </c>
      <c r="H23" s="2">
        <f t="shared" si="0"/>
        <v>9.2602471703002731E-3</v>
      </c>
      <c r="I23" s="2">
        <f>VLOOKUP(A23,[128]WRDS!$A$1:$O$36,10,FALSE)/100</f>
        <v>0.03</v>
      </c>
      <c r="J23" s="2">
        <f>VLOOKUP(A23,[128]WRDS!$A$1:$O$36,9,FALSE)/100</f>
        <v>0.03</v>
      </c>
      <c r="K23" s="2">
        <f t="shared" si="1"/>
        <v>2.2396543470477601</v>
      </c>
      <c r="L23" s="2">
        <f t="shared" si="2"/>
        <v>2.2396543470477601</v>
      </c>
      <c r="M23">
        <f>VLOOKUP(A23,[128]WRDS!$A$1:$O$36,8,FALSE)</f>
        <v>8</v>
      </c>
      <c r="N23">
        <f>VLOOKUP(A23,[128]WRDS!$A$1:$O$36,11,FALSE)</f>
        <v>1.77</v>
      </c>
    </row>
    <row r="24" spans="1:14" x14ac:dyDescent="0.3">
      <c r="A24" t="s">
        <v>52</v>
      </c>
      <c r="B24" t="str">
        <f>VLOOKUP(A24,[127]WRDS!$A$1:$N$39,2,FALSE)</f>
        <v>SCG</v>
      </c>
      <c r="C24" t="str">
        <f>VLOOKUP(A24,[127]WRDS!$A$1:$N$39,3,FALSE)</f>
        <v>SCANA CP</v>
      </c>
      <c r="D24">
        <f>VLOOKUP(A24,[127]WRDS!$A$1:$N$39,13,FALSE)</f>
        <v>1.6</v>
      </c>
      <c r="E24">
        <f>VLOOKUP(A24,[111]WRDS!$A$1:$N$40,13,FALSE)</f>
        <v>1.6850000000000001</v>
      </c>
      <c r="F24" s="1">
        <f t="shared" si="3"/>
        <v>1.8717736960000004</v>
      </c>
      <c r="G24" s="1">
        <f t="shared" si="4"/>
        <v>1.8717736960000004</v>
      </c>
      <c r="H24" s="2">
        <f t="shared" si="0"/>
        <v>1.3024574030013225E-2</v>
      </c>
      <c r="I24" s="2">
        <f>VLOOKUP(A24,[128]WRDS!$A$1:$O$36,10,FALSE)/100</f>
        <v>0.04</v>
      </c>
      <c r="J24" s="2">
        <f>VLOOKUP(A24,[128]WRDS!$A$1:$O$36,9,FALSE)/100</f>
        <v>0.04</v>
      </c>
      <c r="K24" s="2">
        <f t="shared" si="1"/>
        <v>2.0711177123970312</v>
      </c>
      <c r="L24" s="2">
        <f t="shared" si="2"/>
        <v>2.0711177123970312</v>
      </c>
      <c r="M24">
        <f>VLOOKUP(A24,[128]WRDS!$A$1:$O$36,8,FALSE)</f>
        <v>12</v>
      </c>
      <c r="N24">
        <f>VLOOKUP(A24,[128]WRDS!$A$1:$O$36,11,FALSE)</f>
        <v>1.55</v>
      </c>
    </row>
    <row r="25" spans="1:14" x14ac:dyDescent="0.3">
      <c r="A25" t="s">
        <v>53</v>
      </c>
      <c r="B25" t="str">
        <f>VLOOKUP(A25,[127]WRDS!$A$1:$N$39,2,FALSE)</f>
        <v>SO</v>
      </c>
      <c r="C25" t="str">
        <f>VLOOKUP(A25,[127]WRDS!$A$1:$N$39,3,FALSE)</f>
        <v>SOUTHN CO</v>
      </c>
      <c r="D25">
        <f>VLOOKUP(A25,[127]WRDS!$A$1:$N$39,13,FALSE)</f>
        <v>0.96</v>
      </c>
      <c r="E25">
        <f>VLOOKUP(A25,[111]WRDS!$A$1:$N$40,13,FALSE)</f>
        <v>1.26</v>
      </c>
      <c r="F25" s="1">
        <f t="shared" si="3"/>
        <v>1.1075946525072016</v>
      </c>
      <c r="G25" s="1">
        <f t="shared" si="4"/>
        <v>1.1230642176000001</v>
      </c>
      <c r="H25" s="2">
        <f t="shared" si="0"/>
        <v>7.0347571464036251E-2</v>
      </c>
      <c r="I25" s="2">
        <f>VLOOKUP(A25,[128]WRDS!$A$1:$O$36,10,FALSE)/100</f>
        <v>3.6400000000000002E-2</v>
      </c>
      <c r="J25" s="2">
        <f>VLOOKUP(A25,[128]WRDS!$A$1:$O$36,9,FALSE)/100</f>
        <v>0.04</v>
      </c>
      <c r="K25" s="2">
        <f t="shared" si="1"/>
        <v>-0.48256920256858116</v>
      </c>
      <c r="L25" s="2">
        <f t="shared" si="2"/>
        <v>-0.43139472809734197</v>
      </c>
      <c r="M25">
        <f>VLOOKUP(A25,[128]WRDS!$A$1:$O$36,8,FALSE)</f>
        <v>16</v>
      </c>
      <c r="N25">
        <f>VLOOKUP(A25,[128]WRDS!$A$1:$O$36,11,FALSE)</f>
        <v>1.48</v>
      </c>
    </row>
    <row r="26" spans="1:14" x14ac:dyDescent="0.3">
      <c r="A26" t="s">
        <v>75</v>
      </c>
      <c r="B26" t="str">
        <f>VLOOKUP(A26,[127]WRDS!$A$1:$N$39,2,FALSE)</f>
        <v>TE</v>
      </c>
      <c r="C26" t="str">
        <f>VLOOKUP(A26,[127]WRDS!$A$1:$N$39,3,FALSE)</f>
        <v>TECO ENERGY INC</v>
      </c>
      <c r="D26">
        <f>VLOOKUP(A26,[127]WRDS!$A$1:$N$39,13,FALSE)</f>
        <v>0.97499999999999998</v>
      </c>
      <c r="E26">
        <f>VLOOKUP(A26,[111]WRDS!$A$1:$N$40,13,FALSE)</f>
        <v>1.2749999999999999</v>
      </c>
      <c r="F26" s="1">
        <f t="shared" si="3"/>
        <v>1.2000876111938921</v>
      </c>
      <c r="G26" s="1">
        <f t="shared" si="4"/>
        <v>1.189639784970975</v>
      </c>
      <c r="H26" s="2">
        <f t="shared" si="0"/>
        <v>6.936605042133781E-2</v>
      </c>
      <c r="I26" s="2">
        <f>VLOOKUP(A26,[128]WRDS!$A$1:$O$36,10,FALSE)/100</f>
        <v>5.33E-2</v>
      </c>
      <c r="J26" s="2">
        <f>VLOOKUP(A26,[128]WRDS!$A$1:$O$36,9,FALSE)/100</f>
        <v>5.0999999999999997E-2</v>
      </c>
      <c r="K26" s="2">
        <f t="shared" si="1"/>
        <v>-0.23161258747976379</v>
      </c>
      <c r="L26" s="2">
        <f t="shared" si="2"/>
        <v>-0.26477001803879846</v>
      </c>
      <c r="M26">
        <f>VLOOKUP(A26,[128]WRDS!$A$1:$O$36,8,FALSE)</f>
        <v>16</v>
      </c>
      <c r="N26">
        <f>VLOOKUP(A26,[128]WRDS!$A$1:$O$36,11,FALSE)</f>
        <v>1.17</v>
      </c>
    </row>
    <row r="27" spans="1:14" x14ac:dyDescent="0.3">
      <c r="A27" t="s">
        <v>79</v>
      </c>
      <c r="B27" t="str">
        <f>VLOOKUP(A27,[127]WRDS!$A$1:$N$39,2,FALSE)</f>
        <v>UIL</v>
      </c>
      <c r="C27" t="str">
        <f>VLOOKUP(A27,[127]WRDS!$A$1:$N$39,3,FALSE)</f>
        <v>UTD ILLUM CO</v>
      </c>
      <c r="D27">
        <f>VLOOKUP(A27,[127]WRDS!$A$1:$N$39,13,FALSE)</f>
        <v>3.5939999999999999</v>
      </c>
      <c r="E27">
        <f>VLOOKUP(A27,[111]WRDS!$A$1:$N$40,13,FALSE)</f>
        <v>2.1960000000000002</v>
      </c>
      <c r="F27" s="1">
        <f t="shared" si="3"/>
        <v>3.5939999999999999</v>
      </c>
      <c r="G27" s="1">
        <f t="shared" si="4"/>
        <v>3.5939999999999999</v>
      </c>
      <c r="H27" s="2">
        <f t="shared" si="0"/>
        <v>-0.11587521444673643</v>
      </c>
      <c r="I27" s="2">
        <f>VLOOKUP(A27,[128]WRDS!$A$1:$O$36,10,FALSE)/100</f>
        <v>0</v>
      </c>
      <c r="J27" s="2">
        <f>VLOOKUP(A27,[128]WRDS!$A$1:$O$36,9,FALSE)/100</f>
        <v>0</v>
      </c>
      <c r="K27" s="2">
        <f t="shared" si="1"/>
        <v>1</v>
      </c>
      <c r="L27" s="2">
        <f t="shared" si="2"/>
        <v>1</v>
      </c>
      <c r="M27">
        <f>VLOOKUP(A27,[128]WRDS!$A$1:$O$36,8,FALSE)</f>
        <v>1</v>
      </c>
      <c r="N27">
        <f>VLOOKUP(A27,[128]WRDS!$A$1:$O$36,11,FALSE)</f>
        <v>0</v>
      </c>
    </row>
    <row r="28" spans="1:14" x14ac:dyDescent="0.3">
      <c r="A28" t="s">
        <v>55</v>
      </c>
      <c r="B28" t="str">
        <f>VLOOKUP(A28,[127]WRDS!$A$1:$N$39,2,FALSE)</f>
        <v>WPC</v>
      </c>
      <c r="C28" t="str">
        <f>VLOOKUP(A28,[127]WRDS!$A$1:$N$39,3,FALSE)</f>
        <v>WISCONSIN ENERGY</v>
      </c>
      <c r="D28">
        <f>VLOOKUP(A28,[127]WRDS!$A$1:$N$39,13,FALSE)</f>
        <v>0.85</v>
      </c>
      <c r="E28">
        <f>VLOOKUP(A28,[111]WRDS!$A$1:$N$40,13,FALSE)</f>
        <v>0.94350000000000001</v>
      </c>
      <c r="F28" s="1">
        <f t="shared" si="3"/>
        <v>1.0379115254307223</v>
      </c>
      <c r="G28" s="1">
        <f t="shared" si="4"/>
        <v>1.0530009530312499</v>
      </c>
      <c r="H28" s="2">
        <f t="shared" si="0"/>
        <v>2.6433327247938676E-2</v>
      </c>
      <c r="I28" s="2">
        <f>VLOOKUP(A28,[128]WRDS!$A$1:$O$36,10,FALSE)/100</f>
        <v>5.1200000000000002E-2</v>
      </c>
      <c r="J28" s="2">
        <f>VLOOKUP(A28,[128]WRDS!$A$1:$O$36,9,FALSE)/100</f>
        <v>5.5E-2</v>
      </c>
      <c r="K28" s="2">
        <f t="shared" si="1"/>
        <v>0.93694874352197499</v>
      </c>
      <c r="L28" s="2">
        <f t="shared" si="2"/>
        <v>1.0807066580802465</v>
      </c>
      <c r="M28">
        <f>VLOOKUP(A28,[128]WRDS!$A$1:$O$36,8,FALSE)</f>
        <v>17</v>
      </c>
      <c r="N28">
        <f>VLOOKUP(A28,[128]WRDS!$A$1:$O$36,11,FALSE)</f>
        <v>1.47</v>
      </c>
    </row>
    <row r="29" spans="1:14" x14ac:dyDescent="0.3">
      <c r="A29" t="s">
        <v>134</v>
      </c>
      <c r="B29" t="str">
        <f>VLOOKUP(A29,'[5]Ticker List'!$H$4:$I$20,2,FALSE)</f>
        <v>NJR</v>
      </c>
      <c r="C29" t="str">
        <f>VLOOKUP(A29,[129]kopexrsrcfpypzx0!$B$1:$N$10,2,FALSE)</f>
        <v>NEW JERSEY RES</v>
      </c>
      <c r="D29">
        <f>VLOOKUP(A29,[129]kopexrsrcfpypzx0!$B$1:$N$10,12,FALSE)</f>
        <v>0.37109999999999999</v>
      </c>
      <c r="E29">
        <f>VLOOKUP(A29,'[113]1lbznzhd71s8z1mj'!$B$1:$N$11,12,FALSE)</f>
        <v>0.36890000000000001</v>
      </c>
      <c r="F29" s="1">
        <f t="shared" si="3"/>
        <v>0.48046320580158741</v>
      </c>
      <c r="G29" s="1">
        <f t="shared" si="4"/>
        <v>0.48643639931099997</v>
      </c>
      <c r="H29" s="2">
        <f t="shared" si="0"/>
        <v>-1.4853865856684356E-3</v>
      </c>
      <c r="I29" s="2">
        <f>VLOOKUP(A29,[130]lj3lfczvr3ygtk2v!$B$1:$N$8,9,FALSE)/100</f>
        <v>6.6699999999999995E-2</v>
      </c>
      <c r="J29" s="2">
        <f>VLOOKUP(A29,[130]lj3lfczvr3ygtk2v!$B$1:$N$8,8,FALSE)/100</f>
        <v>7.0000000000000007E-2</v>
      </c>
      <c r="K29" s="2">
        <f t="shared" si="1"/>
        <v>45.904135154811883</v>
      </c>
      <c r="L29" s="2">
        <f t="shared" si="2"/>
        <v>48.12577902304097</v>
      </c>
      <c r="M29">
        <f>VLOOKUP(A29,[130]lj3lfczvr3ygtk2v!$B$1:$N$8,7,FALSE)</f>
        <v>3</v>
      </c>
      <c r="N29">
        <f>VLOOKUP(A29,[130]lj3lfczvr3ygtk2v!$B$1:$N$8,10,FALSE)</f>
        <v>1.53</v>
      </c>
    </row>
    <row r="30" spans="1:14" x14ac:dyDescent="0.3">
      <c r="A30" t="s">
        <v>135</v>
      </c>
      <c r="B30" t="str">
        <f>VLOOKUP(A30,'[5]Ticker List'!$H$4:$I$20,2,FALSE)</f>
        <v>NI</v>
      </c>
      <c r="C30" t="str">
        <f>VLOOKUP(A30,[129]kopexrsrcfpypzx0!$B$1:$N$10,2,FALSE)</f>
        <v>NORTHN IND PUB</v>
      </c>
      <c r="D30">
        <f>VLOOKUP(A30,[129]kopexrsrcfpypzx0!$B$1:$N$10,12,FALSE)</f>
        <v>0.26500000000000001</v>
      </c>
      <c r="E30">
        <f>VLOOKUP(A30,'[113]1lbznzhd71s8z1mj'!$B$1:$N$11,12,FALSE)</f>
        <v>0.96499999999999997</v>
      </c>
      <c r="F30" s="1">
        <f t="shared" si="3"/>
        <v>0.33544100405421839</v>
      </c>
      <c r="G30" s="1">
        <f t="shared" si="4"/>
        <v>0.30527054045824004</v>
      </c>
      <c r="H30" s="2">
        <f t="shared" si="0"/>
        <v>0.38140288873898065</v>
      </c>
      <c r="I30" s="2">
        <f>VLOOKUP(A30,[130]lj3lfczvr3ygtk2v!$B$1:$N$8,9,FALSE)/100</f>
        <v>6.0700000000000004E-2</v>
      </c>
      <c r="J30" s="2">
        <f>VLOOKUP(A30,[130]lj3lfczvr3ygtk2v!$B$1:$N$8,8,FALSE)/100</f>
        <v>3.6000000000000004E-2</v>
      </c>
      <c r="K30" s="2">
        <f t="shared" si="1"/>
        <v>-0.84085070723850486</v>
      </c>
      <c r="L30" s="2">
        <f t="shared" si="2"/>
        <v>-0.90561162208543933</v>
      </c>
      <c r="M30">
        <f>VLOOKUP(A30,[130]lj3lfczvr3ygtk2v!$B$1:$N$8,7,FALSE)</f>
        <v>10</v>
      </c>
      <c r="N30">
        <f>VLOOKUP(A30,[130]lj3lfczvr3ygtk2v!$B$1:$N$8,10,FALSE)</f>
        <v>5.21</v>
      </c>
    </row>
    <row r="31" spans="1:14" x14ac:dyDescent="0.3">
      <c r="A31" t="s">
        <v>138</v>
      </c>
      <c r="B31" t="str">
        <f>VLOOKUP(A31,'[5]Ticker List'!$H$4:$I$20,2,FALSE)</f>
        <v>SJI</v>
      </c>
      <c r="C31" t="str">
        <f>VLOOKUP(A31,[129]kopexrsrcfpypzx0!$B$1:$N$10,2,FALSE)</f>
        <v>SO JERSEY INDS</v>
      </c>
      <c r="D31">
        <f>VLOOKUP(A31,[129]kopexrsrcfpypzx0!$B$1:$N$10,12,FALSE)</f>
        <v>0.39219999999999999</v>
      </c>
      <c r="E31">
        <f>VLOOKUP(A31,'[113]1lbznzhd71s8z1mj'!$B$1:$N$11,12,FALSE)</f>
        <v>0.32100000000000001</v>
      </c>
      <c r="F31" s="1">
        <f t="shared" si="3"/>
        <v>0.47672155124999999</v>
      </c>
      <c r="G31" s="1">
        <f t="shared" si="4"/>
        <v>0.47672155124999999</v>
      </c>
      <c r="H31" s="2">
        <f t="shared" si="0"/>
        <v>-4.8849236692374509E-2</v>
      </c>
      <c r="I31" s="2">
        <f>VLOOKUP(A31,[130]lj3lfczvr3ygtk2v!$B$1:$N$8,9,FALSE)/100</f>
        <v>0.05</v>
      </c>
      <c r="J31" s="2">
        <f>VLOOKUP(A31,[130]lj3lfczvr3ygtk2v!$B$1:$N$8,8,FALSE)/100</f>
        <v>0.05</v>
      </c>
      <c r="K31" s="2">
        <f t="shared" si="1"/>
        <v>2.0235574470666218</v>
      </c>
      <c r="L31" s="2">
        <f t="shared" si="2"/>
        <v>2.0235574470666218</v>
      </c>
      <c r="M31">
        <f>VLOOKUP(A31,[130]lj3lfczvr3ygtk2v!$B$1:$N$8,7,FALSE)</f>
        <v>3</v>
      </c>
      <c r="N31">
        <f>VLOOKUP(A31,[130]lj3lfczvr3ygtk2v!$B$1:$N$8,10,FALSE)</f>
        <v>1</v>
      </c>
    </row>
    <row r="32" spans="1:14" x14ac:dyDescent="0.3">
      <c r="A32" t="s">
        <v>144</v>
      </c>
      <c r="B32" t="str">
        <f>VLOOKUP(A32,'[5]Ticker List'!$H$4:$I$20,2,FALSE)</f>
        <v>GAS</v>
      </c>
      <c r="C32" t="str">
        <f>VLOOKUP(A32,[129]kopexrsrcfpypzx0!$B$1:$N$10,2,FALSE)</f>
        <v>NICOR INC</v>
      </c>
      <c r="D32">
        <f>VLOOKUP(A32,[129]kopexrsrcfpypzx0!$B$1:$N$10,12,FALSE)</f>
        <v>1.34</v>
      </c>
      <c r="E32">
        <f>VLOOKUP(A32,'[113]1lbznzhd71s8z1mj'!$B$1:$N$11,12,FALSE)</f>
        <v>1.855</v>
      </c>
      <c r="F32" s="1">
        <f t="shared" si="3"/>
        <v>1.6201089151979156</v>
      </c>
      <c r="G32" s="1">
        <f t="shared" si="4"/>
        <v>1.628778375</v>
      </c>
      <c r="H32" s="2">
        <f t="shared" si="0"/>
        <v>8.4700346518436387E-2</v>
      </c>
      <c r="I32" s="2">
        <f>VLOOKUP(A32,[130]lj3lfczvr3ygtk2v!$B$1:$N$8,9,FALSE)/100</f>
        <v>4.8600000000000004E-2</v>
      </c>
      <c r="J32" s="2">
        <f>VLOOKUP(A32,[130]lj3lfczvr3ygtk2v!$B$1:$N$8,8,FALSE)/100</f>
        <v>0.05</v>
      </c>
      <c r="K32" s="2">
        <f t="shared" si="1"/>
        <v>-0.42621250092027146</v>
      </c>
      <c r="L32" s="2">
        <f t="shared" si="2"/>
        <v>-0.40968364292209003</v>
      </c>
      <c r="M32">
        <f>VLOOKUP(A32,[130]lj3lfczvr3ygtk2v!$B$1:$N$8,7,FALSE)</f>
        <v>7</v>
      </c>
      <c r="N32">
        <f>VLOOKUP(A32,[130]lj3lfczvr3ygtk2v!$B$1:$N$8,10,FALSE)</f>
        <v>1.95</v>
      </c>
    </row>
    <row r="33" spans="1:14" x14ac:dyDescent="0.3">
      <c r="A33" t="s">
        <v>145</v>
      </c>
      <c r="B33" t="str">
        <f>VLOOKUP(A33,'[5]Ticker List'!$H$4:$I$20,2,FALSE)</f>
        <v>WGL</v>
      </c>
      <c r="C33" t="str">
        <f>VLOOKUP(A33,[129]kopexrsrcfpypzx0!$B$1:$N$10,2,FALSE)</f>
        <v>WASH GAS LT</v>
      </c>
      <c r="D33">
        <f>VLOOKUP(A33,[129]kopexrsrcfpypzx0!$B$1:$N$10,12,FALSE)</f>
        <v>1.135</v>
      </c>
      <c r="E33">
        <f>VLOOKUP(A33,'[113]1lbznzhd71s8z1mj'!$B$1:$N$11,12,FALSE)</f>
        <v>1.27</v>
      </c>
      <c r="F33" s="1">
        <f t="shared" si="3"/>
        <v>1.4329113496000003</v>
      </c>
      <c r="G33" s="1">
        <f t="shared" si="4"/>
        <v>1.4329113496000003</v>
      </c>
      <c r="H33" s="2">
        <f t="shared" si="0"/>
        <v>2.8494479308017517E-2</v>
      </c>
      <c r="I33" s="2">
        <f>VLOOKUP(A33,[130]lj3lfczvr3ygtk2v!$B$1:$N$8,9,FALSE)/100</f>
        <v>0.06</v>
      </c>
      <c r="J33" s="2">
        <f>VLOOKUP(A33,[130]lj3lfczvr3ygtk2v!$B$1:$N$8,8,FALSE)/100</f>
        <v>0.06</v>
      </c>
      <c r="K33" s="2">
        <f t="shared" si="1"/>
        <v>1.1056710442544477</v>
      </c>
      <c r="L33" s="2">
        <f t="shared" si="2"/>
        <v>1.1056710442544477</v>
      </c>
      <c r="M33">
        <f>VLOOKUP(A33,[130]lj3lfczvr3ygtk2v!$B$1:$N$8,7,FALSE)</f>
        <v>4</v>
      </c>
      <c r="N33">
        <f>VLOOKUP(A33,[130]lj3lfczvr3ygtk2v!$B$1:$N$8,10,FALSE)</f>
        <v>2.31</v>
      </c>
    </row>
    <row r="34" spans="1:14" x14ac:dyDescent="0.3">
      <c r="A34" t="s">
        <v>149</v>
      </c>
      <c r="B34" t="str">
        <f>VLOOKUP(A34,'[5]Ticker List'!$H$4:$I$20,2,FALSE)</f>
        <v>CGC</v>
      </c>
      <c r="C34" t="str">
        <f>VLOOKUP(A34,[129]kopexrsrcfpypzx0!$B$1:$N$10,2,FALSE)</f>
        <v>CASCADE NAT GAS</v>
      </c>
      <c r="D34">
        <f>VLOOKUP(A34,[129]kopexrsrcfpypzx0!$B$1:$N$10,12,FALSE)</f>
        <v>0.64</v>
      </c>
      <c r="E34">
        <f>VLOOKUP(A34,'[113]1lbznzhd71s8z1mj'!$B$1:$N$11,12,FALSE)</f>
        <v>1.1399999999999999</v>
      </c>
      <c r="F34" s="1">
        <f t="shared" si="3"/>
        <v>0.77792400000000006</v>
      </c>
      <c r="G34" s="1">
        <f t="shared" si="4"/>
        <v>0.77792400000000006</v>
      </c>
      <c r="H34" s="2">
        <f t="shared" si="0"/>
        <v>0.15526394451827064</v>
      </c>
      <c r="I34" s="2">
        <f>VLOOKUP(A34,[130]lj3lfczvr3ygtk2v!$B$1:$N$8,9,FALSE)/100</f>
        <v>0.05</v>
      </c>
      <c r="J34" s="2">
        <f>VLOOKUP(A34,[130]lj3lfczvr3ygtk2v!$B$1:$N$8,8,FALSE)/100</f>
        <v>0.05</v>
      </c>
      <c r="K34" s="2">
        <f t="shared" si="1"/>
        <v>-0.67796773323560466</v>
      </c>
      <c r="L34" s="2">
        <f t="shared" si="2"/>
        <v>-0.67796773323560466</v>
      </c>
      <c r="M34">
        <f>VLOOKUP(A34,[130]lj3lfczvr3ygtk2v!$B$1:$N$8,7,FALSE)</f>
        <v>1</v>
      </c>
      <c r="N34">
        <f>VLOOKUP(A34,[130]lj3lfczvr3ygtk2v!$B$1:$N$8,10,FALSE)</f>
        <v>0</v>
      </c>
    </row>
  </sheetData>
  <mergeCells count="3">
    <mergeCell ref="P1:Q1"/>
    <mergeCell ref="P7:Q7"/>
    <mergeCell ref="P13:Q13"/>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5085B-C193-401F-B92E-5BC6E055A55D}">
  <dimension ref="A1:Q31"/>
  <sheetViews>
    <sheetView workbookViewId="0">
      <selection activeCell="A24" sqref="A24"/>
    </sheetView>
  </sheetViews>
  <sheetFormatPr defaultRowHeight="14.4" x14ac:dyDescent="0.3"/>
  <cols>
    <col min="1" max="1" width="13.33203125" bestFit="1" customWidth="1"/>
    <col min="2" max="2" width="10.44140625" bestFit="1" customWidth="1"/>
    <col min="3" max="3" width="15.109375" bestFit="1" customWidth="1"/>
    <col min="4" max="5" width="15.44140625" bestFit="1" customWidth="1"/>
    <col min="6" max="6" width="14.33203125" bestFit="1" customWidth="1"/>
    <col min="7" max="7" width="16" bestFit="1" customWidth="1"/>
    <col min="8" max="8" width="18.33203125" bestFit="1" customWidth="1"/>
    <col min="9" max="9" width="21.44140625" bestFit="1" customWidth="1"/>
    <col min="10" max="10" width="23.109375" bestFit="1" customWidth="1"/>
    <col min="11" max="11" width="22" bestFit="1" customWidth="1"/>
    <col min="12" max="12" width="24.109375" bestFit="1" customWidth="1"/>
    <col min="13" max="13" width="19.88671875" bestFit="1" customWidth="1"/>
    <col min="14" max="14" width="8.33203125" bestFit="1" customWidth="1"/>
    <col min="16" max="16" width="50" bestFit="1" customWidth="1"/>
    <col min="17" max="17" width="20.44140625" bestFit="1" customWidth="1"/>
  </cols>
  <sheetData>
    <row r="1" spans="1:17" x14ac:dyDescent="0.3">
      <c r="A1" t="s">
        <v>0</v>
      </c>
      <c r="B1" t="s">
        <v>1</v>
      </c>
      <c r="C1" t="s">
        <v>2</v>
      </c>
      <c r="D1" t="s">
        <v>111</v>
      </c>
      <c r="E1" t="s">
        <v>107</v>
      </c>
      <c r="F1" t="s">
        <v>5</v>
      </c>
      <c r="G1" t="s">
        <v>6</v>
      </c>
      <c r="H1" t="s">
        <v>7</v>
      </c>
      <c r="I1" t="s">
        <v>8</v>
      </c>
      <c r="J1" t="s">
        <v>9</v>
      </c>
      <c r="K1" t="s">
        <v>10</v>
      </c>
      <c r="L1" t="s">
        <v>11</v>
      </c>
      <c r="M1" t="s">
        <v>12</v>
      </c>
      <c r="N1" t="s">
        <v>13</v>
      </c>
      <c r="P1" s="111" t="s">
        <v>14</v>
      </c>
      <c r="Q1" s="111"/>
    </row>
    <row r="2" spans="1:17" x14ac:dyDescent="0.3">
      <c r="A2" t="s">
        <v>19</v>
      </c>
      <c r="B2" t="str">
        <f>VLOOKUP(A2,[115]WRDS!$A$1:$N$39,2,FALSE)</f>
        <v>BHP</v>
      </c>
      <c r="C2" t="str">
        <f>VLOOKUP(A2,[115]WRDS!$A$1:$N$39,3,FALSE)</f>
        <v>BLACK HILLS CORP</v>
      </c>
      <c r="D2">
        <f>VLOOKUP(A2,[131]WRDS!$A$1:$N$38,13,FALSE)</f>
        <v>0.73780000000000001</v>
      </c>
      <c r="E2">
        <f>VLOOKUP(A2,[115]WRDS!$A$1:$N$39,13,FALSE)</f>
        <v>1.1200000000000001</v>
      </c>
      <c r="F2" s="1">
        <f>D2*(1+I2)^4</f>
        <v>1.0037687546880003</v>
      </c>
      <c r="G2" s="1">
        <f>D2*(1+J2)^4</f>
        <v>1.0037687546880003</v>
      </c>
      <c r="H2" s="2">
        <f t="shared" ref="H2:H31" si="0">((E2/D2)^(1/4)-1)</f>
        <v>0.10999198522664777</v>
      </c>
      <c r="I2" s="2">
        <f>VLOOKUP(A2,[132]WRDS!$A$1:$O$33,10,FALSE)/100</f>
        <v>0.08</v>
      </c>
      <c r="J2" s="2">
        <f>VLOOKUP(A2,[132]WRDS!$A$1:$O$33,9,FALSE)/100</f>
        <v>0.08</v>
      </c>
      <c r="K2" s="2">
        <f t="shared" ref="K2:K31" si="1">(I2-H2)/(ABS(H2))</f>
        <v>-0.27267427862899968</v>
      </c>
      <c r="L2" s="2">
        <f t="shared" ref="L2:L31" si="2">(J2-H2)/(ABS(H2))</f>
        <v>-0.27267427862899968</v>
      </c>
      <c r="M2">
        <f>VLOOKUP(A2,[132]WRDS!$A$1:$O$33,8,FALSE)</f>
        <v>2</v>
      </c>
      <c r="N2">
        <f>VLOOKUP(A2,[132]WRDS!$A$1:$O$33,11,FALSE)</f>
        <v>1.41</v>
      </c>
      <c r="P2" t="s">
        <v>16</v>
      </c>
      <c r="Q2" s="3">
        <f>AVERAGE(H2:H999)</f>
        <v>3.7304137434383614E-2</v>
      </c>
    </row>
    <row r="3" spans="1:17" x14ac:dyDescent="0.3">
      <c r="A3" t="s">
        <v>88</v>
      </c>
      <c r="B3" t="str">
        <f>VLOOKUP(A3,[115]WRDS!$A$1:$N$39,2,FALSE)</f>
        <v>CIN</v>
      </c>
      <c r="C3" t="str">
        <f>VLOOKUP(A3,[115]WRDS!$A$1:$N$39,3,FALSE)</f>
        <v>CINN GAS &amp; EL</v>
      </c>
      <c r="D3">
        <f>VLOOKUP(A3,[131]WRDS!$A$1:$N$38,13,FALSE)</f>
        <v>2.2532999999999999</v>
      </c>
      <c r="E3">
        <f>VLOOKUP(A3,[115]WRDS!$A$1:$N$39,13,FALSE)</f>
        <v>2.74</v>
      </c>
      <c r="F3" s="1">
        <f t="shared" ref="F3:F31" si="3">D3*(1+I3)^4</f>
        <v>2.5154893382661658</v>
      </c>
      <c r="G3" s="1">
        <f t="shared" ref="G3:G31" si="4">D3*(1+J3)^4</f>
        <v>2.5361090015729997</v>
      </c>
      <c r="H3" s="2">
        <f t="shared" si="0"/>
        <v>5.0105387316331074E-2</v>
      </c>
      <c r="I3" s="2">
        <f>VLOOKUP(A3,[132]WRDS!$A$1:$O$33,10,FALSE)/100</f>
        <v>2.7900000000000001E-2</v>
      </c>
      <c r="J3" s="2">
        <f>VLOOKUP(A3,[132]WRDS!$A$1:$O$33,9,FALSE)/100</f>
        <v>0.03</v>
      </c>
      <c r="K3" s="2">
        <f t="shared" si="1"/>
        <v>-0.44317364869652592</v>
      </c>
      <c r="L3" s="2">
        <f t="shared" si="2"/>
        <v>-0.40126198784572681</v>
      </c>
      <c r="M3">
        <f>VLOOKUP(A3,[132]WRDS!$A$1:$O$33,8,FALSE)</f>
        <v>12</v>
      </c>
      <c r="N3">
        <f>VLOOKUP(A3,[132]WRDS!$A$1:$O$33,11,FALSE)</f>
        <v>1.63</v>
      </c>
      <c r="P3" t="s">
        <v>18</v>
      </c>
      <c r="Q3" s="3">
        <f>AVERAGE(I2:I999)</f>
        <v>4.5056666666666662E-2</v>
      </c>
    </row>
    <row r="4" spans="1:17" x14ac:dyDescent="0.3">
      <c r="A4" t="s">
        <v>21</v>
      </c>
      <c r="B4" t="str">
        <f>VLOOKUP(A4,[115]WRDS!$A$1:$N$39,2,FALSE)</f>
        <v>CMS</v>
      </c>
      <c r="C4" t="str">
        <f>VLOOKUP(A4,[115]WRDS!$A$1:$N$39,3,FALSE)</f>
        <v>CMS ENERGY CORP</v>
      </c>
      <c r="D4">
        <f>VLOOKUP(A4,[131]WRDS!$A$1:$N$38,13,FALSE)</f>
        <v>0.74</v>
      </c>
      <c r="E4">
        <f>VLOOKUP(A4,[115]WRDS!$A$1:$N$39,13,FALSE)</f>
        <v>3.45</v>
      </c>
      <c r="F4" s="1">
        <f t="shared" si="3"/>
        <v>1.0255354384624999</v>
      </c>
      <c r="G4" s="1">
        <f t="shared" si="4"/>
        <v>0.83287651939999996</v>
      </c>
      <c r="H4" s="2">
        <f t="shared" si="0"/>
        <v>0.46942303560106313</v>
      </c>
      <c r="I4" s="2">
        <f>VLOOKUP(A4,[132]WRDS!$A$1:$O$33,10,FALSE)/100</f>
        <v>8.5000000000000006E-2</v>
      </c>
      <c r="J4" s="2">
        <f>VLOOKUP(A4,[132]WRDS!$A$1:$O$33,9,FALSE)/100</f>
        <v>0.03</v>
      </c>
      <c r="K4" s="2">
        <f t="shared" si="1"/>
        <v>-0.81892665345840243</v>
      </c>
      <c r="L4" s="2">
        <f t="shared" si="2"/>
        <v>-0.93609176004414196</v>
      </c>
      <c r="M4">
        <f>VLOOKUP(A4,[132]WRDS!$A$1:$O$33,8,FALSE)</f>
        <v>9</v>
      </c>
      <c r="N4">
        <f>VLOOKUP(A4,[132]WRDS!$A$1:$O$33,11,FALSE)</f>
        <v>16.920000000000002</v>
      </c>
      <c r="P4" t="s">
        <v>20</v>
      </c>
      <c r="Q4" s="3">
        <f>(Q3-Q2)/ABS(Q2)</f>
        <v>0.20781955475902414</v>
      </c>
    </row>
    <row r="5" spans="1:17" x14ac:dyDescent="0.3">
      <c r="A5" t="s">
        <v>71</v>
      </c>
      <c r="B5" t="str">
        <f>VLOOKUP(A5,[115]WRDS!$A$1:$N$39,2,FALSE)</f>
        <v>CNL</v>
      </c>
      <c r="C5" t="str">
        <f>VLOOKUP(A5,[115]WRDS!$A$1:$N$39,3,FALSE)</f>
        <v>CENT LA ELEC INC</v>
      </c>
      <c r="D5">
        <f>VLOOKUP(A5,[131]WRDS!$A$1:$N$38,13,FALSE)</f>
        <v>0.80500000000000005</v>
      </c>
      <c r="E5">
        <f>VLOOKUP(A5,[115]WRDS!$A$1:$N$39,13,FALSE)</f>
        <v>0.92749999999999999</v>
      </c>
      <c r="F5" s="1">
        <f t="shared" si="3"/>
        <v>0.90181966796426427</v>
      </c>
      <c r="G5" s="1">
        <f t="shared" si="4"/>
        <v>0.90603459205000003</v>
      </c>
      <c r="H5" s="2">
        <f t="shared" si="0"/>
        <v>3.6047123975609052E-2</v>
      </c>
      <c r="I5" s="2">
        <f>VLOOKUP(A5,[132]WRDS!$A$1:$O$33,10,FALSE)/100</f>
        <v>2.8799999999999999E-2</v>
      </c>
      <c r="J5" s="2">
        <f>VLOOKUP(A5,[132]WRDS!$A$1:$O$33,9,FALSE)/100</f>
        <v>0.03</v>
      </c>
      <c r="K5" s="2">
        <f t="shared" si="1"/>
        <v>-0.20104583046660676</v>
      </c>
      <c r="L5" s="2">
        <f t="shared" si="2"/>
        <v>-0.16775607340271537</v>
      </c>
      <c r="M5">
        <f>VLOOKUP(A5,[132]WRDS!$A$1:$O$33,8,FALSE)</f>
        <v>4</v>
      </c>
      <c r="N5">
        <f>VLOOKUP(A5,[132]WRDS!$A$1:$O$33,11,FALSE)</f>
        <v>1.44</v>
      </c>
      <c r="P5" t="s">
        <v>22</v>
      </c>
      <c r="Q5" s="3">
        <f>AVERAGE(J2:J999)</f>
        <v>4.1066666666666682E-2</v>
      </c>
    </row>
    <row r="6" spans="1:17" x14ac:dyDescent="0.3">
      <c r="A6" t="s">
        <v>84</v>
      </c>
      <c r="B6" t="str">
        <f>VLOOKUP(A6,[115]WRDS!$A$1:$N$39,2,FALSE)</f>
        <v>CV</v>
      </c>
      <c r="C6" t="str">
        <f>VLOOKUP(A6,[115]WRDS!$A$1:$N$39,3,FALSE)</f>
        <v>CNTRL VT PUB SVC</v>
      </c>
      <c r="D6">
        <f>VLOOKUP(A6,[131]WRDS!$A$1:$N$38,13,FALSE)</f>
        <v>2.3866999999999998</v>
      </c>
      <c r="E6">
        <f>VLOOKUP(A6,[115]WRDS!$A$1:$N$39,13,FALSE)</f>
        <v>1.56</v>
      </c>
      <c r="F6" s="1">
        <f t="shared" si="3"/>
        <v>2.4836095906669997</v>
      </c>
      <c r="G6" s="1">
        <f t="shared" si="4"/>
        <v>2.4836095906669997</v>
      </c>
      <c r="H6" s="2">
        <f t="shared" si="0"/>
        <v>-0.10085094679145667</v>
      </c>
      <c r="I6" s="2">
        <f>VLOOKUP(A6,[132]WRDS!$A$1:$O$33,10,FALSE)/100</f>
        <v>0.01</v>
      </c>
      <c r="J6" s="2">
        <f>VLOOKUP(A6,[132]WRDS!$A$1:$O$33,9,FALSE)/100</f>
        <v>0.01</v>
      </c>
      <c r="K6" s="2">
        <f t="shared" si="1"/>
        <v>1.0991562332149283</v>
      </c>
      <c r="L6" s="2">
        <f t="shared" si="2"/>
        <v>1.0991562332149283</v>
      </c>
      <c r="M6">
        <f>VLOOKUP(A6,[132]WRDS!$A$1:$O$33,8,FALSE)</f>
        <v>1</v>
      </c>
      <c r="N6">
        <f>VLOOKUP(A6,[132]WRDS!$A$1:$O$33,11,FALSE)</f>
        <v>0</v>
      </c>
      <c r="P6" t="s">
        <v>24</v>
      </c>
      <c r="Q6" s="3">
        <f>(Q5-Q2)/ABS(Q2)</f>
        <v>0.10086090956803911</v>
      </c>
    </row>
    <row r="7" spans="1:17" x14ac:dyDescent="0.3">
      <c r="A7" t="s">
        <v>25</v>
      </c>
      <c r="B7" t="str">
        <f>VLOOKUP(A7,[115]WRDS!$A$1:$N$39,2,FALSE)</f>
        <v>D</v>
      </c>
      <c r="C7" t="str">
        <f>VLOOKUP(A7,[115]WRDS!$A$1:$N$39,3,FALSE)</f>
        <v>DOMINION RES INC</v>
      </c>
      <c r="D7">
        <f>VLOOKUP(A7,[131]WRDS!$A$1:$N$38,13,FALSE)</f>
        <v>1.3232999999999999</v>
      </c>
      <c r="E7">
        <f>VLOOKUP(A7,[115]WRDS!$A$1:$N$39,13,FALSE)</f>
        <v>1.38</v>
      </c>
      <c r="F7" s="1">
        <f t="shared" si="3"/>
        <v>1.5944323162446044</v>
      </c>
      <c r="G7" s="1">
        <f t="shared" si="4"/>
        <v>1.6084794206249999</v>
      </c>
      <c r="H7" s="2">
        <f t="shared" si="0"/>
        <v>1.0543920044639554E-2</v>
      </c>
      <c r="I7" s="2">
        <f>VLOOKUP(A7,[132]WRDS!$A$1:$O$33,10,FALSE)/100</f>
        <v>4.7699999999999992E-2</v>
      </c>
      <c r="J7" s="2">
        <f>VLOOKUP(A7,[132]WRDS!$A$1:$O$33,9,FALSE)/100</f>
        <v>0.05</v>
      </c>
      <c r="K7" s="2">
        <f t="shared" si="1"/>
        <v>3.5239341533370498</v>
      </c>
      <c r="L7" s="2">
        <f t="shared" si="2"/>
        <v>3.7420693431205985</v>
      </c>
      <c r="M7">
        <f>VLOOKUP(A7,[132]WRDS!$A$1:$O$33,8,FALSE)</f>
        <v>18</v>
      </c>
      <c r="N7">
        <f>VLOOKUP(A7,[132]WRDS!$A$1:$O$33,11,FALSE)</f>
        <v>0.78</v>
      </c>
      <c r="P7" s="111" t="s">
        <v>26</v>
      </c>
      <c r="Q7" s="111"/>
    </row>
    <row r="8" spans="1:17" x14ac:dyDescent="0.3">
      <c r="A8" t="s">
        <v>86</v>
      </c>
      <c r="B8" t="str">
        <f>VLOOKUP(A8,[115]WRDS!$A$1:$N$39,2,FALSE)</f>
        <v>DPL</v>
      </c>
      <c r="C8" t="str">
        <f>VLOOKUP(A8,[115]WRDS!$A$1:$N$39,3,FALSE)</f>
        <v>DPL INC</v>
      </c>
      <c r="D8">
        <f>VLOOKUP(A8,[131]WRDS!$A$1:$N$38,13,FALSE)</f>
        <v>0.90359999999999996</v>
      </c>
      <c r="E8">
        <f>VLOOKUP(A8,[115]WRDS!$A$1:$N$39,13,FALSE)</f>
        <v>0.99129999999999996</v>
      </c>
      <c r="F8" s="1">
        <f t="shared" si="3"/>
        <v>1.0225504178711049</v>
      </c>
      <c r="G8" s="1">
        <f t="shared" si="4"/>
        <v>1.0170097607159998</v>
      </c>
      <c r="H8" s="2">
        <f t="shared" si="0"/>
        <v>2.3427826340194136E-2</v>
      </c>
      <c r="I8" s="2">
        <f>VLOOKUP(A8,[132]WRDS!$A$1:$O$33,10,FALSE)/100</f>
        <v>3.1400000000000004E-2</v>
      </c>
      <c r="J8" s="2">
        <f>VLOOKUP(A8,[132]WRDS!$A$1:$O$33,9,FALSE)/100</f>
        <v>0.03</v>
      </c>
      <c r="K8" s="2">
        <f t="shared" si="1"/>
        <v>0.34028652697191741</v>
      </c>
      <c r="L8" s="2">
        <f t="shared" si="2"/>
        <v>0.280528528954061</v>
      </c>
      <c r="M8">
        <f>VLOOKUP(A8,[132]WRDS!$A$1:$O$33,8,FALSE)</f>
        <v>7</v>
      </c>
      <c r="N8">
        <f>VLOOKUP(A8,[132]WRDS!$A$1:$O$33,11,FALSE)</f>
        <v>0.9</v>
      </c>
      <c r="P8" t="s">
        <v>28</v>
      </c>
      <c r="Q8" s="2">
        <f>MEDIAN(H2:H99)</f>
        <v>2.284730487205211E-2</v>
      </c>
    </row>
    <row r="9" spans="1:17" x14ac:dyDescent="0.3">
      <c r="A9" t="s">
        <v>27</v>
      </c>
      <c r="B9" t="str">
        <f>VLOOKUP(A9,[115]WRDS!$A$1:$N$39,2,FALSE)</f>
        <v>DTE</v>
      </c>
      <c r="C9" t="str">
        <f>VLOOKUP(A9,[115]WRDS!$A$1:$N$39,3,FALSE)</f>
        <v>DETROIT EDISON</v>
      </c>
      <c r="D9">
        <f>VLOOKUP(A9,[131]WRDS!$A$1:$N$38,13,FALSE)</f>
        <v>2.58</v>
      </c>
      <c r="E9">
        <f>VLOOKUP(A9,[115]WRDS!$A$1:$N$39,13,FALSE)</f>
        <v>3.27</v>
      </c>
      <c r="F9" s="1">
        <f t="shared" si="3"/>
        <v>2.8157445948898867</v>
      </c>
      <c r="G9" s="1">
        <f t="shared" si="4"/>
        <v>2.7926749728</v>
      </c>
      <c r="H9" s="2">
        <f t="shared" si="0"/>
        <v>6.1040623138310046E-2</v>
      </c>
      <c r="I9" s="2">
        <f>VLOOKUP(A9,[132]WRDS!$A$1:$O$33,10,FALSE)/100</f>
        <v>2.2099999999999998E-2</v>
      </c>
      <c r="J9" s="2">
        <f>VLOOKUP(A9,[132]WRDS!$A$1:$O$33,9,FALSE)/100</f>
        <v>0.02</v>
      </c>
      <c r="K9" s="2">
        <f t="shared" si="1"/>
        <v>-0.63794602899245811</v>
      </c>
      <c r="L9" s="2">
        <f t="shared" si="2"/>
        <v>-0.67234934750448683</v>
      </c>
      <c r="M9">
        <f>VLOOKUP(A9,[132]WRDS!$A$1:$O$33,8,FALSE)</f>
        <v>13</v>
      </c>
      <c r="N9">
        <f>VLOOKUP(A9,[132]WRDS!$A$1:$O$33,11,FALSE)</f>
        <v>1.57</v>
      </c>
      <c r="P9" t="s">
        <v>30</v>
      </c>
      <c r="Q9" s="2">
        <f>MEDIAN(I2:I100)</f>
        <v>4.2400000000000007E-2</v>
      </c>
    </row>
    <row r="10" spans="1:17" x14ac:dyDescent="0.3">
      <c r="A10" t="s">
        <v>29</v>
      </c>
      <c r="B10" t="str">
        <f>VLOOKUP(A10,[115]WRDS!$A$1:$N$39,2,FALSE)</f>
        <v>DUK</v>
      </c>
      <c r="C10" t="str">
        <f>VLOOKUP(A10,[115]WRDS!$A$1:$N$39,3,FALSE)</f>
        <v>DUKE POWER CO</v>
      </c>
      <c r="D10">
        <f>VLOOKUP(A10,[131]WRDS!$A$1:$N$38,13,FALSE)</f>
        <v>3.03</v>
      </c>
      <c r="E10">
        <f>VLOOKUP(A10,[115]WRDS!$A$1:$N$39,13,FALSE)</f>
        <v>3.6150000000000002</v>
      </c>
      <c r="F10" s="1">
        <f t="shared" si="3"/>
        <v>3.7593346519652875</v>
      </c>
      <c r="G10" s="1">
        <f t="shared" si="4"/>
        <v>3.7536386913937489</v>
      </c>
      <c r="H10" s="2">
        <f t="shared" si="0"/>
        <v>4.5120624629170658E-2</v>
      </c>
      <c r="I10" s="2">
        <f>VLOOKUP(A10,[132]WRDS!$A$1:$O$33,10,FALSE)/100</f>
        <v>5.5399999999999998E-2</v>
      </c>
      <c r="J10" s="2">
        <f>VLOOKUP(A10,[132]WRDS!$A$1:$O$33,9,FALSE)/100</f>
        <v>5.5E-2</v>
      </c>
      <c r="K10" s="2">
        <f t="shared" si="1"/>
        <v>0.22781988182370339</v>
      </c>
      <c r="L10" s="2">
        <f t="shared" si="2"/>
        <v>0.2189547563231713</v>
      </c>
      <c r="M10">
        <f>VLOOKUP(A10,[132]WRDS!$A$1:$O$33,8,FALSE)</f>
        <v>17</v>
      </c>
      <c r="N10">
        <f>VLOOKUP(A10,[132]WRDS!$A$1:$O$33,11,FALSE)</f>
        <v>1.18</v>
      </c>
      <c r="P10" t="s">
        <v>32</v>
      </c>
      <c r="Q10" s="2">
        <f>(Q9-Q8)/ABS(Q8)</f>
        <v>0.85579875777232994</v>
      </c>
    </row>
    <row r="11" spans="1:17" x14ac:dyDescent="0.3">
      <c r="A11" t="s">
        <v>31</v>
      </c>
      <c r="B11" t="str">
        <f>VLOOKUP(A11,[115]WRDS!$A$1:$N$39,2,FALSE)</f>
        <v>ED</v>
      </c>
      <c r="C11" t="str">
        <f>VLOOKUP(A11,[115]WRDS!$A$1:$N$39,3,FALSE)</f>
        <v>CONSOL EDISON</v>
      </c>
      <c r="D11">
        <f>VLOOKUP(A11,[131]WRDS!$A$1:$N$38,13,FALSE)</f>
        <v>2.13</v>
      </c>
      <c r="E11">
        <f>VLOOKUP(A11,[115]WRDS!$A$1:$N$39,13,FALSE)</f>
        <v>2.335</v>
      </c>
      <c r="F11" s="1">
        <f t="shared" si="3"/>
        <v>2.6257146279564347</v>
      </c>
      <c r="G11" s="1">
        <f t="shared" si="4"/>
        <v>2.5890283125</v>
      </c>
      <c r="H11" s="2">
        <f t="shared" si="0"/>
        <v>2.3238377439447788E-2</v>
      </c>
      <c r="I11" s="2">
        <f>VLOOKUP(A11,[132]WRDS!$A$1:$O$33,10,FALSE)/100</f>
        <v>5.3699999999999998E-2</v>
      </c>
      <c r="J11" s="2">
        <f>VLOOKUP(A11,[132]WRDS!$A$1:$O$33,9,FALSE)/100</f>
        <v>0.05</v>
      </c>
      <c r="K11" s="2">
        <f t="shared" si="1"/>
        <v>1.3108325931931359</v>
      </c>
      <c r="L11" s="2">
        <f t="shared" si="2"/>
        <v>1.1516132152636276</v>
      </c>
      <c r="M11">
        <f>VLOOKUP(A11,[132]WRDS!$A$1:$O$33,8,FALSE)</f>
        <v>15</v>
      </c>
      <c r="N11">
        <f>VLOOKUP(A11,[132]WRDS!$A$1:$O$33,11,FALSE)</f>
        <v>1.77</v>
      </c>
      <c r="P11" t="s">
        <v>34</v>
      </c>
      <c r="Q11" s="2">
        <f>MEDIAN(J2:J99)</f>
        <v>0.04</v>
      </c>
    </row>
    <row r="12" spans="1:17" x14ac:dyDescent="0.3">
      <c r="A12" t="s">
        <v>72</v>
      </c>
      <c r="B12" t="str">
        <f>VLOOKUP(A12,[115]WRDS!$A$1:$N$39,2,FALSE)</f>
        <v>EDE</v>
      </c>
      <c r="C12" t="str">
        <f>VLOOKUP(A12,[115]WRDS!$A$1:$N$39,3,FALSE)</f>
        <v>EMPIRE DIST ELEC</v>
      </c>
      <c r="D12">
        <f>VLOOKUP(A12,[131]WRDS!$A$1:$N$38,13,FALSE)</f>
        <v>1.43</v>
      </c>
      <c r="E12">
        <f>VLOOKUP(A12,[115]WRDS!$A$1:$N$39,13,FALSE)</f>
        <v>1.155</v>
      </c>
      <c r="F12" s="1">
        <f t="shared" si="3"/>
        <v>1.8744382943</v>
      </c>
      <c r="G12" s="1">
        <f t="shared" si="4"/>
        <v>1.7381739375</v>
      </c>
      <c r="H12" s="2">
        <f t="shared" si="0"/>
        <v>-5.1993125408408725E-2</v>
      </c>
      <c r="I12" s="2">
        <f>VLOOKUP(A12,[132]WRDS!$A$1:$O$33,10,FALSE)/100</f>
        <v>7.0000000000000007E-2</v>
      </c>
      <c r="J12" s="2">
        <f>VLOOKUP(A12,[132]WRDS!$A$1:$O$33,9,FALSE)/100</f>
        <v>0.05</v>
      </c>
      <c r="K12" s="2">
        <f t="shared" si="1"/>
        <v>2.3463318361830789</v>
      </c>
      <c r="L12" s="2">
        <f t="shared" si="2"/>
        <v>1.9616655972736277</v>
      </c>
      <c r="M12">
        <f>VLOOKUP(A12,[132]WRDS!$A$1:$O$33,8,FALSE)</f>
        <v>3</v>
      </c>
      <c r="N12">
        <f>VLOOKUP(A12,[132]WRDS!$A$1:$O$33,11,FALSE)</f>
        <v>6.25</v>
      </c>
      <c r="P12" t="s">
        <v>32</v>
      </c>
      <c r="Q12" s="2">
        <f>(Q11-Q8)/ABS(Q8)</f>
        <v>0.75075354506823555</v>
      </c>
    </row>
    <row r="13" spans="1:17" x14ac:dyDescent="0.3">
      <c r="A13" t="s">
        <v>36</v>
      </c>
      <c r="B13" t="str">
        <f>VLOOKUP(A13,[115]WRDS!$A$1:$N$39,2,FALSE)</f>
        <v>HE</v>
      </c>
      <c r="C13" t="str">
        <f>VLOOKUP(A13,[115]WRDS!$A$1:$N$39,3,FALSE)</f>
        <v>HAWAIIAN ELEC</v>
      </c>
      <c r="D13">
        <f>VLOOKUP(A13,[131]WRDS!$A$1:$N$38,13,FALSE)</f>
        <v>1.2849999999999999</v>
      </c>
      <c r="E13">
        <f>VLOOKUP(A13,[115]WRDS!$A$1:$N$39,13,FALSE)</f>
        <v>1.28</v>
      </c>
      <c r="F13" s="1">
        <f t="shared" si="3"/>
        <v>1.548876191643846</v>
      </c>
      <c r="G13" s="1">
        <f t="shared" si="4"/>
        <v>1.5471030924408209</v>
      </c>
      <c r="H13" s="2">
        <f t="shared" si="0"/>
        <v>-9.7418527703263535E-4</v>
      </c>
      <c r="I13" s="2">
        <f>VLOOKUP(A13,[132]WRDS!$A$1:$O$33,10,FALSE)/100</f>
        <v>4.7800000000000002E-2</v>
      </c>
      <c r="J13" s="2">
        <f>VLOOKUP(A13,[132]WRDS!$A$1:$O$33,9,FALSE)/100</f>
        <v>4.7500000000000001E-2</v>
      </c>
      <c r="K13" s="2">
        <f t="shared" si="1"/>
        <v>50.066641764078618</v>
      </c>
      <c r="L13" s="2">
        <f t="shared" si="2"/>
        <v>49.758692129576026</v>
      </c>
      <c r="M13">
        <f>VLOOKUP(A13,[132]WRDS!$A$1:$O$33,8,FALSE)</f>
        <v>10</v>
      </c>
      <c r="N13">
        <f>VLOOKUP(A13,[132]WRDS!$A$1:$O$33,11,FALSE)</f>
        <v>0.93</v>
      </c>
      <c r="P13" s="111" t="s">
        <v>37</v>
      </c>
      <c r="Q13" s="111"/>
    </row>
    <row r="14" spans="1:17" x14ac:dyDescent="0.3">
      <c r="A14" t="s">
        <v>38</v>
      </c>
      <c r="B14" t="str">
        <f>VLOOKUP(A14,[115]WRDS!$A$1:$N$39,2,FALSE)</f>
        <v>IDA</v>
      </c>
      <c r="C14" t="str">
        <f>VLOOKUP(A14,[115]WRDS!$A$1:$N$39,3,FALSE)</f>
        <v>IDAHO POWER CO</v>
      </c>
      <c r="D14">
        <f>VLOOKUP(A14,[131]WRDS!$A$1:$N$38,13,FALSE)</f>
        <v>2</v>
      </c>
      <c r="E14">
        <f>VLOOKUP(A14,[115]WRDS!$A$1:$N$39,13,FALSE)</f>
        <v>1.92</v>
      </c>
      <c r="F14" s="1">
        <f t="shared" si="3"/>
        <v>2.3424179619526559</v>
      </c>
      <c r="G14" s="1">
        <f t="shared" si="4"/>
        <v>2.3397171200000004</v>
      </c>
      <c r="H14" s="2">
        <f t="shared" si="0"/>
        <v>-1.015359923204695E-2</v>
      </c>
      <c r="I14" s="2">
        <f>VLOOKUP(A14,[132]WRDS!$A$1:$O$33,10,FALSE)/100</f>
        <v>4.0300000000000002E-2</v>
      </c>
      <c r="J14" s="2">
        <f>VLOOKUP(A14,[132]WRDS!$A$1:$O$33,9,FALSE)/100</f>
        <v>0.04</v>
      </c>
      <c r="K14" s="2">
        <f t="shared" si="1"/>
        <v>4.9690359131769259</v>
      </c>
      <c r="L14" s="2">
        <f t="shared" si="2"/>
        <v>4.939489740125981</v>
      </c>
      <c r="M14">
        <f>VLOOKUP(A14,[132]WRDS!$A$1:$O$33,8,FALSE)</f>
        <v>11</v>
      </c>
      <c r="N14">
        <f>VLOOKUP(A14,[132]WRDS!$A$1:$O$33,11,FALSE)</f>
        <v>1.6</v>
      </c>
      <c r="P14" t="s">
        <v>39</v>
      </c>
      <c r="Q14" s="1">
        <f>AVERAGE(M2:M1002)</f>
        <v>8.8666666666666671</v>
      </c>
    </row>
    <row r="15" spans="1:17" x14ac:dyDescent="0.3">
      <c r="A15" t="s">
        <v>78</v>
      </c>
      <c r="B15" t="str">
        <f>VLOOKUP(A15,[115]WRDS!$A$1:$N$39,2,FALSE)</f>
        <v>NU</v>
      </c>
      <c r="C15" t="str">
        <f>VLOOKUP(A15,[115]WRDS!$A$1:$N$39,3,FALSE)</f>
        <v>NORTHEAST UTILS</v>
      </c>
      <c r="D15">
        <f>VLOOKUP(A15,[131]WRDS!$A$1:$N$38,13,FALSE)</f>
        <v>2.48</v>
      </c>
      <c r="E15">
        <f>VLOOKUP(A15,[115]WRDS!$A$1:$N$39,13,FALSE)</f>
        <v>1.94</v>
      </c>
      <c r="F15" s="1">
        <f t="shared" si="3"/>
        <v>2.8524618708981171</v>
      </c>
      <c r="G15" s="1">
        <f t="shared" si="4"/>
        <v>2.9012492288000007</v>
      </c>
      <c r="H15" s="2">
        <f t="shared" si="0"/>
        <v>-5.9546098920753132E-2</v>
      </c>
      <c r="I15" s="2">
        <f>VLOOKUP(A15,[132]WRDS!$A$1:$O$33,10,FALSE)/100</f>
        <v>3.56E-2</v>
      </c>
      <c r="J15" s="2">
        <f>VLOOKUP(A15,[132]WRDS!$A$1:$O$33,9,FALSE)/100</f>
        <v>0.04</v>
      </c>
      <c r="K15" s="2">
        <f t="shared" si="1"/>
        <v>1.5978561256779931</v>
      </c>
      <c r="L15" s="2">
        <f t="shared" si="2"/>
        <v>1.67174845581797</v>
      </c>
      <c r="M15">
        <f>VLOOKUP(A15,[132]WRDS!$A$1:$O$33,8,FALSE)</f>
        <v>14</v>
      </c>
      <c r="N15">
        <f>VLOOKUP(A15,[132]WRDS!$A$1:$O$33,11,FALSE)</f>
        <v>1.81</v>
      </c>
      <c r="P15" t="s">
        <v>41</v>
      </c>
      <c r="Q15" s="1">
        <f>COUNT(N2:N1002)</f>
        <v>30</v>
      </c>
    </row>
    <row r="16" spans="1:17" x14ac:dyDescent="0.3">
      <c r="A16" t="s">
        <v>69</v>
      </c>
      <c r="B16" t="str">
        <f>VLOOKUP(A16,[115]WRDS!$A$1:$N$39,2,FALSE)</f>
        <v>OTTR</v>
      </c>
      <c r="C16" t="str">
        <f>VLOOKUP(A16,[115]WRDS!$A$1:$N$39,3,FALSE)</f>
        <v>OTTER TAIL PWR</v>
      </c>
      <c r="D16">
        <f>VLOOKUP(A16,[131]WRDS!$A$1:$N$38,13,FALSE)</f>
        <v>0.89249999999999996</v>
      </c>
      <c r="E16">
        <f>VLOOKUP(A16,[115]WRDS!$A$1:$N$39,13,FALSE)</f>
        <v>0.995</v>
      </c>
      <c r="F16" s="1">
        <f t="shared" si="3"/>
        <v>1.0194227847285098</v>
      </c>
      <c r="G16" s="1">
        <f t="shared" si="4"/>
        <v>1.0241642780578122</v>
      </c>
      <c r="H16" s="2">
        <f t="shared" si="0"/>
        <v>2.7551775475798568E-2</v>
      </c>
      <c r="I16" s="2">
        <f>VLOOKUP(A16,[132]WRDS!$A$1:$O$33,10,FALSE)/100</f>
        <v>3.3799999999999997E-2</v>
      </c>
      <c r="J16" s="2">
        <f>VLOOKUP(A16,[132]WRDS!$A$1:$O$33,9,FALSE)/100</f>
        <v>3.5000000000000003E-2</v>
      </c>
      <c r="K16" s="2">
        <f t="shared" si="1"/>
        <v>0.22678119345484135</v>
      </c>
      <c r="L16" s="2">
        <f t="shared" si="2"/>
        <v>0.27033555535264664</v>
      </c>
      <c r="M16">
        <f>VLOOKUP(A16,[132]WRDS!$A$1:$O$33,8,FALSE)</f>
        <v>4</v>
      </c>
      <c r="N16">
        <f>VLOOKUP(A16,[132]WRDS!$A$1:$O$33,11,FALSE)</f>
        <v>1.1100000000000001</v>
      </c>
    </row>
    <row r="17" spans="1:14" x14ac:dyDescent="0.3">
      <c r="A17" t="s">
        <v>46</v>
      </c>
      <c r="B17" t="str">
        <f>VLOOKUP(A17,[115]WRDS!$A$1:$N$39,2,FALSE)</f>
        <v>PEG</v>
      </c>
      <c r="C17" t="str">
        <f>VLOOKUP(A17,[115]WRDS!$A$1:$N$39,3,FALSE)</f>
        <v>PUB SVC ENTERS</v>
      </c>
      <c r="D17">
        <f>VLOOKUP(A17,[131]WRDS!$A$1:$N$38,13,FALSE)</f>
        <v>1.405</v>
      </c>
      <c r="E17">
        <f>VLOOKUP(A17,[115]WRDS!$A$1:$N$39,13,FALSE)</f>
        <v>1.2849999999999999</v>
      </c>
      <c r="F17" s="1">
        <f t="shared" si="3"/>
        <v>1.6191348443418276</v>
      </c>
      <c r="G17" s="1">
        <f t="shared" si="4"/>
        <v>1.6122698158781246</v>
      </c>
      <c r="H17" s="2">
        <f t="shared" si="0"/>
        <v>-2.2072405664352868E-2</v>
      </c>
      <c r="I17" s="2">
        <f>VLOOKUP(A17,[132]WRDS!$A$1:$O$33,10,FALSE)/100</f>
        <v>3.61E-2</v>
      </c>
      <c r="J17" s="2">
        <f>VLOOKUP(A17,[132]WRDS!$A$1:$O$33,9,FALSE)/100</f>
        <v>3.5000000000000003E-2</v>
      </c>
      <c r="K17" s="2">
        <f t="shared" si="1"/>
        <v>2.6355263014353629</v>
      </c>
      <c r="L17" s="2">
        <f t="shared" si="2"/>
        <v>2.5856903199511829</v>
      </c>
      <c r="M17">
        <f>VLOOKUP(A17,[132]WRDS!$A$1:$O$33,8,FALSE)</f>
        <v>16</v>
      </c>
      <c r="N17">
        <f>VLOOKUP(A17,[132]WRDS!$A$1:$O$33,11,FALSE)</f>
        <v>0.8</v>
      </c>
    </row>
    <row r="18" spans="1:14" x14ac:dyDescent="0.3">
      <c r="A18" t="s">
        <v>74</v>
      </c>
      <c r="B18" t="str">
        <f>VLOOKUP(A18,[115]WRDS!$A$1:$N$39,2,FALSE)</f>
        <v>PGN</v>
      </c>
      <c r="C18" t="str">
        <f>VLOOKUP(A18,[115]WRDS!$A$1:$N$39,3,FALSE)</f>
        <v>PORTLAND GEN CP</v>
      </c>
      <c r="D18">
        <f>VLOOKUP(A18,[131]WRDS!$A$1:$N$38,13,FALSE)</f>
        <v>1.97</v>
      </c>
      <c r="E18">
        <f>VLOOKUP(A18,[115]WRDS!$A$1:$N$39,13,FALSE)</f>
        <v>2.16</v>
      </c>
      <c r="F18" s="1">
        <f t="shared" si="3"/>
        <v>2.3945473124999999</v>
      </c>
      <c r="G18" s="1">
        <f t="shared" si="4"/>
        <v>2.3268612153269528</v>
      </c>
      <c r="H18" s="2">
        <f t="shared" si="0"/>
        <v>2.3285643842260839E-2</v>
      </c>
      <c r="I18" s="2">
        <f>VLOOKUP(A18,[132]WRDS!$A$1:$O$33,10,FALSE)/100</f>
        <v>0.05</v>
      </c>
      <c r="J18" s="2">
        <f>VLOOKUP(A18,[132]WRDS!$A$1:$O$33,9,FALSE)/100</f>
        <v>4.2500000000000003E-2</v>
      </c>
      <c r="K18" s="2">
        <f t="shared" si="1"/>
        <v>1.1472457596064229</v>
      </c>
      <c r="L18" s="2">
        <f t="shared" si="2"/>
        <v>0.82515889566545964</v>
      </c>
      <c r="M18">
        <f>VLOOKUP(A18,[132]WRDS!$A$1:$O$33,8,FALSE)</f>
        <v>10</v>
      </c>
      <c r="N18">
        <f>VLOOKUP(A18,[132]WRDS!$A$1:$O$33,11,FALSE)</f>
        <v>1.47</v>
      </c>
    </row>
    <row r="19" spans="1:14" x14ac:dyDescent="0.3">
      <c r="A19" t="s">
        <v>47</v>
      </c>
      <c r="B19" t="str">
        <f>VLOOKUP(A19,[115]WRDS!$A$1:$N$39,2,FALSE)</f>
        <v>PNM</v>
      </c>
      <c r="C19" t="str">
        <f>VLOOKUP(A19,[115]WRDS!$A$1:$N$39,3,FALSE)</f>
        <v>PUB SVC N MEX</v>
      </c>
      <c r="D19">
        <f>VLOOKUP(A19,[131]WRDS!$A$1:$N$38,13,FALSE)</f>
        <v>2.1932999999999998</v>
      </c>
      <c r="E19">
        <f>VLOOKUP(A19,[115]WRDS!$A$1:$N$39,13,FALSE)</f>
        <v>0.15329999999999999</v>
      </c>
      <c r="F19" s="1">
        <f t="shared" si="3"/>
        <v>2.5227034763874352</v>
      </c>
      <c r="G19" s="1">
        <f t="shared" si="4"/>
        <v>2.4878078152593406</v>
      </c>
      <c r="H19" s="2">
        <f t="shared" si="0"/>
        <v>-0.48582491437740671</v>
      </c>
      <c r="I19" s="2">
        <f>VLOOKUP(A19,[132]WRDS!$A$1:$O$33,10,FALSE)/100</f>
        <v>3.56E-2</v>
      </c>
      <c r="J19" s="2">
        <f>VLOOKUP(A19,[132]WRDS!$A$1:$O$33,9,FALSE)/100</f>
        <v>3.2000000000000001E-2</v>
      </c>
      <c r="K19" s="2">
        <f t="shared" si="1"/>
        <v>1.0732774276214756</v>
      </c>
      <c r="L19" s="2">
        <f t="shared" si="2"/>
        <v>1.0658673506709893</v>
      </c>
      <c r="M19">
        <f>VLOOKUP(A19,[132]WRDS!$A$1:$O$33,8,FALSE)</f>
        <v>11</v>
      </c>
      <c r="N19">
        <f>VLOOKUP(A19,[132]WRDS!$A$1:$O$33,11,FALSE)</f>
        <v>1.7</v>
      </c>
    </row>
    <row r="20" spans="1:14" x14ac:dyDescent="0.3">
      <c r="A20" t="s">
        <v>51</v>
      </c>
      <c r="B20" t="str">
        <f>VLOOKUP(A20,[115]WRDS!$A$1:$N$39,2,FALSE)</f>
        <v>PPL</v>
      </c>
      <c r="C20" t="str">
        <f>VLOOKUP(A20,[115]WRDS!$A$1:$N$39,3,FALSE)</f>
        <v>PENNA P&amp;L</v>
      </c>
      <c r="D20">
        <f>VLOOKUP(A20,[131]WRDS!$A$1:$N$38,13,FALSE)</f>
        <v>0.77500000000000002</v>
      </c>
      <c r="E20">
        <f>VLOOKUP(A20,[115]WRDS!$A$1:$N$39,13,FALSE)</f>
        <v>0.98750000000000004</v>
      </c>
      <c r="F20" s="1">
        <f t="shared" si="3"/>
        <v>0.91153216031203366</v>
      </c>
      <c r="G20" s="1">
        <f t="shared" si="4"/>
        <v>0.92420191548437458</v>
      </c>
      <c r="H20" s="2">
        <f t="shared" si="0"/>
        <v>6.2450855240591352E-2</v>
      </c>
      <c r="I20" s="2">
        <f>VLOOKUP(A20,[132]WRDS!$A$1:$O$33,10,FALSE)/100</f>
        <v>4.1399999999999999E-2</v>
      </c>
      <c r="J20" s="2">
        <f>VLOOKUP(A20,[132]WRDS!$A$1:$O$33,9,FALSE)/100</f>
        <v>4.4999999999999998E-2</v>
      </c>
      <c r="K20" s="2">
        <f t="shared" si="1"/>
        <v>-0.33707873430224655</v>
      </c>
      <c r="L20" s="2">
        <f t="shared" si="2"/>
        <v>-0.27943340685026796</v>
      </c>
      <c r="M20">
        <f>VLOOKUP(A20,[132]WRDS!$A$1:$O$33,8,FALSE)</f>
        <v>13</v>
      </c>
      <c r="N20">
        <f>VLOOKUP(A20,[132]WRDS!$A$1:$O$33,11,FALSE)</f>
        <v>1.93</v>
      </c>
    </row>
    <row r="21" spans="1:14" x14ac:dyDescent="0.3">
      <c r="A21" t="s">
        <v>91</v>
      </c>
      <c r="B21" t="str">
        <f>VLOOKUP(A21,[115]WRDS!$A$1:$N$39,2,FALSE)</f>
        <v>PSD</v>
      </c>
      <c r="C21" t="str">
        <f>VLOOKUP(A21,[115]WRDS!$A$1:$N$39,3,FALSE)</f>
        <v>PUGET SOUND P&amp;L</v>
      </c>
      <c r="D21">
        <f>VLOOKUP(A21,[131]WRDS!$A$1:$N$38,13,FALSE)</f>
        <v>1.72</v>
      </c>
      <c r="E21">
        <f>VLOOKUP(A21,[115]WRDS!$A$1:$N$39,13,FALSE)</f>
        <v>2.17</v>
      </c>
      <c r="F21" s="1">
        <f t="shared" si="3"/>
        <v>1.9283681328433195</v>
      </c>
      <c r="G21" s="1">
        <f t="shared" si="4"/>
        <v>1.9171485661921879</v>
      </c>
      <c r="H21" s="2">
        <f t="shared" si="0"/>
        <v>5.9821734712787622E-2</v>
      </c>
      <c r="I21" s="2">
        <f>VLOOKUP(A21,[132]WRDS!$A$1:$O$33,10,FALSE)/100</f>
        <v>2.8999999999999998E-2</v>
      </c>
      <c r="J21" s="2">
        <f>VLOOKUP(A21,[132]WRDS!$A$1:$O$33,9,FALSE)/100</f>
        <v>2.75E-2</v>
      </c>
      <c r="K21" s="2">
        <f t="shared" si="1"/>
        <v>-0.51522636146823575</v>
      </c>
      <c r="L21" s="2">
        <f t="shared" si="2"/>
        <v>-0.54030086001298228</v>
      </c>
      <c r="M21">
        <f>VLOOKUP(A21,[132]WRDS!$A$1:$O$33,8,FALSE)</f>
        <v>10</v>
      </c>
      <c r="N21">
        <f>VLOOKUP(A21,[132]WRDS!$A$1:$O$33,11,FALSE)</f>
        <v>2.09</v>
      </c>
    </row>
    <row r="22" spans="1:14" x14ac:dyDescent="0.3">
      <c r="A22" t="s">
        <v>52</v>
      </c>
      <c r="B22" t="str">
        <f>VLOOKUP(A22,[115]WRDS!$A$1:$N$39,2,FALSE)</f>
        <v>SCG</v>
      </c>
      <c r="C22" t="str">
        <f>VLOOKUP(A22,[115]WRDS!$A$1:$N$39,3,FALSE)</f>
        <v>SCANA CP</v>
      </c>
      <c r="D22">
        <f>VLOOKUP(A22,[131]WRDS!$A$1:$N$38,13,FALSE)</f>
        <v>1.5149999999999999</v>
      </c>
      <c r="E22">
        <f>VLOOKUP(A22,[115]WRDS!$A$1:$N$39,13,FALSE)</f>
        <v>1.645</v>
      </c>
      <c r="F22" s="1">
        <f t="shared" si="3"/>
        <v>1.7812140264900593</v>
      </c>
      <c r="G22" s="1">
        <f t="shared" si="4"/>
        <v>1.7723357184000001</v>
      </c>
      <c r="H22" s="2">
        <f t="shared" si="0"/>
        <v>2.0794490456757408E-2</v>
      </c>
      <c r="I22" s="2">
        <f>VLOOKUP(A22,[132]WRDS!$A$1:$O$33,10,FALSE)/100</f>
        <v>4.1299999999999996E-2</v>
      </c>
      <c r="J22" s="2">
        <f>VLOOKUP(A22,[132]WRDS!$A$1:$O$33,9,FALSE)/100</f>
        <v>0.04</v>
      </c>
      <c r="K22" s="2">
        <f t="shared" si="1"/>
        <v>0.9861030057882032</v>
      </c>
      <c r="L22" s="2">
        <f t="shared" si="2"/>
        <v>0.92358644628397435</v>
      </c>
      <c r="M22">
        <f>VLOOKUP(A22,[132]WRDS!$A$1:$O$33,8,FALSE)</f>
        <v>13</v>
      </c>
      <c r="N22">
        <f>VLOOKUP(A22,[132]WRDS!$A$1:$O$33,11,FALSE)</f>
        <v>1.01</v>
      </c>
    </row>
    <row r="23" spans="1:14" x14ac:dyDescent="0.3">
      <c r="A23" t="s">
        <v>53</v>
      </c>
      <c r="B23" t="str">
        <f>VLOOKUP(A23,[115]WRDS!$A$1:$N$39,2,FALSE)</f>
        <v>SO</v>
      </c>
      <c r="C23" t="str">
        <f>VLOOKUP(A23,[115]WRDS!$A$1:$N$39,3,FALSE)</f>
        <v>SOUTHN CO</v>
      </c>
      <c r="D23">
        <f>VLOOKUP(A23,[131]WRDS!$A$1:$N$38,13,FALSE)</f>
        <v>1.585</v>
      </c>
      <c r="E23">
        <f>VLOOKUP(A23,[115]WRDS!$A$1:$N$39,13,FALSE)</f>
        <v>1.3</v>
      </c>
      <c r="F23" s="1">
        <f t="shared" si="3"/>
        <v>1.8706830777413261</v>
      </c>
      <c r="G23" s="1">
        <f t="shared" si="4"/>
        <v>1.8542258176000004</v>
      </c>
      <c r="H23" s="2">
        <f t="shared" si="0"/>
        <v>-4.8347218196504449E-2</v>
      </c>
      <c r="I23" s="2">
        <f>VLOOKUP(A23,[132]WRDS!$A$1:$O$33,10,FALSE)/100</f>
        <v>4.2300000000000004E-2</v>
      </c>
      <c r="J23" s="2">
        <f>VLOOKUP(A23,[132]WRDS!$A$1:$O$33,9,FALSE)/100</f>
        <v>0.04</v>
      </c>
      <c r="K23" s="2">
        <f t="shared" si="1"/>
        <v>1.8749210725645915</v>
      </c>
      <c r="L23" s="2">
        <f t="shared" si="2"/>
        <v>1.827348531975973</v>
      </c>
      <c r="M23">
        <f>VLOOKUP(A23,[132]WRDS!$A$1:$O$33,8,FALSE)</f>
        <v>18</v>
      </c>
      <c r="N23">
        <f>VLOOKUP(A23,[132]WRDS!$A$1:$O$33,11,FALSE)</f>
        <v>1.44</v>
      </c>
    </row>
    <row r="24" spans="1:14" x14ac:dyDescent="0.3">
      <c r="A24" t="s">
        <v>79</v>
      </c>
      <c r="B24" t="str">
        <f>VLOOKUP(A24,[115]WRDS!$A$1:$N$39,2,FALSE)</f>
        <v>UIL</v>
      </c>
      <c r="C24" t="str">
        <f>VLOOKUP(A24,[115]WRDS!$A$1:$N$39,3,FALSE)</f>
        <v>UTD ILLUM CO</v>
      </c>
      <c r="D24">
        <f>VLOOKUP(A24,[131]WRDS!$A$1:$N$38,13,FALSE)</f>
        <v>3.5819999999999999</v>
      </c>
      <c r="E24">
        <f>VLOOKUP(A24,[115]WRDS!$A$1:$N$39,13,FALSE)</f>
        <v>2.0699999999999998</v>
      </c>
      <c r="F24" s="1">
        <f t="shared" si="3"/>
        <v>3.6541790932387475</v>
      </c>
      <c r="G24" s="1">
        <f t="shared" si="4"/>
        <v>3.6541790932387475</v>
      </c>
      <c r="H24" s="2">
        <f t="shared" si="0"/>
        <v>-0.12811101511563994</v>
      </c>
      <c r="I24" s="2">
        <f>VLOOKUP(A24,[132]WRDS!$A$1:$O$33,10,FALSE)/100</f>
        <v>5.0000000000000001E-3</v>
      </c>
      <c r="J24" s="2">
        <f>VLOOKUP(A24,[132]WRDS!$A$1:$O$33,9,FALSE)/100</f>
        <v>5.0000000000000001E-3</v>
      </c>
      <c r="K24" s="2">
        <f t="shared" si="1"/>
        <v>1.0390286502334458</v>
      </c>
      <c r="L24" s="2">
        <f t="shared" si="2"/>
        <v>1.0390286502334458</v>
      </c>
      <c r="M24">
        <f>VLOOKUP(A24,[132]WRDS!$A$1:$O$33,8,FALSE)</f>
        <v>2</v>
      </c>
      <c r="N24">
        <f>VLOOKUP(A24,[132]WRDS!$A$1:$O$33,11,FALSE)</f>
        <v>2.12</v>
      </c>
    </row>
    <row r="25" spans="1:14" x14ac:dyDescent="0.3">
      <c r="A25" t="s">
        <v>135</v>
      </c>
      <c r="B25" t="str">
        <f>VLOOKUP(A25,'[5]Ticker List'!$H$4:$I$20,2,FALSE)</f>
        <v>NI</v>
      </c>
      <c r="C25" t="str">
        <f>VLOOKUP(A25,[133]flhyxourx89ghhy7!$B$2:$N$9,2,FALSE)</f>
        <v>NORTHN IND PUB</v>
      </c>
      <c r="D25">
        <f>VLOOKUP(A25,[133]flhyxourx89ghhy7!$B$2:$N$9,12,FALSE)</f>
        <v>0.4</v>
      </c>
      <c r="E25">
        <f>VLOOKUP(A25,[117]cm4egnfwbimpsqmu!$B$1:$N$100,12,FALSE)</f>
        <v>0.9</v>
      </c>
      <c r="F25" s="1">
        <f t="shared" si="3"/>
        <v>0.49440354981904377</v>
      </c>
      <c r="G25" s="1">
        <f t="shared" si="4"/>
        <v>0.45900920024999992</v>
      </c>
      <c r="H25" s="2">
        <f t="shared" si="0"/>
        <v>0.22474487139158894</v>
      </c>
      <c r="I25" s="2">
        <f>VLOOKUP(A25,'[134]72fgbes2rkqul1ea'!$B$1:$N$9,9,FALSE)/100</f>
        <v>5.4400000000000004E-2</v>
      </c>
      <c r="J25" s="2">
        <f>VLOOKUP(A25,'[134]72fgbes2rkqul1ea'!$B$1:$N$9,8,FALSE)/100</f>
        <v>3.5000000000000003E-2</v>
      </c>
      <c r="K25" s="2">
        <f t="shared" si="1"/>
        <v>-0.75794775799259495</v>
      </c>
      <c r="L25" s="2">
        <f t="shared" si="2"/>
        <v>-0.84426785900258872</v>
      </c>
      <c r="M25">
        <f>VLOOKUP(A25,'[134]72fgbes2rkqul1ea'!$B$1:$N$9,7,FALSE)</f>
        <v>13</v>
      </c>
      <c r="N25">
        <f>VLOOKUP(A25,'[134]72fgbes2rkqul1ea'!$B$1:$N$9,10,FALSE)</f>
        <v>3.95</v>
      </c>
    </row>
    <row r="26" spans="1:14" x14ac:dyDescent="0.3">
      <c r="A26" t="s">
        <v>138</v>
      </c>
      <c r="B26" t="str">
        <f>VLOOKUP(A26,'[5]Ticker List'!$H$4:$I$20,2,FALSE)</f>
        <v>SJI</v>
      </c>
      <c r="C26" t="str">
        <f>VLOOKUP(A26,[133]flhyxourx89ghhy7!$B$2:$N$9,2,FALSE)</f>
        <v>SO JERSEY INDS</v>
      </c>
      <c r="D26">
        <f>VLOOKUP(A26,[133]flhyxourx89ghhy7!$B$2:$N$9,12,FALSE)</f>
        <v>0.3211</v>
      </c>
      <c r="E26">
        <f>VLOOKUP(A26,[117]cm4egnfwbimpsqmu!$B$1:$N$100,12,FALSE)</f>
        <v>0.32850000000000001</v>
      </c>
      <c r="F26" s="1">
        <f t="shared" si="3"/>
        <v>0.39223555914312014</v>
      </c>
      <c r="G26" s="1">
        <f t="shared" si="4"/>
        <v>0.39029905687499999</v>
      </c>
      <c r="H26" s="2">
        <f t="shared" si="0"/>
        <v>5.7123125979836598E-3</v>
      </c>
      <c r="I26" s="2">
        <f>VLOOKUP(A26,'[134]72fgbes2rkqul1ea'!$B$1:$N$9,9,FALSE)/100</f>
        <v>5.1299999999999998E-2</v>
      </c>
      <c r="J26" s="2">
        <f>VLOOKUP(A26,'[134]72fgbes2rkqul1ea'!$B$1:$N$9,8,FALSE)/100</f>
        <v>0.05</v>
      </c>
      <c r="K26" s="2">
        <f t="shared" si="1"/>
        <v>7.9806009597772967</v>
      </c>
      <c r="L26" s="2">
        <f t="shared" si="2"/>
        <v>7.7530223779505825</v>
      </c>
      <c r="M26">
        <f>VLOOKUP(A26,'[134]72fgbes2rkqul1ea'!$B$1:$N$9,7,FALSE)</f>
        <v>4</v>
      </c>
      <c r="N26">
        <f>VLOOKUP(A26,'[134]72fgbes2rkqul1ea'!$B$1:$N$9,10,FALSE)</f>
        <v>1.03</v>
      </c>
    </row>
    <row r="27" spans="1:14" x14ac:dyDescent="0.3">
      <c r="A27" t="s">
        <v>143</v>
      </c>
      <c r="B27" t="str">
        <f>VLOOKUP(A27,'[5]Ticker List'!$H$4:$I$20,2,FALSE)</f>
        <v>LG</v>
      </c>
      <c r="C27" t="str">
        <f>VLOOKUP(A27,[133]flhyxourx89ghhy7!$B$2:$N$9,2,FALSE)</f>
        <v>LACLEDE GAS</v>
      </c>
      <c r="D27">
        <f>VLOOKUP(A27,[133]flhyxourx89ghhy7!$B$2:$N$9,12,FALSE)</f>
        <v>1.44</v>
      </c>
      <c r="E27">
        <f>VLOOKUP(A27,[117]cm4egnfwbimpsqmu!$B$1:$N$100,12,FALSE)</f>
        <v>1.28</v>
      </c>
      <c r="F27" s="1">
        <f t="shared" si="3"/>
        <v>1.9591041024000004</v>
      </c>
      <c r="G27" s="1">
        <f t="shared" si="4"/>
        <v>1.9591041024000004</v>
      </c>
      <c r="H27" s="2">
        <f t="shared" si="0"/>
        <v>-2.9016456585353123E-2</v>
      </c>
      <c r="I27" s="2">
        <f>VLOOKUP(A27,'[134]72fgbes2rkqul1ea'!$B$1:$N$9,9,FALSE)/100</f>
        <v>0.08</v>
      </c>
      <c r="J27" s="2">
        <f>VLOOKUP(A27,'[134]72fgbes2rkqul1ea'!$B$1:$N$9,8,FALSE)/100</f>
        <v>0.08</v>
      </c>
      <c r="K27" s="2">
        <f t="shared" si="1"/>
        <v>3.7570561472479125</v>
      </c>
      <c r="L27" s="2">
        <f t="shared" si="2"/>
        <v>3.7570561472479125</v>
      </c>
      <c r="M27">
        <f>VLOOKUP(A27,'[134]72fgbes2rkqul1ea'!$B$1:$N$9,7,FALSE)</f>
        <v>1</v>
      </c>
      <c r="N27">
        <f>VLOOKUP(A27,'[134]72fgbes2rkqul1ea'!$B$1:$N$9,10,FALSE)</f>
        <v>0</v>
      </c>
    </row>
    <row r="28" spans="1:14" x14ac:dyDescent="0.3">
      <c r="A28" t="s">
        <v>144</v>
      </c>
      <c r="B28" t="str">
        <f>VLOOKUP(A28,'[5]Ticker List'!$H$4:$I$20,2,FALSE)</f>
        <v>GAS</v>
      </c>
      <c r="C28" t="str">
        <f>VLOOKUP(A28,[133]flhyxourx89ghhy7!$B$2:$N$9,2,FALSE)</f>
        <v>NICOR INC</v>
      </c>
      <c r="D28">
        <f>VLOOKUP(A28,[133]flhyxourx89ghhy7!$B$2:$N$9,12,FALSE)</f>
        <v>1.48</v>
      </c>
      <c r="E28">
        <f>VLOOKUP(A28,[117]cm4egnfwbimpsqmu!$B$1:$N$100,12,FALSE)</f>
        <v>1.93</v>
      </c>
      <c r="F28" s="1">
        <f t="shared" si="3"/>
        <v>1.7941568470662668</v>
      </c>
      <c r="G28" s="1">
        <f t="shared" si="4"/>
        <v>1.7989492499999999</v>
      </c>
      <c r="H28" s="2">
        <f t="shared" si="0"/>
        <v>6.8621477198999914E-2</v>
      </c>
      <c r="I28" s="2">
        <f>VLOOKUP(A28,'[134]72fgbes2rkqul1ea'!$B$1:$N$9,9,FALSE)/100</f>
        <v>4.9299999999999997E-2</v>
      </c>
      <c r="J28" s="2">
        <f>VLOOKUP(A28,'[134]72fgbes2rkqul1ea'!$B$1:$N$9,8,FALSE)/100</f>
        <v>0.05</v>
      </c>
      <c r="K28" s="2">
        <f t="shared" si="1"/>
        <v>-0.28156603424563859</v>
      </c>
      <c r="L28" s="2">
        <f t="shared" si="2"/>
        <v>-0.27136514629375103</v>
      </c>
      <c r="M28">
        <f>VLOOKUP(A28,'[134]72fgbes2rkqul1ea'!$B$1:$N$9,7,FALSE)</f>
        <v>7</v>
      </c>
      <c r="N28">
        <f>VLOOKUP(A28,'[134]72fgbes2rkqul1ea'!$B$1:$N$9,10,FALSE)</f>
        <v>2.89</v>
      </c>
    </row>
    <row r="29" spans="1:14" x14ac:dyDescent="0.3">
      <c r="A29" t="s">
        <v>146</v>
      </c>
      <c r="B29" t="str">
        <f>VLOOKUP(A29,'[5]Ticker List'!$H$4:$I$20,2,FALSE)</f>
        <v>PNY</v>
      </c>
      <c r="C29" t="str">
        <f>VLOOKUP(A29,[133]flhyxourx89ghhy7!$B$2:$N$9,2,FALSE)</f>
        <v>PIEDMONT NAT GAS</v>
      </c>
      <c r="D29">
        <f>VLOOKUP(A29,[133]flhyxourx89ghhy7!$B$2:$N$9,12,FALSE)</f>
        <v>0.45750000000000002</v>
      </c>
      <c r="E29">
        <f>VLOOKUP(A29,[117]cm4egnfwbimpsqmu!$B$1:$N$100,12,FALSE)</f>
        <v>0.5</v>
      </c>
      <c r="F29" s="1">
        <f t="shared" si="3"/>
        <v>0.59968917457500004</v>
      </c>
      <c r="G29" s="1">
        <f t="shared" si="4"/>
        <v>0.59968917457500004</v>
      </c>
      <c r="H29" s="2">
        <f t="shared" si="0"/>
        <v>2.2456232304656432E-2</v>
      </c>
      <c r="I29" s="2">
        <f>VLOOKUP(A29,'[134]72fgbes2rkqul1ea'!$B$1:$N$9,9,FALSE)/100</f>
        <v>7.0000000000000007E-2</v>
      </c>
      <c r="J29" s="2">
        <f>VLOOKUP(A29,'[134]72fgbes2rkqul1ea'!$B$1:$N$9,8,FALSE)/100</f>
        <v>7.0000000000000007E-2</v>
      </c>
      <c r="K29" s="2">
        <f t="shared" si="1"/>
        <v>2.1171747357407367</v>
      </c>
      <c r="L29" s="2">
        <f t="shared" si="2"/>
        <v>2.1171747357407367</v>
      </c>
      <c r="M29">
        <f>VLOOKUP(A29,'[134]72fgbes2rkqul1ea'!$B$1:$N$9,7,FALSE)</f>
        <v>1</v>
      </c>
      <c r="N29">
        <f>VLOOKUP(A29,'[134]72fgbes2rkqul1ea'!$B$1:$N$9,10,FALSE)</f>
        <v>0</v>
      </c>
    </row>
    <row r="30" spans="1:14" x14ac:dyDescent="0.3">
      <c r="A30" t="s">
        <v>145</v>
      </c>
      <c r="B30" t="str">
        <f>VLOOKUP(A30,'[5]Ticker List'!$H$4:$I$20,2,FALSE)</f>
        <v>WGL</v>
      </c>
      <c r="C30" t="str">
        <f>VLOOKUP(A30,[133]flhyxourx89ghhy7!$B$2:$N$9,2,FALSE)</f>
        <v>WASH GAS LT</v>
      </c>
      <c r="D30">
        <f>VLOOKUP(A30,[133]flhyxourx89ghhy7!$B$2:$N$9,12,FALSE)</f>
        <v>1.145</v>
      </c>
      <c r="E30">
        <f>VLOOKUP(A30,[117]cm4egnfwbimpsqmu!$B$1:$N$100,12,FALSE)</f>
        <v>1.145</v>
      </c>
      <c r="F30" s="1">
        <f t="shared" si="3"/>
        <v>1.4130838411191202</v>
      </c>
      <c r="G30" s="1">
        <f t="shared" si="4"/>
        <v>1.3394880512000003</v>
      </c>
      <c r="H30" s="2">
        <f t="shared" si="0"/>
        <v>0</v>
      </c>
      <c r="I30" s="2">
        <f>VLOOKUP(A30,'[134]72fgbes2rkqul1ea'!$B$1:$N$9,9,FALSE)/100</f>
        <v>5.4000000000000006E-2</v>
      </c>
      <c r="J30" s="2">
        <f>VLOOKUP(A30,'[134]72fgbes2rkqul1ea'!$B$1:$N$9,8,FALSE)/100</f>
        <v>0.04</v>
      </c>
      <c r="K30" s="2" t="s">
        <v>141</v>
      </c>
      <c r="L30" s="2" t="s">
        <v>141</v>
      </c>
      <c r="M30">
        <f>VLOOKUP(A30,'[134]72fgbes2rkqul1ea'!$B$1:$N$9,7,FALSE)</f>
        <v>5</v>
      </c>
      <c r="N30">
        <f>VLOOKUP(A30,'[134]72fgbes2rkqul1ea'!$B$1:$N$9,10,FALSE)</f>
        <v>2.41</v>
      </c>
    </row>
    <row r="31" spans="1:14" x14ac:dyDescent="0.3">
      <c r="A31" t="s">
        <v>149</v>
      </c>
      <c r="B31" t="str">
        <f>VLOOKUP(A31,'[5]Ticker List'!$H$4:$I$20,2,FALSE)</f>
        <v>CGC</v>
      </c>
      <c r="C31" t="str">
        <f>VLOOKUP(A31,[133]flhyxourx89ghhy7!$B$2:$N$9,2,FALSE)</f>
        <v>CASCADE NAT GAS</v>
      </c>
      <c r="D31">
        <f>VLOOKUP(A31,[133]flhyxourx89ghhy7!$B$2:$N$9,12,FALSE)</f>
        <v>0.16</v>
      </c>
      <c r="E31">
        <f>VLOOKUP(A31,[117]cm4egnfwbimpsqmu!$B$1:$N$100,12,FALSE)</f>
        <v>1.3733</v>
      </c>
      <c r="F31" s="1">
        <f t="shared" si="3"/>
        <v>0.18898365200624997</v>
      </c>
      <c r="G31" s="1">
        <f t="shared" si="4"/>
        <v>0.18898365200624997</v>
      </c>
      <c r="H31" s="2">
        <f t="shared" si="0"/>
        <v>0.71163579166762547</v>
      </c>
      <c r="I31" s="2">
        <f>VLOOKUP(A31,'[134]72fgbes2rkqul1ea'!$B$1:$N$9,9,FALSE)/100</f>
        <v>4.2500000000000003E-2</v>
      </c>
      <c r="J31" s="2">
        <f>VLOOKUP(A31,'[134]72fgbes2rkqul1ea'!$B$1:$N$9,8,FALSE)/100</f>
        <v>4.2500000000000003E-2</v>
      </c>
      <c r="K31" s="2">
        <f t="shared" si="1"/>
        <v>-0.94027843948038814</v>
      </c>
      <c r="L31" s="2">
        <f t="shared" si="2"/>
        <v>-0.94027843948038814</v>
      </c>
      <c r="M31">
        <f>VLOOKUP(A31,'[134]72fgbes2rkqul1ea'!$B$1:$N$9,7,FALSE)</f>
        <v>2</v>
      </c>
      <c r="N31">
        <f>VLOOKUP(A31,'[134]72fgbes2rkqul1ea'!$B$1:$N$9,10,FALSE)</f>
        <v>1.06</v>
      </c>
    </row>
  </sheetData>
  <mergeCells count="3">
    <mergeCell ref="P1:Q1"/>
    <mergeCell ref="P7:Q7"/>
    <mergeCell ref="P13:Q13"/>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5C52F-7EC5-4A9A-8D71-A1E2B61255D1}">
  <dimension ref="A1:Q32"/>
  <sheetViews>
    <sheetView workbookViewId="0">
      <selection activeCell="A25" sqref="A25"/>
    </sheetView>
  </sheetViews>
  <sheetFormatPr defaultRowHeight="14.4" x14ac:dyDescent="0.3"/>
  <cols>
    <col min="1" max="1" width="13.33203125" bestFit="1" customWidth="1"/>
    <col min="2" max="2" width="10.44140625" bestFit="1" customWidth="1"/>
    <col min="3" max="3" width="15.109375" bestFit="1" customWidth="1"/>
    <col min="4" max="5" width="15.44140625" bestFit="1" customWidth="1"/>
    <col min="6" max="6" width="14.33203125" bestFit="1" customWidth="1"/>
    <col min="7" max="7" width="16" bestFit="1" customWidth="1"/>
    <col min="8" max="8" width="18.33203125" bestFit="1" customWidth="1"/>
    <col min="9" max="9" width="21.44140625" bestFit="1" customWidth="1"/>
    <col min="10" max="10" width="23.109375" bestFit="1" customWidth="1"/>
    <col min="11" max="11" width="22" bestFit="1" customWidth="1"/>
    <col min="12" max="12" width="24.109375" bestFit="1" customWidth="1"/>
    <col min="13" max="13" width="19.88671875" bestFit="1" customWidth="1"/>
    <col min="14" max="14" width="8.33203125" bestFit="1" customWidth="1"/>
    <col min="16" max="16" width="51.88671875" bestFit="1" customWidth="1"/>
    <col min="17" max="17" width="12" bestFit="1" customWidth="1"/>
  </cols>
  <sheetData>
    <row r="1" spans="1:17" x14ac:dyDescent="0.3">
      <c r="A1" t="s">
        <v>0</v>
      </c>
      <c r="B1" t="s">
        <v>1</v>
      </c>
      <c r="C1" t="s">
        <v>2</v>
      </c>
      <c r="D1" t="s">
        <v>112</v>
      </c>
      <c r="E1" t="s">
        <v>108</v>
      </c>
      <c r="F1" t="s">
        <v>5</v>
      </c>
      <c r="G1" t="s">
        <v>6</v>
      </c>
      <c r="H1" t="s">
        <v>7</v>
      </c>
      <c r="I1" t="s">
        <v>8</v>
      </c>
      <c r="J1" t="s">
        <v>9</v>
      </c>
      <c r="K1" t="s">
        <v>10</v>
      </c>
      <c r="L1" t="s">
        <v>11</v>
      </c>
      <c r="M1" t="s">
        <v>12</v>
      </c>
      <c r="N1" t="s">
        <v>13</v>
      </c>
      <c r="P1" s="111" t="s">
        <v>14</v>
      </c>
      <c r="Q1" s="111"/>
    </row>
    <row r="2" spans="1:17" x14ac:dyDescent="0.3">
      <c r="A2" t="s">
        <v>31</v>
      </c>
      <c r="B2" t="str">
        <f>VLOOKUP($A2,[135]WRDS!$A$1:$N$50,2,FALSE)</f>
        <v>ED</v>
      </c>
      <c r="C2" t="str">
        <f>VLOOKUP($A2,[135]WRDS!$A$1:$N$37,3,FALSE)</f>
        <v>CONSOL EDISON</v>
      </c>
      <c r="D2">
        <f>VLOOKUP($A2,[135]WRDS!$A$1:$N$37,13,FALSE)</f>
        <v>2.13</v>
      </c>
      <c r="E2">
        <f>VLOOKUP(A2,[119]WRDS!$A$1:$N$40,13,FALSE)</f>
        <v>2.4950000000000001</v>
      </c>
      <c r="F2" s="1">
        <f>D2*(1+I2)^4</f>
        <v>2.6708569759063212</v>
      </c>
      <c r="G2" s="1">
        <f>D2*(1+J2)^4</f>
        <v>2.6890759248000005</v>
      </c>
      <c r="H2" s="2">
        <f t="shared" ref="H2:H32" si="0">((E2/D2)^(1/4)-1)</f>
        <v>4.0333866764391324E-2</v>
      </c>
      <c r="I2" s="2">
        <f>VLOOKUP($A2,[136]WRDS!$A$1:$O$50,10,FALSE)/100</f>
        <v>5.8200000000000002E-2</v>
      </c>
      <c r="J2" s="2">
        <f>VLOOKUP($A2,[136]WRDS!$A$1:$O$50,9,FALSE)/100</f>
        <v>0.06</v>
      </c>
      <c r="K2" s="2">
        <f t="shared" ref="K2:K32" si="1">(I2-H2)/(ABS(H2))</f>
        <v>0.44295612270385537</v>
      </c>
      <c r="L2" s="2">
        <f t="shared" ref="L2:L32" si="2">(J2-H2)/(ABS(H2))</f>
        <v>0.48758363165345908</v>
      </c>
      <c r="M2">
        <f>VLOOKUP($A2,[136]WRDS!$A$1:$O$50,8,FALSE)</f>
        <v>15</v>
      </c>
      <c r="N2">
        <f>VLOOKUP($A2,[136]WRDS!$A$1:$O$50,11,FALSE)</f>
        <v>1.79</v>
      </c>
      <c r="P2" t="s">
        <v>16</v>
      </c>
      <c r="Q2" s="3">
        <f>AVERAGE(H2:H999)</f>
        <v>1.8874924866652612E-2</v>
      </c>
    </row>
    <row r="3" spans="1:17" x14ac:dyDescent="0.3">
      <c r="A3" t="s">
        <v>25</v>
      </c>
      <c r="B3" t="str">
        <f>VLOOKUP($A3,[135]WRDS!$A$1:$N$50,2,FALSE)</f>
        <v>D</v>
      </c>
      <c r="C3" t="str">
        <f>VLOOKUP($A3,[135]WRDS!$A$1:$N$37,3,FALSE)</f>
        <v>DOMINION RES INC</v>
      </c>
      <c r="D3">
        <f>VLOOKUP($A3,[135]WRDS!$A$1:$N$37,13,FALSE)</f>
        <v>1.2</v>
      </c>
      <c r="E3">
        <f>VLOOKUP(A3,[119]WRDS!$A$1:$N$40,13,FALSE)</f>
        <v>1.3765000000000001</v>
      </c>
      <c r="F3" s="1">
        <f t="shared" ref="F3:F32" si="3">D3*(1+I3)^4</f>
        <v>1.4664023123143695</v>
      </c>
      <c r="G3" s="1">
        <f t="shared" ref="G3:G32" si="4">D3*(1+J3)^4</f>
        <v>1.4586075000000001</v>
      </c>
      <c r="H3" s="2">
        <f t="shared" si="0"/>
        <v>3.490084707598573E-2</v>
      </c>
      <c r="I3" s="2">
        <f>VLOOKUP($A3,[136]WRDS!$A$1:$O$50,10,FALSE)/100</f>
        <v>5.1399999999999994E-2</v>
      </c>
      <c r="J3" s="2">
        <f>VLOOKUP($A3,[136]WRDS!$A$1:$O$50,9,FALSE)/100</f>
        <v>0.05</v>
      </c>
      <c r="K3" s="2">
        <f t="shared" si="1"/>
        <v>0.47274362390381225</v>
      </c>
      <c r="L3" s="2">
        <f t="shared" si="2"/>
        <v>0.43262998434223005</v>
      </c>
      <c r="M3">
        <f>VLOOKUP($A3,[136]WRDS!$A$1:$O$50,8,FALSE)</f>
        <v>18</v>
      </c>
      <c r="N3">
        <f>VLOOKUP($A3,[136]WRDS!$A$1:$O$50,11,FALSE)</f>
        <v>1.2</v>
      </c>
      <c r="P3" t="s">
        <v>18</v>
      </c>
      <c r="Q3" s="3">
        <f>AVERAGE(I2:I999)</f>
        <v>4.9141935483870962E-2</v>
      </c>
    </row>
    <row r="4" spans="1:17" x14ac:dyDescent="0.3">
      <c r="A4" t="s">
        <v>27</v>
      </c>
      <c r="B4" t="str">
        <f>VLOOKUP($A4,[135]WRDS!$A$1:$N$50,2,FALSE)</f>
        <v>DTE</v>
      </c>
      <c r="C4" t="str">
        <f>VLOOKUP($A4,[135]WRDS!$A$1:$N$37,3,FALSE)</f>
        <v>DETROIT EDISON</v>
      </c>
      <c r="D4">
        <f>VLOOKUP($A4,[135]WRDS!$A$1:$N$37,13,FALSE)</f>
        <v>2.33</v>
      </c>
      <c r="E4">
        <f>VLOOKUP(A4,[119]WRDS!$A$1:$N$40,13,FALSE)</f>
        <v>2.65</v>
      </c>
      <c r="F4" s="1">
        <f t="shared" si="3"/>
        <v>2.6654715705066705</v>
      </c>
      <c r="G4" s="1">
        <f t="shared" si="4"/>
        <v>2.7048633854068806</v>
      </c>
      <c r="H4" s="2">
        <f t="shared" si="0"/>
        <v>3.2695984260820987E-2</v>
      </c>
      <c r="I4" s="2">
        <f>VLOOKUP($A4,[136]WRDS!$A$1:$O$50,10,FALSE)/100</f>
        <v>3.4200000000000001E-2</v>
      </c>
      <c r="J4" s="2">
        <f>VLOOKUP($A4,[136]WRDS!$A$1:$O$50,9,FALSE)/100</f>
        <v>3.7999999999999999E-2</v>
      </c>
      <c r="K4" s="2">
        <f t="shared" si="1"/>
        <v>4.6000014166303879E-2</v>
      </c>
      <c r="L4" s="2">
        <f t="shared" si="2"/>
        <v>0.1622222379625598</v>
      </c>
      <c r="M4">
        <f>VLOOKUP($A4,[136]WRDS!$A$1:$O$50,8,FALSE)</f>
        <v>13</v>
      </c>
      <c r="N4">
        <f>VLOOKUP($A4,[136]WRDS!$A$1:$O$50,11,FALSE)</f>
        <v>1.1499999999999999</v>
      </c>
      <c r="P4" t="s">
        <v>20</v>
      </c>
      <c r="Q4" s="3">
        <f>(Q3-Q2)/ABS(Q2)</f>
        <v>1.6035566144526898</v>
      </c>
    </row>
    <row r="5" spans="1:17" x14ac:dyDescent="0.3">
      <c r="A5" t="s">
        <v>29</v>
      </c>
      <c r="B5" t="str">
        <f>VLOOKUP($A5,[135]WRDS!$A$1:$N$50,2,FALSE)</f>
        <v>DUK</v>
      </c>
      <c r="C5" t="str">
        <f>VLOOKUP($A5,[135]WRDS!$A$1:$N$37,3,FALSE)</f>
        <v>DUKE POWER CO</v>
      </c>
      <c r="D5">
        <f>VLOOKUP($A5,[135]WRDS!$A$1:$N$37,13,FALSE)</f>
        <v>2.79</v>
      </c>
      <c r="E5">
        <f>VLOOKUP(A5,[119]WRDS!$A$1:$N$40,13,FALSE)</f>
        <v>4.335</v>
      </c>
      <c r="F5" s="1">
        <f t="shared" si="3"/>
        <v>3.483922572489456</v>
      </c>
      <c r="G5" s="1">
        <f t="shared" si="4"/>
        <v>3.417174544688641</v>
      </c>
      <c r="H5" s="2">
        <f t="shared" si="0"/>
        <v>0.11646785788105118</v>
      </c>
      <c r="I5" s="2">
        <f>VLOOKUP($A5,[136]WRDS!$A$1:$O$50,10,FALSE)/100</f>
        <v>5.7099999999999998E-2</v>
      </c>
      <c r="J5" s="2">
        <f>VLOOKUP($A5,[136]WRDS!$A$1:$O$50,9,FALSE)/100</f>
        <v>5.2000000000000005E-2</v>
      </c>
      <c r="K5" s="2">
        <f t="shared" si="1"/>
        <v>-0.50973598176488899</v>
      </c>
      <c r="L5" s="2">
        <f t="shared" si="2"/>
        <v>-0.55352488707135239</v>
      </c>
      <c r="M5">
        <f>VLOOKUP($A5,[136]WRDS!$A$1:$O$50,8,FALSE)</f>
        <v>16</v>
      </c>
      <c r="N5">
        <f>VLOOKUP($A5,[136]WRDS!$A$1:$O$50,11,FALSE)</f>
        <v>1.25</v>
      </c>
      <c r="P5" t="s">
        <v>22</v>
      </c>
      <c r="Q5" s="3">
        <f>AVERAGE(J2:J999)</f>
        <v>4.82741935483871E-2</v>
      </c>
    </row>
    <row r="6" spans="1:17" x14ac:dyDescent="0.3">
      <c r="A6" t="s">
        <v>36</v>
      </c>
      <c r="B6" t="str">
        <f>VLOOKUP($A6,[135]WRDS!$A$1:$N$50,2,FALSE)</f>
        <v>HE</v>
      </c>
      <c r="C6" t="str">
        <f>VLOOKUP($A6,[135]WRDS!$A$1:$N$37,3,FALSE)</f>
        <v>HAWAIIAN ELEC</v>
      </c>
      <c r="D6">
        <f>VLOOKUP($A6,[135]WRDS!$A$1:$N$37,13,FALSE)</f>
        <v>1.2</v>
      </c>
      <c r="E6">
        <f>VLOOKUP(A6,[119]WRDS!$A$1:$N$40,13,FALSE)</f>
        <v>1.5249999999999999</v>
      </c>
      <c r="F6" s="1">
        <f t="shared" si="3"/>
        <v>1.5321959291531995</v>
      </c>
      <c r="G6" s="1">
        <f t="shared" si="4"/>
        <v>1.4865895807499998</v>
      </c>
      <c r="H6" s="2">
        <f t="shared" si="0"/>
        <v>6.1749706006893001E-2</v>
      </c>
      <c r="I6" s="2">
        <f>VLOOKUP($A6,[136]WRDS!$A$1:$O$50,10,FALSE)/100</f>
        <v>6.3E-2</v>
      </c>
      <c r="J6" s="2">
        <f>VLOOKUP($A6,[136]WRDS!$A$1:$O$50,9,FALSE)/100</f>
        <v>5.5E-2</v>
      </c>
      <c r="K6" s="2">
        <f t="shared" si="1"/>
        <v>2.0247772401822139E-2</v>
      </c>
      <c r="L6" s="2">
        <f t="shared" si="2"/>
        <v>-0.10930750028412353</v>
      </c>
      <c r="M6">
        <f>VLOOKUP($A6,[136]WRDS!$A$1:$O$50,8,FALSE)</f>
        <v>10</v>
      </c>
      <c r="N6">
        <f>VLOOKUP($A6,[136]WRDS!$A$1:$O$50,11,FALSE)</f>
        <v>2.5</v>
      </c>
      <c r="P6" t="s">
        <v>24</v>
      </c>
      <c r="Q6" s="3">
        <f>(Q5-Q2)/ABS(Q2)</f>
        <v>1.55758334877803</v>
      </c>
    </row>
    <row r="7" spans="1:17" x14ac:dyDescent="0.3">
      <c r="A7" t="s">
        <v>38</v>
      </c>
      <c r="B7" t="str">
        <f>VLOOKUP($A7,[135]WRDS!$A$1:$N$50,2,FALSE)</f>
        <v>IDA</v>
      </c>
      <c r="C7" t="str">
        <f>VLOOKUP($A7,[135]WRDS!$A$1:$N$37,3,FALSE)</f>
        <v>IDAHO POWER CO</v>
      </c>
      <c r="D7">
        <f>VLOOKUP($A7,[135]WRDS!$A$1:$N$37,13,FALSE)</f>
        <v>2.16</v>
      </c>
      <c r="E7">
        <f>VLOOKUP(A7,[119]WRDS!$A$1:$N$40,13,FALSE)</f>
        <v>2.37</v>
      </c>
      <c r="F7" s="1">
        <f t="shared" si="3"/>
        <v>2.5405283435793455</v>
      </c>
      <c r="G7" s="1">
        <f t="shared" si="4"/>
        <v>2.5268944896000005</v>
      </c>
      <c r="H7" s="2">
        <f t="shared" si="0"/>
        <v>2.3466539510718309E-2</v>
      </c>
      <c r="I7" s="2">
        <f>VLOOKUP($A7,[136]WRDS!$A$1:$O$50,10,FALSE)/100</f>
        <v>4.1399999999999999E-2</v>
      </c>
      <c r="J7" s="2">
        <f>VLOOKUP($A7,[136]WRDS!$A$1:$O$50,9,FALSE)/100</f>
        <v>0.04</v>
      </c>
      <c r="K7" s="2">
        <f t="shared" si="1"/>
        <v>0.76421410498512599</v>
      </c>
      <c r="L7" s="2">
        <f t="shared" si="2"/>
        <v>0.70455469080688515</v>
      </c>
      <c r="M7">
        <f>VLOOKUP($A7,[136]WRDS!$A$1:$O$50,8,FALSE)</f>
        <v>9</v>
      </c>
      <c r="N7">
        <f>VLOOKUP($A7,[136]WRDS!$A$1:$O$50,11,FALSE)</f>
        <v>0.93</v>
      </c>
      <c r="P7" s="111" t="s">
        <v>26</v>
      </c>
      <c r="Q7" s="111"/>
    </row>
    <row r="8" spans="1:17" x14ac:dyDescent="0.3">
      <c r="A8" t="s">
        <v>44</v>
      </c>
      <c r="B8" t="str">
        <f>VLOOKUP($A8,[135]WRDS!$A$1:$N$50,2,FALSE)</f>
        <v>OGE</v>
      </c>
      <c r="C8" t="str">
        <f>VLOOKUP($A8,[135]WRDS!$A$1:$N$37,3,FALSE)</f>
        <v>OKLAHOMA G&amp;E</v>
      </c>
      <c r="D8">
        <f>VLOOKUP($A8,[135]WRDS!$A$1:$N$37,13,FALSE)</f>
        <v>0.57499999999999996</v>
      </c>
      <c r="E8">
        <f>VLOOKUP(A8,[119]WRDS!$A$1:$N$40,13,FALSE)</f>
        <v>0.76249999999999996</v>
      </c>
      <c r="F8" s="1">
        <f t="shared" si="3"/>
        <v>0.70452421886274774</v>
      </c>
      <c r="G8" s="1">
        <f t="shared" si="4"/>
        <v>0.69891609374999997</v>
      </c>
      <c r="H8" s="2">
        <f t="shared" si="0"/>
        <v>7.3106933289422305E-2</v>
      </c>
      <c r="I8" s="2">
        <f>VLOOKUP($A8,[136]WRDS!$A$1:$O$50,10,FALSE)/100</f>
        <v>5.21E-2</v>
      </c>
      <c r="J8" s="2">
        <f>VLOOKUP($A8,[136]WRDS!$A$1:$O$50,9,FALSE)/100</f>
        <v>0.05</v>
      </c>
      <c r="K8" s="2">
        <f t="shared" si="1"/>
        <v>-0.28734529468303871</v>
      </c>
      <c r="L8" s="2">
        <f t="shared" si="2"/>
        <v>-0.31607034038679332</v>
      </c>
      <c r="M8">
        <f>VLOOKUP($A8,[136]WRDS!$A$1:$O$50,8,FALSE)</f>
        <v>17</v>
      </c>
      <c r="N8">
        <f>VLOOKUP($A8,[136]WRDS!$A$1:$O$50,11,FALSE)</f>
        <v>1.42</v>
      </c>
      <c r="P8" t="s">
        <v>28</v>
      </c>
      <c r="Q8" s="2">
        <f>MEDIAN(H2:H99)</f>
        <v>2.3466539510718309E-2</v>
      </c>
    </row>
    <row r="9" spans="1:17" x14ac:dyDescent="0.3">
      <c r="A9" t="s">
        <v>69</v>
      </c>
      <c r="B9" t="str">
        <f>VLOOKUP($A9,[135]WRDS!$A$1:$N$50,2,FALSE)</f>
        <v>OTTR</v>
      </c>
      <c r="C9" t="str">
        <f>VLOOKUP($A9,[135]WRDS!$A$1:$N$37,3,FALSE)</f>
        <v>OTTER TAIL PWR</v>
      </c>
      <c r="D9">
        <f>VLOOKUP($A9,[135]WRDS!$A$1:$N$37,13,FALSE)</f>
        <v>0.88749999999999996</v>
      </c>
      <c r="E9">
        <f>VLOOKUP(A9,[119]WRDS!$A$1:$N$40,13,FALSE)</f>
        <v>0.96499999999999997</v>
      </c>
      <c r="F9" s="1">
        <f t="shared" si="3"/>
        <v>1.0334658386908642</v>
      </c>
      <c r="G9" s="1">
        <f t="shared" si="4"/>
        <v>1.0382494720000002</v>
      </c>
      <c r="H9" s="2">
        <f t="shared" si="0"/>
        <v>2.1150461372343443E-2</v>
      </c>
      <c r="I9" s="2">
        <f>VLOOKUP($A9,[136]WRDS!$A$1:$O$50,10,FALSE)/100</f>
        <v>3.8800000000000001E-2</v>
      </c>
      <c r="J9" s="2">
        <f>VLOOKUP($A9,[136]WRDS!$A$1:$O$50,9,FALSE)/100</f>
        <v>0.04</v>
      </c>
      <c r="K9" s="2">
        <f t="shared" si="1"/>
        <v>0.83447534864347084</v>
      </c>
      <c r="L9" s="2">
        <f t="shared" si="2"/>
        <v>0.89121169963244418</v>
      </c>
      <c r="M9">
        <f>VLOOKUP($A9,[136]WRDS!$A$1:$O$50,8,FALSE)</f>
        <v>4</v>
      </c>
      <c r="N9">
        <f>VLOOKUP($A9,[136]WRDS!$A$1:$O$50,11,FALSE)</f>
        <v>1.65</v>
      </c>
      <c r="P9" t="s">
        <v>30</v>
      </c>
      <c r="Q9" s="2">
        <f>MEDIAN(I2:I100)</f>
        <v>4.7599999999999996E-2</v>
      </c>
    </row>
    <row r="10" spans="1:17" x14ac:dyDescent="0.3">
      <c r="A10" t="s">
        <v>47</v>
      </c>
      <c r="B10" t="str">
        <f>VLOOKUP($A10,[135]WRDS!$A$1:$N$50,2,FALSE)</f>
        <v>PNM</v>
      </c>
      <c r="C10" t="str">
        <f>VLOOKUP($A10,[135]WRDS!$A$1:$N$37,3,FALSE)</f>
        <v>PUB SVC N MEX</v>
      </c>
      <c r="D10">
        <f>VLOOKUP($A10,[135]WRDS!$A$1:$N$37,13,FALSE)</f>
        <v>2.2000000000000002</v>
      </c>
      <c r="E10">
        <f>VLOOKUP(A10,[119]WRDS!$A$1:$N$40,13,FALSE)</f>
        <v>0.9</v>
      </c>
      <c r="F10" s="1">
        <f t="shared" si="3"/>
        <v>2.6165183981090001</v>
      </c>
      <c r="G10" s="1">
        <f t="shared" si="4"/>
        <v>2.6235409213749992</v>
      </c>
      <c r="H10" s="2">
        <f t="shared" si="0"/>
        <v>-0.20024869548913438</v>
      </c>
      <c r="I10" s="2">
        <f>VLOOKUP($A10,[136]WRDS!$A$1:$O$50,10,FALSE)/100</f>
        <v>4.4299999999999999E-2</v>
      </c>
      <c r="J10" s="2">
        <f>VLOOKUP($A10,[136]WRDS!$A$1:$O$50,9,FALSE)/100</f>
        <v>4.4999999999999998E-2</v>
      </c>
      <c r="K10" s="2">
        <f t="shared" si="1"/>
        <v>1.2212249118117413</v>
      </c>
      <c r="L10" s="2">
        <f t="shared" si="2"/>
        <v>1.2247205650457869</v>
      </c>
      <c r="M10">
        <f>VLOOKUP($A10,[136]WRDS!$A$1:$O$50,8,FALSE)</f>
        <v>11</v>
      </c>
      <c r="N10">
        <f>VLOOKUP($A10,[136]WRDS!$A$1:$O$50,11,FALSE)</f>
        <v>1.74</v>
      </c>
      <c r="P10" t="s">
        <v>32</v>
      </c>
      <c r="Q10" s="2">
        <f>(Q9-Q8)/ABS(Q8)</f>
        <v>1.028420082060193</v>
      </c>
    </row>
    <row r="11" spans="1:17" x14ac:dyDescent="0.3">
      <c r="A11" t="s">
        <v>51</v>
      </c>
      <c r="B11" t="str">
        <f>VLOOKUP($A11,[135]WRDS!$A$1:$N$50,2,FALSE)</f>
        <v>PPL</v>
      </c>
      <c r="C11" t="str">
        <f>VLOOKUP($A11,[135]WRDS!$A$1:$N$37,3,FALSE)</f>
        <v>PENNA P&amp;L</v>
      </c>
      <c r="D11">
        <f>VLOOKUP($A11,[135]WRDS!$A$1:$N$37,13,FALSE)</f>
        <v>0.67</v>
      </c>
      <c r="E11">
        <f>VLOOKUP(A11,[119]WRDS!$A$1:$N$40,13,FALSE)</f>
        <v>1.0075000000000001</v>
      </c>
      <c r="F11" s="1">
        <f t="shared" si="3"/>
        <v>0.76439304443319234</v>
      </c>
      <c r="G11" s="1">
        <f t="shared" si="4"/>
        <v>0.75409090270000001</v>
      </c>
      <c r="H11" s="2">
        <f t="shared" si="0"/>
        <v>0.10736951364474323</v>
      </c>
      <c r="I11" s="2">
        <f>VLOOKUP($A11,[136]WRDS!$A$1:$O$50,10,FALSE)/100</f>
        <v>3.3500000000000002E-2</v>
      </c>
      <c r="J11" s="2">
        <f>VLOOKUP($A11,[136]WRDS!$A$1:$O$50,9,FALSE)/100</f>
        <v>0.03</v>
      </c>
      <c r="K11" s="2">
        <f t="shared" si="1"/>
        <v>-0.68799337109002401</v>
      </c>
      <c r="L11" s="2">
        <f t="shared" si="2"/>
        <v>-0.72059107858808125</v>
      </c>
      <c r="M11">
        <f>VLOOKUP($A11,[136]WRDS!$A$1:$O$50,8,FALSE)</f>
        <v>15</v>
      </c>
      <c r="N11">
        <f>VLOOKUP($A11,[136]WRDS!$A$1:$O$50,11,FALSE)</f>
        <v>2.46</v>
      </c>
      <c r="P11" t="s">
        <v>34</v>
      </c>
      <c r="Q11" s="2">
        <f>MEDIAN(J2:J99)</f>
        <v>4.4999999999999998E-2</v>
      </c>
    </row>
    <row r="12" spans="1:17" x14ac:dyDescent="0.3">
      <c r="A12" t="s">
        <v>46</v>
      </c>
      <c r="B12" t="str">
        <f>VLOOKUP($A12,[135]WRDS!$A$1:$N$50,2,FALSE)</f>
        <v>PEG</v>
      </c>
      <c r="C12" t="str">
        <f>VLOOKUP($A12,[135]WRDS!$A$1:$N$37,3,FALSE)</f>
        <v>PUB SVC E&amp;G</v>
      </c>
      <c r="D12">
        <f>VLOOKUP($A12,[135]WRDS!$A$1:$N$37,13,FALSE)</f>
        <v>1.32</v>
      </c>
      <c r="E12">
        <f>VLOOKUP(A12,[119]WRDS!$A$1:$N$40,13,FALSE)</f>
        <v>1.3149999999999999</v>
      </c>
      <c r="F12" s="1">
        <f t="shared" si="3"/>
        <v>1.5627075587361636</v>
      </c>
      <c r="G12" s="1">
        <f t="shared" si="4"/>
        <v>1.5442132992000004</v>
      </c>
      <c r="H12" s="2">
        <f t="shared" si="0"/>
        <v>-9.483178043303564E-4</v>
      </c>
      <c r="I12" s="2">
        <f>VLOOKUP($A12,[136]WRDS!$A$1:$O$50,10,FALSE)/100</f>
        <v>4.3099999999999999E-2</v>
      </c>
      <c r="J12" s="2">
        <f>VLOOKUP($A12,[136]WRDS!$A$1:$O$50,9,FALSE)/100</f>
        <v>0.04</v>
      </c>
      <c r="K12" s="2">
        <f t="shared" si="1"/>
        <v>46.448898885152289</v>
      </c>
      <c r="L12" s="2">
        <f t="shared" si="2"/>
        <v>43.179952561626251</v>
      </c>
      <c r="M12">
        <f>VLOOKUP($A12,[136]WRDS!$A$1:$O$50,8,FALSE)</f>
        <v>18</v>
      </c>
      <c r="N12">
        <f>VLOOKUP($A12,[136]WRDS!$A$1:$O$50,11,FALSE)</f>
        <v>1.24</v>
      </c>
      <c r="P12" t="s">
        <v>32</v>
      </c>
      <c r="Q12" s="2">
        <f>(Q11-Q8)/ABS(Q8)</f>
        <v>0.9176240271577456</v>
      </c>
    </row>
    <row r="13" spans="1:17" x14ac:dyDescent="0.3">
      <c r="A13" t="s">
        <v>53</v>
      </c>
      <c r="B13" t="str">
        <f>VLOOKUP($A13,[135]WRDS!$A$1:$N$50,2,FALSE)</f>
        <v>SO</v>
      </c>
      <c r="C13" t="str">
        <f>VLOOKUP($A13,[135]WRDS!$A$1:$N$37,3,FALSE)</f>
        <v>SOUTHN CO</v>
      </c>
      <c r="D13">
        <f>VLOOKUP($A13,[135]WRDS!$A$1:$N$37,13,FALSE)</f>
        <v>1.6</v>
      </c>
      <c r="E13">
        <f>VLOOKUP(A13,[119]WRDS!$A$1:$N$40,13,FALSE)</f>
        <v>1.34</v>
      </c>
      <c r="F13" s="1">
        <f t="shared" si="3"/>
        <v>1.9270897509958047</v>
      </c>
      <c r="G13" s="1">
        <f t="shared" si="4"/>
        <v>1.9374117772816</v>
      </c>
      <c r="H13" s="2">
        <f t="shared" si="0"/>
        <v>-4.3365137115442431E-2</v>
      </c>
      <c r="I13" s="2">
        <f>VLOOKUP($A13,[136]WRDS!$A$1:$O$50,10,FALSE)/100</f>
        <v>4.7599999999999996E-2</v>
      </c>
      <c r="J13" s="2">
        <f>VLOOKUP($A13,[136]WRDS!$A$1:$O$50,9,FALSE)/100</f>
        <v>4.9000000000000002E-2</v>
      </c>
      <c r="K13" s="2">
        <f t="shared" si="1"/>
        <v>2.0976559320747432</v>
      </c>
      <c r="L13" s="2">
        <f t="shared" si="2"/>
        <v>2.1299399300769415</v>
      </c>
      <c r="M13">
        <f>VLOOKUP($A13,[136]WRDS!$A$1:$O$50,8,FALSE)</f>
        <v>18</v>
      </c>
      <c r="N13">
        <f>VLOOKUP($A13,[136]WRDS!$A$1:$O$50,11,FALSE)</f>
        <v>1.02</v>
      </c>
      <c r="P13" s="111" t="s">
        <v>37</v>
      </c>
      <c r="Q13" s="111"/>
    </row>
    <row r="14" spans="1:17" x14ac:dyDescent="0.3">
      <c r="A14" t="s">
        <v>71</v>
      </c>
      <c r="B14" t="str">
        <f>VLOOKUP($A14,[135]WRDS!$A$1:$N$50,2,FALSE)</f>
        <v>CNL</v>
      </c>
      <c r="C14" t="str">
        <f>VLOOKUP($A14,[135]WRDS!$A$1:$N$37,3,FALSE)</f>
        <v>CENT LA ELEC INC</v>
      </c>
      <c r="D14">
        <f>VLOOKUP($A14,[135]WRDS!$A$1:$N$37,13,FALSE)</f>
        <v>0.91249999999999998</v>
      </c>
      <c r="E14">
        <f>VLOOKUP(A14,[119]WRDS!$A$1:$N$40,13,FALSE)</f>
        <v>0.89500000000000002</v>
      </c>
      <c r="F14" s="1">
        <f t="shared" si="3"/>
        <v>0.987719346</v>
      </c>
      <c r="G14" s="1">
        <f t="shared" si="4"/>
        <v>1.0881732230703121</v>
      </c>
      <c r="H14" s="2">
        <f t="shared" si="0"/>
        <v>-4.829392597139881E-3</v>
      </c>
      <c r="I14" s="2">
        <f>VLOOKUP($A14,[136]WRDS!$A$1:$O$50,10,FALSE)/100</f>
        <v>0.02</v>
      </c>
      <c r="J14" s="2">
        <f>VLOOKUP($A14,[136]WRDS!$A$1:$O$50,9,FALSE)/100</f>
        <v>4.4999999999999998E-2</v>
      </c>
      <c r="K14" s="2">
        <f t="shared" si="1"/>
        <v>5.141307544937356</v>
      </c>
      <c r="L14" s="2">
        <f t="shared" si="2"/>
        <v>10.317941976109049</v>
      </c>
      <c r="M14">
        <f>VLOOKUP($A14,[136]WRDS!$A$1:$O$50,8,FALSE)</f>
        <v>3</v>
      </c>
      <c r="N14">
        <f>VLOOKUP($A14,[136]WRDS!$A$1:$O$50,11,FALSE)</f>
        <v>5.22</v>
      </c>
      <c r="P14" t="s">
        <v>39</v>
      </c>
      <c r="Q14" s="1">
        <f>AVERAGE(M2:M1002)</f>
        <v>9.7741935483870961</v>
      </c>
    </row>
    <row r="15" spans="1:17" x14ac:dyDescent="0.3">
      <c r="A15" t="s">
        <v>72</v>
      </c>
      <c r="B15" t="str">
        <f>VLOOKUP($A15,[135]WRDS!$A$1:$N$50,2,FALSE)</f>
        <v>EDE</v>
      </c>
      <c r="C15" t="str">
        <f>VLOOKUP($A15,[135]WRDS!$A$1:$N$37,3,FALSE)</f>
        <v>EMPIRE DIST ELEC</v>
      </c>
      <c r="D15">
        <f>VLOOKUP($A15,[135]WRDS!$A$1:$N$37,13,FALSE)</f>
        <v>1.375</v>
      </c>
      <c r="E15">
        <f>VLOOKUP(A15,[119]WRDS!$A$1:$N$40,13,FALSE)</f>
        <v>1.4650000000000001</v>
      </c>
      <c r="F15" s="1">
        <f t="shared" si="3"/>
        <v>1.445049838256836</v>
      </c>
      <c r="G15" s="1">
        <f t="shared" si="4"/>
        <v>1.445049838256836</v>
      </c>
      <c r="H15" s="2">
        <f t="shared" si="0"/>
        <v>1.5976661408295234E-2</v>
      </c>
      <c r="I15" s="2">
        <f>VLOOKUP($A15,[136]WRDS!$A$1:$O$50,10,FALSE)/100</f>
        <v>1.2500000000000001E-2</v>
      </c>
      <c r="J15" s="2">
        <f>VLOOKUP($A15,[136]WRDS!$A$1:$O$50,9,FALSE)/100</f>
        <v>1.2500000000000001E-2</v>
      </c>
      <c r="K15" s="2">
        <f t="shared" si="1"/>
        <v>-0.21760875563715193</v>
      </c>
      <c r="L15" s="2">
        <f t="shared" si="2"/>
        <v>-0.21760875563715193</v>
      </c>
      <c r="M15">
        <f>VLOOKUP($A15,[136]WRDS!$A$1:$O$50,8,FALSE)</f>
        <v>2</v>
      </c>
      <c r="N15">
        <f>VLOOKUP($A15,[136]WRDS!$A$1:$O$50,11,FALSE)</f>
        <v>0.35</v>
      </c>
      <c r="P15" t="s">
        <v>41</v>
      </c>
      <c r="Q15" s="1">
        <f>COUNT(N2:N1002)</f>
        <v>31</v>
      </c>
    </row>
    <row r="16" spans="1:17" x14ac:dyDescent="0.3">
      <c r="A16" t="s">
        <v>52</v>
      </c>
      <c r="B16" t="str">
        <f>VLOOKUP($A16,[135]WRDS!$A$1:$N$50,2,FALSE)</f>
        <v>SCG</v>
      </c>
      <c r="C16" t="str">
        <f>VLOOKUP($A16,[135]WRDS!$A$1:$N$37,3,FALSE)</f>
        <v>SCANA CP</v>
      </c>
      <c r="D16">
        <f>VLOOKUP($A16,[135]WRDS!$A$1:$N$37,13,FALSE)</f>
        <v>1.41</v>
      </c>
      <c r="E16">
        <f>VLOOKUP(A16,[119]WRDS!$A$1:$N$40,13,FALSE)</f>
        <v>1.52</v>
      </c>
      <c r="F16" s="1">
        <f t="shared" si="3"/>
        <v>1.7040912711078877</v>
      </c>
      <c r="G16" s="1">
        <f t="shared" si="4"/>
        <v>1.6750242825753601</v>
      </c>
      <c r="H16" s="2">
        <f t="shared" si="0"/>
        <v>1.8957613922156558E-2</v>
      </c>
      <c r="I16" s="2">
        <f>VLOOKUP($A16,[136]WRDS!$A$1:$O$50,10,FALSE)/100</f>
        <v>4.8499999999999995E-2</v>
      </c>
      <c r="J16" s="2">
        <f>VLOOKUP($A16,[136]WRDS!$A$1:$O$50,9,FALSE)/100</f>
        <v>4.4000000000000004E-2</v>
      </c>
      <c r="K16" s="2">
        <f t="shared" si="1"/>
        <v>1.5583388394314757</v>
      </c>
      <c r="L16" s="2">
        <f t="shared" si="2"/>
        <v>1.3209671945357724</v>
      </c>
      <c r="M16">
        <f>VLOOKUP($A16,[136]WRDS!$A$1:$O$50,8,FALSE)</f>
        <v>14</v>
      </c>
      <c r="N16">
        <f>VLOOKUP($A16,[136]WRDS!$A$1:$O$50,11,FALSE)</f>
        <v>1.61</v>
      </c>
    </row>
    <row r="17" spans="1:14" x14ac:dyDescent="0.3">
      <c r="A17" t="s">
        <v>75</v>
      </c>
      <c r="B17" t="str">
        <f>VLOOKUP($A17,[135]WRDS!$A$1:$N$50,2,FALSE)</f>
        <v>TE</v>
      </c>
      <c r="C17" t="str">
        <f>VLOOKUP($A17,[135]WRDS!$A$1:$N$37,3,FALSE)</f>
        <v>TECO ENERGY INC</v>
      </c>
      <c r="D17">
        <f>VLOOKUP($A17,[135]WRDS!$A$1:$N$37,13,FALSE)</f>
        <v>0.89500000000000002</v>
      </c>
      <c r="E17">
        <f>VLOOKUP(A17,[119]WRDS!$A$1:$N$40,13,FALSE)</f>
        <v>1.1599999999999999</v>
      </c>
      <c r="F17" s="1">
        <f t="shared" si="3"/>
        <v>1.1423328436127986</v>
      </c>
      <c r="G17" s="1">
        <f t="shared" si="4"/>
        <v>1.1299168792000003</v>
      </c>
      <c r="H17" s="2">
        <f t="shared" si="0"/>
        <v>6.6986042810222468E-2</v>
      </c>
      <c r="I17" s="2">
        <f>VLOOKUP($A17,[136]WRDS!$A$1:$O$50,10,FALSE)/100</f>
        <v>6.2899999999999998E-2</v>
      </c>
      <c r="J17" s="2">
        <f>VLOOKUP($A17,[136]WRDS!$A$1:$O$50,9,FALSE)/100</f>
        <v>0.06</v>
      </c>
      <c r="K17" s="2">
        <f t="shared" si="1"/>
        <v>-6.0998420548570097E-2</v>
      </c>
      <c r="L17" s="2">
        <f t="shared" si="2"/>
        <v>-0.10429102119100486</v>
      </c>
      <c r="M17">
        <f>VLOOKUP($A17,[136]WRDS!$A$1:$O$50,8,FALSE)</f>
        <v>16</v>
      </c>
      <c r="N17">
        <f>VLOOKUP($A17,[136]WRDS!$A$1:$O$50,11,FALSE)</f>
        <v>1.5</v>
      </c>
    </row>
    <row r="18" spans="1:14" x14ac:dyDescent="0.3">
      <c r="A18" t="s">
        <v>84</v>
      </c>
      <c r="B18" t="str">
        <f>VLOOKUP($A18,[135]WRDS!$A$1:$N$50,2,FALSE)</f>
        <v>CV</v>
      </c>
      <c r="C18" t="str">
        <f>VLOOKUP($A18,[135]WRDS!$A$1:$N$37,3,FALSE)</f>
        <v>CNTRL VT PUB SVC</v>
      </c>
      <c r="D18">
        <f>VLOOKUP($A18,[135]WRDS!$A$1:$N$37,13,FALSE)</f>
        <v>2.2599999999999998</v>
      </c>
      <c r="E18">
        <f>VLOOKUP(A18,[119]WRDS!$A$1:$N$40,13,FALSE)</f>
        <v>1.7</v>
      </c>
      <c r="F18" s="1">
        <f t="shared" si="3"/>
        <v>2.6438803456000004</v>
      </c>
      <c r="G18" s="1">
        <f t="shared" si="4"/>
        <v>2.6438803456000004</v>
      </c>
      <c r="H18" s="2">
        <f t="shared" si="0"/>
        <v>-6.8709611991740416E-2</v>
      </c>
      <c r="I18" s="2">
        <f>VLOOKUP($A18,[136]WRDS!$A$1:$O$50,10,FALSE)/100</f>
        <v>0.04</v>
      </c>
      <c r="J18" s="2">
        <f>VLOOKUP($A18,[136]WRDS!$A$1:$O$50,9,FALSE)/100</f>
        <v>0.04</v>
      </c>
      <c r="K18" s="2">
        <f t="shared" si="1"/>
        <v>1.5821601787652129</v>
      </c>
      <c r="L18" s="2">
        <f t="shared" si="2"/>
        <v>1.5821601787652129</v>
      </c>
      <c r="M18">
        <f>VLOOKUP($A18,[136]WRDS!$A$1:$O$50,8,FALSE)</f>
        <v>1</v>
      </c>
      <c r="N18">
        <f>VLOOKUP($A18,[136]WRDS!$A$1:$O$50,11,FALSE)</f>
        <v>0</v>
      </c>
    </row>
    <row r="19" spans="1:14" x14ac:dyDescent="0.3">
      <c r="A19" t="s">
        <v>78</v>
      </c>
      <c r="B19" t="str">
        <f>VLOOKUP($A19,[135]WRDS!$A$1:$N$50,2,FALSE)</f>
        <v>NU</v>
      </c>
      <c r="C19" t="str">
        <f>VLOOKUP($A19,[135]WRDS!$A$1:$N$37,3,FALSE)</f>
        <v>NORTHEAST UTILS</v>
      </c>
      <c r="D19">
        <f>VLOOKUP($A19,[135]WRDS!$A$1:$N$37,13,FALSE)</f>
        <v>2.72</v>
      </c>
      <c r="E19">
        <f>VLOOKUP(A19,[119]WRDS!$A$1:$N$40,13,FALSE)</f>
        <v>1.94</v>
      </c>
      <c r="F19" s="1">
        <f t="shared" si="3"/>
        <v>3.2028718368059756</v>
      </c>
      <c r="G19" s="1">
        <f t="shared" si="4"/>
        <v>3.2436505936999986</v>
      </c>
      <c r="H19" s="2">
        <f t="shared" si="0"/>
        <v>-8.101545761699791E-2</v>
      </c>
      <c r="I19" s="2">
        <f>VLOOKUP($A19,[136]WRDS!$A$1:$O$50,10,FALSE)/100</f>
        <v>4.1700000000000001E-2</v>
      </c>
      <c r="J19" s="2">
        <f>VLOOKUP($A19,[136]WRDS!$A$1:$O$50,9,FALSE)/100</f>
        <v>4.4999999999999998E-2</v>
      </c>
      <c r="K19" s="2">
        <f t="shared" si="1"/>
        <v>1.5147165889889498</v>
      </c>
      <c r="L19" s="2">
        <f t="shared" si="2"/>
        <v>1.5554495564628954</v>
      </c>
      <c r="M19">
        <f>VLOOKUP($A19,[136]WRDS!$A$1:$O$50,8,FALSE)</f>
        <v>14</v>
      </c>
      <c r="N19">
        <f>VLOOKUP($A19,[136]WRDS!$A$1:$O$50,11,FALSE)</f>
        <v>1.97</v>
      </c>
    </row>
    <row r="20" spans="1:14" x14ac:dyDescent="0.3">
      <c r="A20" t="s">
        <v>74</v>
      </c>
      <c r="B20" t="str">
        <f>VLOOKUP($A20,[135]WRDS!$A$1:$N$50,2,FALSE)</f>
        <v>PGN</v>
      </c>
      <c r="C20" t="str">
        <f>VLOOKUP($A20,[135]WRDS!$A$1:$N$37,3,FALSE)</f>
        <v>PORTLD GEN ELEC</v>
      </c>
      <c r="D20">
        <f>VLOOKUP($A20,[135]WRDS!$A$1:$N$37,13,FALSE)</f>
        <v>1.1399999999999999</v>
      </c>
      <c r="E20">
        <f>VLOOKUP(A20,[119]WRDS!$A$1:$N$40,13,FALSE)</f>
        <v>1.34</v>
      </c>
      <c r="F20" s="1">
        <f t="shared" si="3"/>
        <v>1.3636389616253892</v>
      </c>
      <c r="G20" s="1">
        <f t="shared" si="4"/>
        <v>1.3490936093531394</v>
      </c>
      <c r="H20" s="2">
        <f t="shared" si="0"/>
        <v>4.1237945924806674E-2</v>
      </c>
      <c r="I20" s="2">
        <f>VLOOKUP($A20,[136]WRDS!$A$1:$O$50,10,FALSE)/100</f>
        <v>4.58E-2</v>
      </c>
      <c r="J20" s="2">
        <f>VLOOKUP($A20,[136]WRDS!$A$1:$O$50,9,FALSE)/100</f>
        <v>4.2999999999999997E-2</v>
      </c>
      <c r="K20" s="2">
        <f t="shared" si="1"/>
        <v>0.11062757789904915</v>
      </c>
      <c r="L20" s="2">
        <f t="shared" si="2"/>
        <v>4.2728948682513299E-2</v>
      </c>
      <c r="M20">
        <f>VLOOKUP($A20,[136]WRDS!$A$1:$O$50,8,FALSE)</f>
        <v>8</v>
      </c>
      <c r="N20">
        <f>VLOOKUP($A20,[136]WRDS!$A$1:$O$50,11,FALSE)</f>
        <v>1.01</v>
      </c>
    </row>
    <row r="21" spans="1:14" x14ac:dyDescent="0.3">
      <c r="A21" t="s">
        <v>86</v>
      </c>
      <c r="B21" t="str">
        <f>VLOOKUP($A21,[135]WRDS!$A$1:$N$50,2,FALSE)</f>
        <v>DPL</v>
      </c>
      <c r="C21" t="str">
        <f>VLOOKUP($A21,[135]WRDS!$A$1:$N$37,3,FALSE)</f>
        <v>DAYTON P &amp; L</v>
      </c>
      <c r="D21">
        <f>VLOOKUP($A21,[135]WRDS!$A$1:$N$37,13,FALSE)</f>
        <v>0.94810000000000005</v>
      </c>
      <c r="E21">
        <f>VLOOKUP(A21,[119]WRDS!$A$1:$N$40,13,FALSE)</f>
        <v>0.97330000000000005</v>
      </c>
      <c r="F21" s="1">
        <f t="shared" si="3"/>
        <v>1.0298808003336011</v>
      </c>
      <c r="G21" s="1">
        <f t="shared" si="4"/>
        <v>1.0588308959201536</v>
      </c>
      <c r="H21" s="2">
        <f t="shared" si="0"/>
        <v>6.5796457643152451E-3</v>
      </c>
      <c r="I21" s="2">
        <f>VLOOKUP($A21,[136]WRDS!$A$1:$O$50,10,FALSE)/100</f>
        <v>2.0899999999999998E-2</v>
      </c>
      <c r="J21" s="2">
        <f>VLOOKUP($A21,[136]WRDS!$A$1:$O$50,9,FALSE)/100</f>
        <v>2.7999999999999997E-2</v>
      </c>
      <c r="K21" s="2">
        <f t="shared" si="1"/>
        <v>2.1764627988563299</v>
      </c>
      <c r="L21" s="2">
        <f t="shared" si="2"/>
        <v>3.2555482472716379</v>
      </c>
      <c r="M21">
        <f>VLOOKUP($A21,[136]WRDS!$A$1:$O$50,8,FALSE)</f>
        <v>9</v>
      </c>
      <c r="N21">
        <f>VLOOKUP($A21,[136]WRDS!$A$1:$O$50,11,FALSE)</f>
        <v>1.62</v>
      </c>
    </row>
    <row r="22" spans="1:14" x14ac:dyDescent="0.3">
      <c r="A22" t="s">
        <v>79</v>
      </c>
      <c r="B22" t="str">
        <f>VLOOKUP($A22,[135]WRDS!$A$1:$N$50,2,FALSE)</f>
        <v>UIL</v>
      </c>
      <c r="C22" t="str">
        <f>VLOOKUP($A22,[135]WRDS!$A$1:$N$37,3,FALSE)</f>
        <v>UTD ILLUM CO</v>
      </c>
      <c r="D22">
        <f>VLOOKUP($A22,[135]WRDS!$A$1:$N$37,13,FALSE)</f>
        <v>3.492</v>
      </c>
      <c r="E22">
        <f>VLOOKUP(A22,[119]WRDS!$A$1:$N$40,13,FALSE)</f>
        <v>3.1859999999999999</v>
      </c>
      <c r="F22" s="1">
        <f t="shared" si="3"/>
        <v>3.6337892029200001</v>
      </c>
      <c r="G22" s="1">
        <f t="shared" si="4"/>
        <v>3.6337892029200001</v>
      </c>
      <c r="H22" s="2">
        <f t="shared" si="0"/>
        <v>-2.2666277667076185E-2</v>
      </c>
      <c r="I22" s="2">
        <f>VLOOKUP($A22,[136]WRDS!$A$1:$O$50,10,FALSE)/100</f>
        <v>0.01</v>
      </c>
      <c r="J22" s="2">
        <f>VLOOKUP($A22,[136]WRDS!$A$1:$O$50,9,FALSE)/100</f>
        <v>0.01</v>
      </c>
      <c r="K22" s="2">
        <f t="shared" si="1"/>
        <v>1.4411840420769866</v>
      </c>
      <c r="L22" s="2">
        <f t="shared" si="2"/>
        <v>1.4411840420769866</v>
      </c>
      <c r="M22">
        <f>VLOOKUP($A22,[136]WRDS!$A$1:$O$50,8,FALSE)</f>
        <v>1</v>
      </c>
      <c r="N22">
        <f>VLOOKUP($A22,[136]WRDS!$A$1:$O$50,11,FALSE)</f>
        <v>0</v>
      </c>
    </row>
    <row r="23" spans="1:14" x14ac:dyDescent="0.3">
      <c r="A23" t="s">
        <v>89</v>
      </c>
      <c r="B23" t="str">
        <f>VLOOKUP($A23,[135]WRDS!$A$1:$N$50,2,FALSE)</f>
        <v>FPL</v>
      </c>
      <c r="C23" t="str">
        <f>VLOOKUP($A23,[135]WRDS!$A$1:$N$37,3,FALSE)</f>
        <v>FPL GROUP</v>
      </c>
      <c r="D23">
        <f>VLOOKUP($A23,[135]WRDS!$A$1:$N$37,13,FALSE)</f>
        <v>0.38879999999999998</v>
      </c>
      <c r="E23">
        <f>VLOOKUP(A23,[119]WRDS!$A$1:$N$40,13,FALSE)</f>
        <v>0.39</v>
      </c>
      <c r="F23" s="1">
        <f t="shared" si="3"/>
        <v>0.49344935931228717</v>
      </c>
      <c r="G23" s="1">
        <f t="shared" si="4"/>
        <v>0.49085104204800012</v>
      </c>
      <c r="H23" s="2">
        <f t="shared" si="0"/>
        <v>7.7071348147428331E-4</v>
      </c>
      <c r="I23" s="2">
        <f>VLOOKUP($A23,[136]WRDS!$A$1:$O$50,10,FALSE)/100</f>
        <v>6.1399999999999996E-2</v>
      </c>
      <c r="J23" s="2">
        <f>VLOOKUP($A23,[136]WRDS!$A$1:$O$50,9,FALSE)/100</f>
        <v>0.06</v>
      </c>
      <c r="K23" s="2">
        <f t="shared" si="1"/>
        <v>78.666440870541265</v>
      </c>
      <c r="L23" s="2">
        <f t="shared" si="2"/>
        <v>76.849942218769968</v>
      </c>
      <c r="M23">
        <f>VLOOKUP($A23,[136]WRDS!$A$1:$O$50,8,FALSE)</f>
        <v>18</v>
      </c>
      <c r="N23">
        <f>VLOOKUP($A23,[136]WRDS!$A$1:$O$50,11,FALSE)</f>
        <v>1.62</v>
      </c>
    </row>
    <row r="24" spans="1:14" x14ac:dyDescent="0.3">
      <c r="A24" t="s">
        <v>91</v>
      </c>
      <c r="B24" t="str">
        <f>VLOOKUP($A24,[135]WRDS!$A$1:$N$50,2,FALSE)</f>
        <v>PSD</v>
      </c>
      <c r="C24" t="str">
        <f>VLOOKUP($A24,[135]WRDS!$A$1:$N$37,3,FALSE)</f>
        <v>PUGET SOUND P&amp;L</v>
      </c>
      <c r="D24">
        <f>VLOOKUP($A24,[135]WRDS!$A$1:$N$37,13,FALSE)</f>
        <v>2.0699999999999998</v>
      </c>
      <c r="E24">
        <f>VLOOKUP(A24,[119]WRDS!$A$1:$N$40,13,FALSE)</f>
        <v>1.94</v>
      </c>
      <c r="F24" s="1">
        <f t="shared" si="3"/>
        <v>2.5218539498761716</v>
      </c>
      <c r="G24" s="1">
        <f t="shared" si="4"/>
        <v>2.375372611293749</v>
      </c>
      <c r="H24" s="2">
        <f t="shared" si="0"/>
        <v>-1.6084400574846724E-2</v>
      </c>
      <c r="I24" s="2">
        <f>VLOOKUP($A24,[136]WRDS!$A$1:$O$50,10,FALSE)/100</f>
        <v>5.0599999999999999E-2</v>
      </c>
      <c r="J24" s="2">
        <f>VLOOKUP($A24,[136]WRDS!$A$1:$O$50,9,FALSE)/100</f>
        <v>3.5000000000000003E-2</v>
      </c>
      <c r="K24" s="2">
        <f t="shared" si="1"/>
        <v>4.1459052368497851</v>
      </c>
      <c r="L24" s="2">
        <f t="shared" si="2"/>
        <v>3.1760214088881913</v>
      </c>
      <c r="M24">
        <f>VLOOKUP($A24,[136]WRDS!$A$1:$O$50,8,FALSE)</f>
        <v>8</v>
      </c>
      <c r="N24">
        <f>VLOOKUP($A24,[136]WRDS!$A$1:$O$50,11,FALSE)</f>
        <v>3.8</v>
      </c>
    </row>
    <row r="25" spans="1:14" x14ac:dyDescent="0.3">
      <c r="A25" t="s">
        <v>88</v>
      </c>
      <c r="B25" t="str">
        <f>VLOOKUP($A25,[135]WRDS!$A$1:$N$50,2,FALSE)</f>
        <v>CIN</v>
      </c>
      <c r="C25" t="str">
        <f>VLOOKUP($A25,[135]WRDS!$A$1:$N$37,3,FALSE)</f>
        <v>CINN GAS &amp; EL</v>
      </c>
      <c r="D25">
        <f>VLOOKUP($A25,[135]WRDS!$A$1:$N$37,13,FALSE)</f>
        <v>2.2000000000000002</v>
      </c>
      <c r="E25">
        <f>VLOOKUP(A25,[119]WRDS!$A$1:$N$40,13,FALSE)</f>
        <v>2.92</v>
      </c>
      <c r="F25" s="1">
        <f t="shared" si="3"/>
        <v>2.3804170262838249</v>
      </c>
      <c r="G25" s="1">
        <f t="shared" si="4"/>
        <v>2.3813507520000003</v>
      </c>
      <c r="H25" s="2">
        <f t="shared" si="0"/>
        <v>7.3346742667858011E-2</v>
      </c>
      <c r="I25" s="2">
        <f>VLOOKUP($A25,[136]WRDS!$A$1:$O$50,10,FALSE)/100</f>
        <v>1.9900000000000001E-2</v>
      </c>
      <c r="J25" s="2">
        <f>VLOOKUP($A25,[136]WRDS!$A$1:$O$50,9,FALSE)/100</f>
        <v>0.02</v>
      </c>
      <c r="K25" s="2">
        <f t="shared" si="1"/>
        <v>-0.72868597464355334</v>
      </c>
      <c r="L25" s="2">
        <f t="shared" si="2"/>
        <v>-0.72732258758146051</v>
      </c>
      <c r="M25">
        <f>VLOOKUP($A25,[136]WRDS!$A$1:$O$50,8,FALSE)</f>
        <v>13</v>
      </c>
      <c r="N25">
        <f>VLOOKUP($A25,[136]WRDS!$A$1:$O$50,11,FALSE)</f>
        <v>2.0299999999999998</v>
      </c>
    </row>
    <row r="26" spans="1:14" x14ac:dyDescent="0.3">
      <c r="A26" t="s">
        <v>135</v>
      </c>
      <c r="B26" t="str">
        <f>VLOOKUP(A26,'[5]Ticker List'!$H$4:$I$20,2,FALSE)</f>
        <v>NI</v>
      </c>
      <c r="C26" t="str">
        <f>VLOOKUP(A26,[137]j1hycsy2zx65yqqs!$B$1:$N$9,2,FALSE)</f>
        <v>NORTHN IND PUB</v>
      </c>
      <c r="D26">
        <f>VLOOKUP(A26,[137]j1hycsy2zx65yqqs!$B$1:$N$9,12,FALSE)</f>
        <v>0.55000000000000004</v>
      </c>
      <c r="E26">
        <f>VLOOKUP(A26,[121]xkxgsmq8az7ijsb6!$B$1:$N$12,12,FALSE)</f>
        <v>0.84499999999999997</v>
      </c>
      <c r="F26" s="1">
        <f t="shared" si="3"/>
        <v>0.65463084823953432</v>
      </c>
      <c r="G26" s="1">
        <f t="shared" si="4"/>
        <v>0.63113765034374991</v>
      </c>
      <c r="H26" s="2">
        <f t="shared" si="0"/>
        <v>0.11332895678647925</v>
      </c>
      <c r="I26" s="2">
        <f>VLOOKUP(A26,[138]f93afwtoovaxadmb!$B$2:$K$10,9,FALSE)/100</f>
        <v>4.4500000000000005E-2</v>
      </c>
      <c r="J26" s="2">
        <f>VLOOKUP(A26,[138]f93afwtoovaxadmb!$B$2:$K$10,8,FALSE)/100</f>
        <v>3.5000000000000003E-2</v>
      </c>
      <c r="K26" s="2">
        <f t="shared" si="1"/>
        <v>-0.60733777790047483</v>
      </c>
      <c r="L26" s="2">
        <f t="shared" si="2"/>
        <v>-0.69116454441610387</v>
      </c>
      <c r="M26">
        <f>VLOOKUP(A26,[138]f93afwtoovaxadmb!$B$2:$K$10,7,FALSE)</f>
        <v>15</v>
      </c>
      <c r="N26">
        <f>VLOOKUP(A26,[138]f93afwtoovaxadmb!$B$2:$K$10,10,FALSE)</f>
        <v>2.25</v>
      </c>
    </row>
    <row r="27" spans="1:14" x14ac:dyDescent="0.3">
      <c r="A27" t="s">
        <v>138</v>
      </c>
      <c r="B27" t="str">
        <f>VLOOKUP(A27,'[5]Ticker List'!$H$4:$I$20,2,FALSE)</f>
        <v>SJI</v>
      </c>
      <c r="C27" t="str">
        <f>VLOOKUP(A27,[137]j1hycsy2zx65yqqs!$B$1:$N$9,2,FALSE)</f>
        <v>SO JERSEY INDS</v>
      </c>
      <c r="D27">
        <f>VLOOKUP(A27,[137]j1hycsy2zx65yqqs!$B$1:$N$9,12,FALSE)</f>
        <v>0.29899999999999999</v>
      </c>
      <c r="E27">
        <f>VLOOKUP(A27,[121]xkxgsmq8az7ijsb6!$B$1:$N$12,12,FALSE)</f>
        <v>0.41670000000000001</v>
      </c>
      <c r="F27" s="1">
        <f t="shared" si="3"/>
        <v>0.37748061104000008</v>
      </c>
      <c r="G27" s="1">
        <f t="shared" si="4"/>
        <v>0.37748061104000008</v>
      </c>
      <c r="H27" s="2">
        <f t="shared" si="0"/>
        <v>8.6520883322926512E-2</v>
      </c>
      <c r="I27" s="2">
        <f>VLOOKUP(A27,[138]f93afwtoovaxadmb!$B$2:$K$10,9,FALSE)/100</f>
        <v>0.06</v>
      </c>
      <c r="J27" s="2">
        <f>VLOOKUP(A27,[138]f93afwtoovaxadmb!$B$2:$K$10,8,FALSE)/100</f>
        <v>0.06</v>
      </c>
      <c r="K27" s="2">
        <f t="shared" si="1"/>
        <v>-0.3065258039951026</v>
      </c>
      <c r="L27" s="2">
        <f t="shared" si="2"/>
        <v>-0.3065258039951026</v>
      </c>
      <c r="M27">
        <f>VLOOKUP(A27,[138]f93afwtoovaxadmb!$B$2:$K$10,7,FALSE)</f>
        <v>4</v>
      </c>
      <c r="N27">
        <f>VLOOKUP(A27,[138]f93afwtoovaxadmb!$B$2:$K$10,10,FALSE)</f>
        <v>0.82</v>
      </c>
    </row>
    <row r="28" spans="1:14" x14ac:dyDescent="0.3">
      <c r="A28" t="s">
        <v>143</v>
      </c>
      <c r="B28" t="str">
        <f>VLOOKUP(A28,'[5]Ticker List'!$H$4:$I$20,2,FALSE)</f>
        <v>LG</v>
      </c>
      <c r="C28" t="str">
        <f>VLOOKUP(A28,[137]j1hycsy2zx65yqqs!$B$1:$N$9,2,FALSE)</f>
        <v>LACLEDE GAS</v>
      </c>
      <c r="D28">
        <f>VLOOKUP(A28,[137]j1hycsy2zx65yqqs!$B$1:$N$9,12,FALSE)</f>
        <v>1.87</v>
      </c>
      <c r="E28">
        <f>VLOOKUP(A28,[121]xkxgsmq8az7ijsb6!$B$1:$N$12,12,FALSE)</f>
        <v>1.0049999999999999</v>
      </c>
      <c r="F28" s="1">
        <f t="shared" si="3"/>
        <v>2.7879868346687506</v>
      </c>
      <c r="G28" s="1">
        <f t="shared" si="4"/>
        <v>2.7879868346687506</v>
      </c>
      <c r="H28" s="2">
        <f t="shared" si="0"/>
        <v>-0.14378838733850507</v>
      </c>
      <c r="I28" s="2">
        <f>VLOOKUP(A28,[138]f93afwtoovaxadmb!$B$2:$K$10,9,FALSE)/100</f>
        <v>0.105</v>
      </c>
      <c r="J28" s="2">
        <f>VLOOKUP(A28,[138]f93afwtoovaxadmb!$B$2:$K$10,8,FALSE)/100</f>
        <v>0.105</v>
      </c>
      <c r="K28" s="2">
        <f t="shared" si="1"/>
        <v>1.7302397776588878</v>
      </c>
      <c r="L28" s="2">
        <f t="shared" si="2"/>
        <v>1.7302397776588878</v>
      </c>
      <c r="M28">
        <f>VLOOKUP(A28,[138]f93afwtoovaxadmb!$B$2:$K$10,7,FALSE)</f>
        <v>1</v>
      </c>
      <c r="N28">
        <f>VLOOKUP(A28,[138]f93afwtoovaxadmb!$B$2:$K$10,10,FALSE)</f>
        <v>0</v>
      </c>
    </row>
    <row r="29" spans="1:14" x14ac:dyDescent="0.3">
      <c r="A29" t="s">
        <v>144</v>
      </c>
      <c r="B29" t="str">
        <f>VLOOKUP(A29,'[5]Ticker List'!$H$4:$I$20,2,FALSE)</f>
        <v>GAS</v>
      </c>
      <c r="C29" t="str">
        <f>VLOOKUP(A29,[137]j1hycsy2zx65yqqs!$B$1:$N$9,2,FALSE)</f>
        <v>NICOR INC</v>
      </c>
      <c r="D29">
        <f>VLOOKUP(A29,[137]j1hycsy2zx65yqqs!$B$1:$N$9,12,FALSE)</f>
        <v>1.36</v>
      </c>
      <c r="E29">
        <f>VLOOKUP(A29,[121]xkxgsmq8az7ijsb6!$B$1:$N$12,12,FALSE)</f>
        <v>1.99</v>
      </c>
      <c r="F29" s="1">
        <f t="shared" si="3"/>
        <v>1.8847678328499999</v>
      </c>
      <c r="G29" s="1">
        <f t="shared" si="4"/>
        <v>1.8162380312499999</v>
      </c>
      <c r="H29" s="2">
        <f t="shared" si="0"/>
        <v>9.9837547434079577E-2</v>
      </c>
      <c r="I29" s="2">
        <f>VLOOKUP(A29,[138]f93afwtoovaxadmb!$B$2:$K$10,9,FALSE)/100</f>
        <v>8.5000000000000006E-2</v>
      </c>
      <c r="J29" s="2">
        <f>VLOOKUP(A29,[138]f93afwtoovaxadmb!$B$2:$K$10,8,FALSE)/100</f>
        <v>7.4999999999999997E-2</v>
      </c>
      <c r="K29" s="2">
        <f t="shared" si="1"/>
        <v>-0.14861690631850166</v>
      </c>
      <c r="L29" s="2">
        <f t="shared" si="2"/>
        <v>-0.24877962322220742</v>
      </c>
      <c r="M29">
        <f>VLOOKUP(A29,[138]f93afwtoovaxadmb!$B$2:$K$10,7,FALSE)</f>
        <v>4</v>
      </c>
      <c r="N29">
        <f>VLOOKUP(A29,[138]f93afwtoovaxadmb!$B$2:$K$10,10,FALSE)</f>
        <v>5.8</v>
      </c>
    </row>
    <row r="30" spans="1:14" x14ac:dyDescent="0.3">
      <c r="A30" t="s">
        <v>146</v>
      </c>
      <c r="B30" t="str">
        <f>VLOOKUP(A30,'[5]Ticker List'!$H$4:$I$20,2,FALSE)</f>
        <v>PNY</v>
      </c>
      <c r="C30" t="str">
        <f>VLOOKUP(A30,[137]j1hycsy2zx65yqqs!$B$1:$N$9,2,FALSE)</f>
        <v>PIEDMONT NAT GAS</v>
      </c>
      <c r="D30">
        <f>VLOOKUP(A30,[137]j1hycsy2zx65yqqs!$B$1:$N$9,12,FALSE)</f>
        <v>0.45750000000000002</v>
      </c>
      <c r="E30">
        <f>VLOOKUP(A30,[121]xkxgsmq8az7ijsb6!$B$1:$N$12,12,FALSE)</f>
        <v>0.61499999999999999</v>
      </c>
      <c r="F30" s="1">
        <f t="shared" si="3"/>
        <v>0.57758320920000017</v>
      </c>
      <c r="G30" s="1">
        <f t="shared" si="4"/>
        <v>0.57758320920000017</v>
      </c>
      <c r="H30" s="2">
        <f t="shared" si="0"/>
        <v>7.6765183165685036E-2</v>
      </c>
      <c r="I30" s="2">
        <f>VLOOKUP(A30,[138]f93afwtoovaxadmb!$B$2:$K$10,9,FALSE)/100</f>
        <v>0.06</v>
      </c>
      <c r="J30" s="2">
        <f>VLOOKUP(A30,[138]f93afwtoovaxadmb!$B$2:$K$10,8,FALSE)/100</f>
        <v>0.06</v>
      </c>
      <c r="K30" s="2">
        <f t="shared" si="1"/>
        <v>-0.21839566421016862</v>
      </c>
      <c r="L30" s="2">
        <f t="shared" si="2"/>
        <v>-0.21839566421016862</v>
      </c>
      <c r="M30">
        <f>VLOOKUP(A30,[138]f93afwtoovaxadmb!$B$2:$K$10,7,FALSE)</f>
        <v>2</v>
      </c>
      <c r="N30">
        <f>VLOOKUP(A30,[138]f93afwtoovaxadmb!$B$2:$K$10,10,FALSE)</f>
        <v>1.41</v>
      </c>
    </row>
    <row r="31" spans="1:14" x14ac:dyDescent="0.3">
      <c r="A31" t="s">
        <v>145</v>
      </c>
      <c r="B31" t="str">
        <f>VLOOKUP(A31,'[5]Ticker List'!$H$4:$I$20,2,FALSE)</f>
        <v>WGL</v>
      </c>
      <c r="C31" t="str">
        <f>VLOOKUP(A31,[137]j1hycsy2zx65yqqs!$B$1:$N$9,2,FALSE)</f>
        <v>WASH GAS LT</v>
      </c>
      <c r="D31">
        <f>VLOOKUP(A31,[137]j1hycsy2zx65yqqs!$B$1:$N$9,12,FALSE)</f>
        <v>1.23</v>
      </c>
      <c r="E31">
        <f>VLOOKUP(A31,[121]xkxgsmq8az7ijsb6!$B$1:$N$12,12,FALSE)</f>
        <v>1.48</v>
      </c>
      <c r="F31" s="1">
        <f t="shared" si="3"/>
        <v>1.5237543202687498</v>
      </c>
      <c r="G31" s="1">
        <f t="shared" si="4"/>
        <v>1.5237543202687498</v>
      </c>
      <c r="H31" s="2">
        <f t="shared" si="0"/>
        <v>4.7343522294642559E-2</v>
      </c>
      <c r="I31" s="2">
        <f>VLOOKUP(A31,[138]f93afwtoovaxadmb!$B$2:$K$10,9,FALSE)/100</f>
        <v>5.5E-2</v>
      </c>
      <c r="J31" s="2">
        <f>VLOOKUP(A31,[138]f93afwtoovaxadmb!$B$2:$K$10,8,FALSE)/100</f>
        <v>5.5E-2</v>
      </c>
      <c r="K31" s="2">
        <f t="shared" si="1"/>
        <v>0.16172175905517397</v>
      </c>
      <c r="L31" s="2">
        <f t="shared" si="2"/>
        <v>0.16172175905517397</v>
      </c>
      <c r="M31">
        <f>VLOOKUP(A31,[138]f93afwtoovaxadmb!$B$2:$K$10,7,FALSE)</f>
        <v>4</v>
      </c>
      <c r="N31">
        <f>VLOOKUP(A31,[138]f93afwtoovaxadmb!$B$2:$K$10,10,FALSE)</f>
        <v>2.08</v>
      </c>
    </row>
    <row r="32" spans="1:14" x14ac:dyDescent="0.3">
      <c r="A32" t="s">
        <v>149</v>
      </c>
      <c r="B32" t="str">
        <f>VLOOKUP(A32,'[5]Ticker List'!$H$4:$I$20,2,FALSE)</f>
        <v>CGC</v>
      </c>
      <c r="C32" t="str">
        <f>VLOOKUP(A32,[137]j1hycsy2zx65yqqs!$B$1:$N$9,2,FALSE)</f>
        <v>CASCADE NAT GAS</v>
      </c>
      <c r="D32">
        <f>VLOOKUP(A32,[137]j1hycsy2zx65yqqs!$B$1:$N$9,12,FALSE)</f>
        <v>1.2533000000000001</v>
      </c>
      <c r="E32">
        <f>VLOOKUP(A32,[121]xkxgsmq8az7ijsb6!$B$1:$N$12,12,FALSE)</f>
        <v>1.2932999999999999</v>
      </c>
      <c r="F32" s="1">
        <f t="shared" si="3"/>
        <v>1.9371110085033127</v>
      </c>
      <c r="G32" s="1">
        <f t="shared" si="4"/>
        <v>1.9371110085033127</v>
      </c>
      <c r="H32" s="2">
        <f t="shared" si="0"/>
        <v>7.885180272133363E-3</v>
      </c>
      <c r="I32" s="2">
        <f>VLOOKUP(A32,[138]f93afwtoovaxadmb!$B$2:$K$10,9,FALSE)/100</f>
        <v>0.115</v>
      </c>
      <c r="J32" s="2">
        <f>VLOOKUP(A32,[138]f93afwtoovaxadmb!$B$2:$K$10,8,FALSE)/100</f>
        <v>0.115</v>
      </c>
      <c r="K32" s="2">
        <f t="shared" si="1"/>
        <v>13.584320970620796</v>
      </c>
      <c r="L32" s="2">
        <f t="shared" si="2"/>
        <v>13.584320970620796</v>
      </c>
      <c r="M32">
        <f>VLOOKUP(A32,[138]f93afwtoovaxadmb!$B$2:$K$10,7,FALSE)</f>
        <v>2</v>
      </c>
      <c r="N32">
        <f>VLOOKUP(A32,[138]f93afwtoovaxadmb!$B$2:$K$10,10,FALSE)</f>
        <v>7.78</v>
      </c>
    </row>
  </sheetData>
  <mergeCells count="3">
    <mergeCell ref="P1:Q1"/>
    <mergeCell ref="P7:Q7"/>
    <mergeCell ref="P13:Q1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B52132-2291-4065-99FB-055DAFB2FC3E}">
  <dimension ref="A2:AB43"/>
  <sheetViews>
    <sheetView zoomScale="70" zoomScaleNormal="70" workbookViewId="0">
      <selection activeCell="M3" sqref="M3"/>
    </sheetView>
  </sheetViews>
  <sheetFormatPr defaultRowHeight="14.4" x14ac:dyDescent="0.3"/>
  <cols>
    <col min="3" max="4" width="9.5546875" customWidth="1"/>
    <col min="9" max="10" width="10.109375" bestFit="1" customWidth="1"/>
    <col min="11" max="12" width="10.109375" customWidth="1"/>
    <col min="13" max="13" width="9.44140625" customWidth="1"/>
    <col min="14" max="14" width="10.5546875" bestFit="1" customWidth="1"/>
    <col min="16" max="16" width="8.6640625" customWidth="1"/>
    <col min="17" max="17" width="8.88671875" customWidth="1"/>
  </cols>
  <sheetData>
    <row r="2" spans="1:28" ht="37.950000000000003" customHeight="1" x14ac:dyDescent="0.3">
      <c r="C2" s="94" t="s">
        <v>281</v>
      </c>
      <c r="D2" s="95"/>
      <c r="E2" s="95"/>
      <c r="F2" s="95"/>
      <c r="G2" s="95"/>
      <c r="H2" s="94" t="s">
        <v>282</v>
      </c>
      <c r="I2" s="95"/>
      <c r="J2" s="95"/>
      <c r="K2" s="95"/>
      <c r="L2" s="96"/>
      <c r="M2" s="94" t="s">
        <v>37</v>
      </c>
      <c r="N2" s="96"/>
    </row>
    <row r="3" spans="1:28" ht="109.5" customHeight="1" x14ac:dyDescent="0.3">
      <c r="A3" s="6"/>
      <c r="B3" s="7" t="s">
        <v>117</v>
      </c>
      <c r="C3" s="8" t="s">
        <v>118</v>
      </c>
      <c r="D3" s="9" t="s">
        <v>119</v>
      </c>
      <c r="E3" s="9" t="s">
        <v>120</v>
      </c>
      <c r="F3" s="9" t="s">
        <v>121</v>
      </c>
      <c r="G3" s="10" t="s">
        <v>122</v>
      </c>
      <c r="H3" s="9" t="s">
        <v>123</v>
      </c>
      <c r="I3" s="9" t="s">
        <v>124</v>
      </c>
      <c r="J3" s="9" t="s">
        <v>125</v>
      </c>
      <c r="K3" s="9" t="s">
        <v>126</v>
      </c>
      <c r="L3" s="10" t="s">
        <v>127</v>
      </c>
      <c r="M3" s="9" t="s">
        <v>128</v>
      </c>
      <c r="N3" s="10" t="s">
        <v>41</v>
      </c>
      <c r="O3" s="6"/>
    </row>
    <row r="4" spans="1:28" x14ac:dyDescent="0.3">
      <c r="B4" s="11">
        <v>1985</v>
      </c>
      <c r="C4" s="12">
        <f>'1985'!Q$2</f>
        <v>4.7727980554729259E-2</v>
      </c>
      <c r="D4" s="2">
        <f>'1985'!Q$3</f>
        <v>5.4278124999999997E-2</v>
      </c>
      <c r="E4" s="2">
        <f>'1985'!Q$5</f>
        <v>5.3687500000000013E-2</v>
      </c>
      <c r="F4" s="2">
        <f t="shared" ref="F4:F37" si="0">(D4-C4)/ABS(C4)</f>
        <v>0.1372390863627625</v>
      </c>
      <c r="G4" s="13">
        <f t="shared" ref="G4:G37" si="1">(E4-C4)/ABS(C4)</f>
        <v>0.12486426988958867</v>
      </c>
      <c r="H4" s="2">
        <f>'1985'!Q$8</f>
        <v>7.3768959121047084E-2</v>
      </c>
      <c r="I4" s="2">
        <f>'1985'!Q$9</f>
        <v>5.0500000000000003E-2</v>
      </c>
      <c r="J4" s="2">
        <f>'1985'!Q$11</f>
        <v>4.7500000000000001E-2</v>
      </c>
      <c r="K4" s="2">
        <f t="shared" ref="K4:K37" si="2">(I4-H4)/ABS(H4)</f>
        <v>-0.31543022157687184</v>
      </c>
      <c r="L4" s="14">
        <f t="shared" ref="L4:L37" si="3">(J4-H4)/ABS(H4)</f>
        <v>-0.35609773316636462</v>
      </c>
      <c r="M4" s="1">
        <f>'1985'!Q$14</f>
        <v>4.6875</v>
      </c>
      <c r="N4" s="15">
        <f>'1985'!Q$15</f>
        <v>32</v>
      </c>
      <c r="P4" s="83" t="s">
        <v>286</v>
      </c>
      <c r="Q4" s="84"/>
      <c r="R4" s="85"/>
      <c r="T4" s="97" t="s">
        <v>129</v>
      </c>
      <c r="U4" s="98"/>
      <c r="V4" s="98"/>
      <c r="W4" s="98"/>
      <c r="X4" s="98"/>
      <c r="Y4" s="98"/>
      <c r="Z4" s="98"/>
      <c r="AA4" s="98"/>
      <c r="AB4" s="99"/>
    </row>
    <row r="5" spans="1:28" ht="14.4" customHeight="1" x14ac:dyDescent="0.3">
      <c r="B5" s="11">
        <f>B4+1</f>
        <v>1986</v>
      </c>
      <c r="C5" s="12">
        <f>'1986'!Q$2</f>
        <v>3.0584013885024752E-2</v>
      </c>
      <c r="D5" s="2">
        <f>'1986'!Q$3</f>
        <v>5.5828571428571436E-2</v>
      </c>
      <c r="E5" s="2">
        <f>'1986'!Q$5</f>
        <v>5.574285714285715E-2</v>
      </c>
      <c r="F5" s="2">
        <f t="shared" si="0"/>
        <v>0.82541675655946212</v>
      </c>
      <c r="G5" s="14">
        <f t="shared" si="1"/>
        <v>0.82261417197927866</v>
      </c>
      <c r="H5" s="2">
        <f>'1986'!Q$8</f>
        <v>5.2081720391200292E-2</v>
      </c>
      <c r="I5" s="2">
        <f>'1986'!Q$9</f>
        <v>5.5E-2</v>
      </c>
      <c r="J5" s="2">
        <f>'1986'!Q$11</f>
        <v>0.05</v>
      </c>
      <c r="K5" s="2">
        <f t="shared" si="2"/>
        <v>5.6032703737121159E-2</v>
      </c>
      <c r="L5" s="14">
        <f t="shared" si="3"/>
        <v>-3.9970269329889806E-2</v>
      </c>
      <c r="M5" s="1">
        <f>'1986'!Q$14</f>
        <v>6.628571428571429</v>
      </c>
      <c r="N5" s="15">
        <f>'1986'!Q$15</f>
        <v>35</v>
      </c>
      <c r="P5" s="86"/>
      <c r="Q5" s="87"/>
      <c r="R5" s="88"/>
      <c r="T5" s="101" t="s">
        <v>308</v>
      </c>
      <c r="U5" s="102"/>
      <c r="V5" s="102"/>
      <c r="W5" s="102"/>
      <c r="X5" s="102"/>
      <c r="Y5" s="102"/>
      <c r="Z5" s="102"/>
      <c r="AA5" s="102"/>
      <c r="AB5" s="103"/>
    </row>
    <row r="6" spans="1:28" x14ac:dyDescent="0.3">
      <c r="B6" s="11">
        <f t="shared" ref="B6:B37" si="4">B5+1</f>
        <v>1987</v>
      </c>
      <c r="C6" s="12">
        <f>'1987'!Q$2</f>
        <v>4.031618179379616E-3</v>
      </c>
      <c r="D6" s="2">
        <f>'1987'!Q$3</f>
        <v>5.2281250000000015E-2</v>
      </c>
      <c r="E6" s="2">
        <f>'1987'!Q$5</f>
        <v>5.1437500000000011E-2</v>
      </c>
      <c r="F6" s="2">
        <f t="shared" si="0"/>
        <v>11.967807881064033</v>
      </c>
      <c r="G6" s="14">
        <f t="shared" si="1"/>
        <v>11.758524669594379</v>
      </c>
      <c r="H6" s="2">
        <f>'1987'!Q$8</f>
        <v>2.2776770133444479E-2</v>
      </c>
      <c r="I6" s="2">
        <f>'1987'!Q$9</f>
        <v>5.1250000000000004E-2</v>
      </c>
      <c r="J6" s="2">
        <f>'1987'!Q$11</f>
        <v>0.05</v>
      </c>
      <c r="K6" s="2">
        <f t="shared" si="2"/>
        <v>1.2500995400022321</v>
      </c>
      <c r="L6" s="14">
        <f t="shared" si="3"/>
        <v>1.1952190634168118</v>
      </c>
      <c r="M6" s="1">
        <f>'1987'!Q$14</f>
        <v>7.8125</v>
      </c>
      <c r="N6" s="15">
        <f>'1987'!Q$15</f>
        <v>32</v>
      </c>
      <c r="P6" s="86"/>
      <c r="Q6" s="87"/>
      <c r="R6" s="88"/>
      <c r="T6" s="104"/>
      <c r="U6" s="105"/>
      <c r="V6" s="105"/>
      <c r="W6" s="105"/>
      <c r="X6" s="105"/>
      <c r="Y6" s="105"/>
      <c r="Z6" s="105"/>
      <c r="AA6" s="105"/>
      <c r="AB6" s="106"/>
    </row>
    <row r="7" spans="1:28" x14ac:dyDescent="0.3">
      <c r="B7" s="11">
        <f t="shared" si="4"/>
        <v>1988</v>
      </c>
      <c r="C7" s="12">
        <f>'1988'!Q$2</f>
        <v>2.1418703754931916E-2</v>
      </c>
      <c r="D7" s="2">
        <f>'1988'!Q$3</f>
        <v>5.3245161290322585E-2</v>
      </c>
      <c r="E7" s="2">
        <f>'1988'!Q$5</f>
        <v>5.1822580645161306E-2</v>
      </c>
      <c r="F7" s="2">
        <f t="shared" si="0"/>
        <v>1.4859189379311639</v>
      </c>
      <c r="G7" s="14">
        <f t="shared" si="1"/>
        <v>1.4195012563833853</v>
      </c>
      <c r="H7" s="2">
        <f>'1988'!Q$8</f>
        <v>2.4778051217199115E-2</v>
      </c>
      <c r="I7" s="2">
        <f>'1988'!Q$9</f>
        <v>4.8799999999999996E-2</v>
      </c>
      <c r="J7" s="2">
        <f>'1988'!Q$11</f>
        <v>4.8499999999999995E-2</v>
      </c>
      <c r="K7" s="2">
        <f t="shared" si="2"/>
        <v>0.96948499186758463</v>
      </c>
      <c r="L7" s="14">
        <f t="shared" si="3"/>
        <v>0.95737750216348061</v>
      </c>
      <c r="M7" s="1">
        <f>'1988'!Q$14</f>
        <v>8.741935483870968</v>
      </c>
      <c r="N7" s="15">
        <f>'1988'!Q$15</f>
        <v>31</v>
      </c>
      <c r="P7" s="89"/>
      <c r="Q7" s="90"/>
      <c r="R7" s="91"/>
      <c r="T7" s="104"/>
      <c r="U7" s="105"/>
      <c r="V7" s="105"/>
      <c r="W7" s="105"/>
      <c r="X7" s="105"/>
      <c r="Y7" s="105"/>
      <c r="Z7" s="105"/>
      <c r="AA7" s="105"/>
      <c r="AB7" s="106"/>
    </row>
    <row r="8" spans="1:28" x14ac:dyDescent="0.3">
      <c r="B8" s="11">
        <f t="shared" si="4"/>
        <v>1989</v>
      </c>
      <c r="C8" s="12">
        <f>'1989'!Q$2</f>
        <v>1.8874924866652612E-2</v>
      </c>
      <c r="D8" s="2">
        <f>'1989'!Q$3</f>
        <v>4.9141935483870962E-2</v>
      </c>
      <c r="E8" s="2">
        <f>'1989'!Q$5</f>
        <v>4.82741935483871E-2</v>
      </c>
      <c r="F8" s="2">
        <f t="shared" si="0"/>
        <v>1.6035566144526898</v>
      </c>
      <c r="G8" s="14">
        <f t="shared" si="1"/>
        <v>1.55758334877803</v>
      </c>
      <c r="H8" s="2">
        <f>'1989'!Q$8</f>
        <v>2.3466539510718309E-2</v>
      </c>
      <c r="I8" s="2">
        <f>'1989'!Q$9</f>
        <v>4.7599999999999996E-2</v>
      </c>
      <c r="J8" s="2">
        <f>'1989'!Q$11</f>
        <v>4.4999999999999998E-2</v>
      </c>
      <c r="K8" s="2">
        <f t="shared" si="2"/>
        <v>1.028420082060193</v>
      </c>
      <c r="L8" s="14">
        <f t="shared" si="3"/>
        <v>0.9176240271577456</v>
      </c>
      <c r="M8" s="1">
        <f>'1989'!Q$14</f>
        <v>9.7741935483870961</v>
      </c>
      <c r="N8" s="15">
        <f>'1989'!Q$15</f>
        <v>31</v>
      </c>
      <c r="Q8" s="3"/>
      <c r="T8" s="104"/>
      <c r="U8" s="105"/>
      <c r="V8" s="105"/>
      <c r="W8" s="105"/>
      <c r="X8" s="105"/>
      <c r="Y8" s="105"/>
      <c r="Z8" s="105"/>
      <c r="AA8" s="105"/>
      <c r="AB8" s="106"/>
    </row>
    <row r="9" spans="1:28" x14ac:dyDescent="0.3">
      <c r="B9" s="11">
        <f t="shared" si="4"/>
        <v>1990</v>
      </c>
      <c r="C9" s="12">
        <f>'1990'!Q$2</f>
        <v>3.7304137434383614E-2</v>
      </c>
      <c r="D9" s="2">
        <f>'1990'!Q$3</f>
        <v>4.5056666666666662E-2</v>
      </c>
      <c r="E9" s="2">
        <f>'1990'!Q$5</f>
        <v>4.1066666666666682E-2</v>
      </c>
      <c r="F9" s="2">
        <f t="shared" si="0"/>
        <v>0.20781955475902414</v>
      </c>
      <c r="G9" s="14">
        <f t="shared" si="1"/>
        <v>0.10086090956803911</v>
      </c>
      <c r="H9" s="2">
        <f>'1990'!Q$8</f>
        <v>2.284730487205211E-2</v>
      </c>
      <c r="I9" s="2">
        <f>'1990'!Q$9</f>
        <v>4.2400000000000007E-2</v>
      </c>
      <c r="J9" s="2">
        <f>'1990'!Q$11</f>
        <v>0.04</v>
      </c>
      <c r="K9" s="2">
        <f t="shared" si="2"/>
        <v>0.85579875777232994</v>
      </c>
      <c r="L9" s="14">
        <f t="shared" si="3"/>
        <v>0.75075354506823555</v>
      </c>
      <c r="M9" s="1">
        <f>'1990'!Q$14</f>
        <v>8.8666666666666671</v>
      </c>
      <c r="N9" s="15">
        <f>'1990'!Q$15</f>
        <v>30</v>
      </c>
      <c r="Q9" s="3"/>
      <c r="T9" s="104"/>
      <c r="U9" s="105"/>
      <c r="V9" s="105"/>
      <c r="W9" s="105"/>
      <c r="X9" s="105"/>
      <c r="Y9" s="105"/>
      <c r="Z9" s="105"/>
      <c r="AA9" s="105"/>
      <c r="AB9" s="106"/>
    </row>
    <row r="10" spans="1:28" x14ac:dyDescent="0.3">
      <c r="B10" s="11">
        <f t="shared" si="4"/>
        <v>1991</v>
      </c>
      <c r="C10" s="12">
        <f>'1991'!Q$2</f>
        <v>3.3189339241744965E-3</v>
      </c>
      <c r="D10" s="2">
        <f>'1991'!Q$3</f>
        <v>4.5760606060606057E-2</v>
      </c>
      <c r="E10" s="2">
        <f>'1991'!Q$5</f>
        <v>4.42878787878788E-2</v>
      </c>
      <c r="F10" s="2">
        <f t="shared" si="0"/>
        <v>12.787742421533109</v>
      </c>
      <c r="G10" s="14">
        <f t="shared" si="1"/>
        <v>12.344007383001554</v>
      </c>
      <c r="H10" s="2">
        <f>'1991'!Q$8</f>
        <v>2.1991162258356844E-2</v>
      </c>
      <c r="I10" s="2">
        <f>'1991'!Q$9</f>
        <v>4.2099999999999999E-2</v>
      </c>
      <c r="J10" s="2">
        <f>'1991'!Q$11</f>
        <v>0.04</v>
      </c>
      <c r="K10" s="2">
        <f t="shared" si="2"/>
        <v>0.91440541001881837</v>
      </c>
      <c r="L10" s="14">
        <f t="shared" si="3"/>
        <v>0.81891250358082512</v>
      </c>
      <c r="M10" s="1">
        <f>'1991'!Q$14</f>
        <v>9.6666666666666661</v>
      </c>
      <c r="N10" s="15">
        <f>'1991'!Q$15</f>
        <v>33</v>
      </c>
      <c r="P10" s="16"/>
      <c r="Q10" s="16"/>
      <c r="T10" s="104"/>
      <c r="U10" s="105"/>
      <c r="V10" s="105"/>
      <c r="W10" s="105"/>
      <c r="X10" s="105"/>
      <c r="Y10" s="105"/>
      <c r="Z10" s="105"/>
      <c r="AA10" s="105"/>
      <c r="AB10" s="106"/>
    </row>
    <row r="11" spans="1:28" x14ac:dyDescent="0.3">
      <c r="B11" s="11">
        <f t="shared" si="4"/>
        <v>1992</v>
      </c>
      <c r="C11" s="12">
        <f>'1992'!Q$2</f>
        <v>-1.1533667348060676E-3</v>
      </c>
      <c r="D11" s="2">
        <f>'1992'!Q$3</f>
        <v>5.0163157894736847E-2</v>
      </c>
      <c r="E11" s="2">
        <f>'1992'!Q$5</f>
        <v>4.8947368421052649E-2</v>
      </c>
      <c r="F11" s="2">
        <f t="shared" si="0"/>
        <v>44.492807951645588</v>
      </c>
      <c r="G11" s="14">
        <f t="shared" si="1"/>
        <v>43.438685757035365</v>
      </c>
      <c r="H11" s="2">
        <f>'1992'!Q$8</f>
        <v>1.9252744225793927E-3</v>
      </c>
      <c r="I11" s="2">
        <f>'1992'!Q$9</f>
        <v>4.6449999999999998E-2</v>
      </c>
      <c r="J11" s="2">
        <f>'1992'!Q$11</f>
        <v>4.3999999999999997E-2</v>
      </c>
      <c r="K11" s="2">
        <f t="shared" si="2"/>
        <v>23.126430733842327</v>
      </c>
      <c r="L11" s="14">
        <f t="shared" si="3"/>
        <v>21.853884871669802</v>
      </c>
      <c r="M11" s="1">
        <f>'1992'!Q$14</f>
        <v>7.4473684210526319</v>
      </c>
      <c r="N11" s="15">
        <f>'1992'!Q$15</f>
        <v>38</v>
      </c>
      <c r="Q11" s="2"/>
      <c r="T11" s="104"/>
      <c r="U11" s="105"/>
      <c r="V11" s="105"/>
      <c r="W11" s="105"/>
      <c r="X11" s="105"/>
      <c r="Y11" s="105"/>
      <c r="Z11" s="105"/>
      <c r="AA11" s="105"/>
      <c r="AB11" s="106"/>
    </row>
    <row r="12" spans="1:28" x14ac:dyDescent="0.3">
      <c r="B12" s="11">
        <f t="shared" si="4"/>
        <v>1993</v>
      </c>
      <c r="C12" s="12">
        <f>'1993'!Q$2</f>
        <v>6.855265763847861E-3</v>
      </c>
      <c r="D12" s="2">
        <f>'1993'!Q$3</f>
        <v>4.6540540540540548E-2</v>
      </c>
      <c r="E12" s="2">
        <f>'1993'!Q$5</f>
        <v>4.6500000000000014E-2</v>
      </c>
      <c r="F12" s="2">
        <f t="shared" si="0"/>
        <v>5.7890206074836907</v>
      </c>
      <c r="G12" s="14">
        <f t="shared" si="1"/>
        <v>5.7831068264667191</v>
      </c>
      <c r="H12" s="2">
        <f>'1993'!Q$8</f>
        <v>4.0734040674157423E-3</v>
      </c>
      <c r="I12" s="2">
        <f>'1993'!Q$9</f>
        <v>3.7499999999999999E-2</v>
      </c>
      <c r="J12" s="2">
        <f>'1993'!Q$11</f>
        <v>0.04</v>
      </c>
      <c r="K12" s="2">
        <f t="shared" si="2"/>
        <v>8.2060594479130149</v>
      </c>
      <c r="L12" s="14">
        <f t="shared" si="3"/>
        <v>8.8197967444405503</v>
      </c>
      <c r="M12" s="1">
        <f>'1993'!Q$14</f>
        <v>7.4054054054054053</v>
      </c>
      <c r="N12" s="15">
        <f>'1993'!Q$15</f>
        <v>37</v>
      </c>
      <c r="Q12" s="2"/>
      <c r="T12" s="104"/>
      <c r="U12" s="105"/>
      <c r="V12" s="105"/>
      <c r="W12" s="105"/>
      <c r="X12" s="105"/>
      <c r="Y12" s="105"/>
      <c r="Z12" s="105"/>
      <c r="AA12" s="105"/>
      <c r="AB12" s="106"/>
    </row>
    <row r="13" spans="1:28" x14ac:dyDescent="0.3">
      <c r="B13" s="11">
        <f t="shared" si="4"/>
        <v>1994</v>
      </c>
      <c r="C13" s="12">
        <f>'1994'!Q$2</f>
        <v>4.01191837217829E-2</v>
      </c>
      <c r="D13" s="2">
        <f>'1994'!Q$3</f>
        <v>4.5802777777777776E-2</v>
      </c>
      <c r="E13" s="2">
        <f>'1994'!Q$5</f>
        <v>4.7355555555555567E-2</v>
      </c>
      <c r="F13" s="2">
        <f t="shared" si="0"/>
        <v>0.14166773918954242</v>
      </c>
      <c r="G13" s="14">
        <f t="shared" si="1"/>
        <v>0.18037186110154194</v>
      </c>
      <c r="H13" s="2">
        <f>'1994'!Q$8</f>
        <v>1.7670985212781432E-2</v>
      </c>
      <c r="I13" s="2">
        <f>'1994'!Q$9</f>
        <v>3.9349999999999996E-2</v>
      </c>
      <c r="J13" s="2">
        <f>'1994'!Q$11</f>
        <v>0.04</v>
      </c>
      <c r="K13" s="2">
        <f t="shared" si="2"/>
        <v>1.2268141547387026</v>
      </c>
      <c r="L13" s="14">
        <f t="shared" si="3"/>
        <v>1.2635976159986815</v>
      </c>
      <c r="M13" s="1">
        <f>'1994'!Q$14</f>
        <v>7.5277777777777777</v>
      </c>
      <c r="N13" s="15">
        <f>'1994'!Q$15</f>
        <v>36</v>
      </c>
      <c r="Q13" s="2"/>
      <c r="T13" s="104"/>
      <c r="U13" s="105"/>
      <c r="V13" s="105"/>
      <c r="W13" s="105"/>
      <c r="X13" s="105"/>
      <c r="Y13" s="105"/>
      <c r="Z13" s="105"/>
      <c r="AA13" s="105"/>
      <c r="AB13" s="106"/>
    </row>
    <row r="14" spans="1:28" x14ac:dyDescent="0.3">
      <c r="B14" s="11">
        <f t="shared" si="4"/>
        <v>1995</v>
      </c>
      <c r="C14" s="12">
        <f>'1995'!Q$2</f>
        <v>5.6261009870046466E-2</v>
      </c>
      <c r="D14" s="2">
        <f>'1995'!Q$3</f>
        <v>4.3963414634146339E-2</v>
      </c>
      <c r="E14" s="2">
        <f>'1995'!Q$5</f>
        <v>4.2658536585365864E-2</v>
      </c>
      <c r="F14" s="2">
        <f t="shared" si="0"/>
        <v>-0.21858113219626732</v>
      </c>
      <c r="G14" s="14">
        <f t="shared" si="1"/>
        <v>-0.24177442452775097</v>
      </c>
      <c r="H14" s="2">
        <f>'1995'!Q$8</f>
        <v>3.0228072276681672E-2</v>
      </c>
      <c r="I14" s="2">
        <f>'1995'!Q$9</f>
        <v>0.04</v>
      </c>
      <c r="J14" s="2">
        <f>'1995'!Q$11</f>
        <v>0.04</v>
      </c>
      <c r="K14" s="2">
        <f t="shared" si="2"/>
        <v>0.32327326843321469</v>
      </c>
      <c r="L14" s="14">
        <f t="shared" si="3"/>
        <v>0.32327326843321469</v>
      </c>
      <c r="M14" s="1">
        <f>'1995'!Q$14</f>
        <v>8.4390243902439028</v>
      </c>
      <c r="N14" s="15">
        <f>'1995'!Q$15</f>
        <v>41</v>
      </c>
      <c r="Q14" s="2"/>
      <c r="T14" s="104"/>
      <c r="U14" s="105"/>
      <c r="V14" s="105"/>
      <c r="W14" s="105"/>
      <c r="X14" s="105"/>
      <c r="Y14" s="105"/>
      <c r="Z14" s="105"/>
      <c r="AA14" s="105"/>
      <c r="AB14" s="106"/>
    </row>
    <row r="15" spans="1:28" x14ac:dyDescent="0.3">
      <c r="B15" s="11">
        <f t="shared" si="4"/>
        <v>1996</v>
      </c>
      <c r="C15" s="12">
        <f>'1996'!Q$2</f>
        <v>4.354411200436735E-2</v>
      </c>
      <c r="D15" s="2">
        <f>'1996'!Q$3</f>
        <v>5.1828571428571432E-2</v>
      </c>
      <c r="E15" s="2">
        <f>'1996'!Q$5</f>
        <v>5.0773809523809534E-2</v>
      </c>
      <c r="F15" s="2">
        <f t="shared" si="0"/>
        <v>0.19025441197131715</v>
      </c>
      <c r="G15" s="14">
        <f t="shared" si="1"/>
        <v>0.16603157549101163</v>
      </c>
      <c r="H15" s="2">
        <f>'1996'!Q$8</f>
        <v>4.7167144349696488E-2</v>
      </c>
      <c r="I15" s="2">
        <f>'1996'!Q$9</f>
        <v>0.04</v>
      </c>
      <c r="J15" s="2">
        <f>'1996'!Q$11</f>
        <v>3.7500000000000006E-2</v>
      </c>
      <c r="K15" s="2">
        <f t="shared" si="2"/>
        <v>-0.15195205155010846</v>
      </c>
      <c r="L15" s="14">
        <f t="shared" si="3"/>
        <v>-0.20495504832822659</v>
      </c>
      <c r="M15" s="1">
        <f>'1996'!Q$14</f>
        <v>7.8571428571428568</v>
      </c>
      <c r="N15" s="15">
        <f>'1996'!Q$15</f>
        <v>42</v>
      </c>
      <c r="Q15" s="2"/>
      <c r="T15" s="107"/>
      <c r="U15" s="108"/>
      <c r="V15" s="108"/>
      <c r="W15" s="108"/>
      <c r="X15" s="108"/>
      <c r="Y15" s="108"/>
      <c r="Z15" s="108"/>
      <c r="AA15" s="108"/>
      <c r="AB15" s="109"/>
    </row>
    <row r="16" spans="1:28" x14ac:dyDescent="0.3">
      <c r="B16" s="11">
        <f t="shared" si="4"/>
        <v>1997</v>
      </c>
      <c r="C16" s="12">
        <f>'1997'!Q$2</f>
        <v>3.371119375254398E-3</v>
      </c>
      <c r="D16" s="2">
        <f>'1997'!Q$3</f>
        <v>4.543095238095237E-2</v>
      </c>
      <c r="E16" s="2">
        <f>'1997'!Q$5</f>
        <v>4.3369047619047627E-2</v>
      </c>
      <c r="F16" s="2">
        <f t="shared" si="0"/>
        <v>12.476518427213504</v>
      </c>
      <c r="G16" s="14">
        <f t="shared" si="1"/>
        <v>11.864880412540963</v>
      </c>
      <c r="H16" s="2">
        <f>'1997'!Q$8</f>
        <v>1.9506343770096857E-2</v>
      </c>
      <c r="I16" s="2">
        <f>'1997'!Q$9</f>
        <v>4.0800000000000003E-2</v>
      </c>
      <c r="J16" s="2">
        <f>'1997'!Q$11</f>
        <v>0.04</v>
      </c>
      <c r="K16" s="2">
        <f t="shared" si="2"/>
        <v>1.091627240905404</v>
      </c>
      <c r="L16" s="14">
        <f t="shared" si="3"/>
        <v>1.0506149420641213</v>
      </c>
      <c r="M16" s="1">
        <f>'1997'!Q$14</f>
        <v>8.5238095238095237</v>
      </c>
      <c r="N16" s="15">
        <f>'1997'!Q$15</f>
        <v>42</v>
      </c>
      <c r="P16" s="16"/>
      <c r="Q16" s="16"/>
      <c r="T16" s="46"/>
      <c r="U16" s="46"/>
      <c r="V16" s="46"/>
      <c r="W16" s="46"/>
      <c r="X16" s="46"/>
      <c r="Y16" s="46"/>
      <c r="Z16" s="46"/>
      <c r="AA16" s="46"/>
      <c r="AB16" s="46"/>
    </row>
    <row r="17" spans="2:17" x14ac:dyDescent="0.3">
      <c r="B17" s="11">
        <f t="shared" si="4"/>
        <v>1998</v>
      </c>
      <c r="C17" s="12">
        <f>'1998'!Q$2</f>
        <v>2.8011801182326854E-2</v>
      </c>
      <c r="D17" s="2">
        <f>'1998'!Q$3</f>
        <v>3.8510256410256405E-2</v>
      </c>
      <c r="E17" s="2">
        <f>'1998'!Q$5</f>
        <v>3.7025641025641036E-2</v>
      </c>
      <c r="F17" s="2">
        <f t="shared" si="0"/>
        <v>0.37478686784886983</v>
      </c>
      <c r="G17" s="14">
        <f t="shared" si="1"/>
        <v>0.32178722762751771</v>
      </c>
      <c r="H17" s="2">
        <f>'1998'!Q$8</f>
        <v>3.7493345623905938E-2</v>
      </c>
      <c r="I17" s="2">
        <f>'1998'!Q$9</f>
        <v>3.6000000000000004E-2</v>
      </c>
      <c r="J17" s="2">
        <f>'1998'!Q$11</f>
        <v>3.5000000000000003E-2</v>
      </c>
      <c r="K17" s="2">
        <f t="shared" si="2"/>
        <v>-3.9829617737654484E-2</v>
      </c>
      <c r="L17" s="14">
        <f t="shared" si="3"/>
        <v>-6.6501017244941882E-2</v>
      </c>
      <c r="M17" s="1">
        <f>'1998'!Q$14</f>
        <v>7.1025641025641022</v>
      </c>
      <c r="N17" s="15">
        <f>'1998'!Q$15</f>
        <v>39</v>
      </c>
    </row>
    <row r="18" spans="2:17" x14ac:dyDescent="0.3">
      <c r="B18" s="11">
        <f t="shared" si="4"/>
        <v>1999</v>
      </c>
      <c r="C18" s="12">
        <f>'1999'!Q$2</f>
        <v>1.0140281000876801E-2</v>
      </c>
      <c r="D18" s="2">
        <f>'1999'!Q$3</f>
        <v>3.7079069767441859E-2</v>
      </c>
      <c r="E18" s="2">
        <f>'1999'!Q$5</f>
        <v>3.6325581395348853E-2</v>
      </c>
      <c r="F18" s="2">
        <f t="shared" si="0"/>
        <v>2.6566116623627827</v>
      </c>
      <c r="G18" s="14">
        <f t="shared" si="1"/>
        <v>2.582305203594248</v>
      </c>
      <c r="H18" s="2">
        <f>'1999'!Q$8</f>
        <v>1.8876248976651411E-2</v>
      </c>
      <c r="I18" s="2">
        <f>'1999'!Q$9</f>
        <v>3.5000000000000003E-2</v>
      </c>
      <c r="J18" s="2">
        <f>'1999'!Q$11</f>
        <v>3.5000000000000003E-2</v>
      </c>
      <c r="K18" s="2">
        <f t="shared" si="2"/>
        <v>0.85418194278389392</v>
      </c>
      <c r="L18" s="14">
        <f t="shared" si="3"/>
        <v>0.85418194278389392</v>
      </c>
      <c r="M18" s="1">
        <f>'1999'!Q$14</f>
        <v>8.1162790697674421</v>
      </c>
      <c r="N18" s="15">
        <f>'1999'!Q$15</f>
        <v>43</v>
      </c>
    </row>
    <row r="19" spans="2:17" x14ac:dyDescent="0.3">
      <c r="B19" s="11">
        <f t="shared" si="4"/>
        <v>2000</v>
      </c>
      <c r="C19" s="12">
        <f>'2000'!Q$2</f>
        <v>5.3921912051085714E-2</v>
      </c>
      <c r="D19" s="2">
        <f>'2000'!Q$3</f>
        <v>3.9339534883720932E-2</v>
      </c>
      <c r="E19" s="2">
        <f>'2000'!Q$5</f>
        <v>3.7813953488372104E-2</v>
      </c>
      <c r="F19" s="2">
        <f t="shared" si="0"/>
        <v>-0.27043509053516895</v>
      </c>
      <c r="G19" s="14">
        <f t="shared" si="1"/>
        <v>-0.29872751076506526</v>
      </c>
      <c r="H19" s="2">
        <f>'2000'!Q$8</f>
        <v>4.0104688033748559E-2</v>
      </c>
      <c r="I19" s="2">
        <f>'2000'!Q$9</f>
        <v>3.8199999999999998E-2</v>
      </c>
      <c r="J19" s="2">
        <f>'2000'!Q$11</f>
        <v>3.7499999999999999E-2</v>
      </c>
      <c r="K19" s="2">
        <f t="shared" si="2"/>
        <v>-4.7492902379535878E-2</v>
      </c>
      <c r="L19" s="14">
        <f t="shared" si="3"/>
        <v>-6.4947220922319235E-2</v>
      </c>
      <c r="M19" s="1">
        <f>'2000'!Q$14</f>
        <v>9.2558139534883725</v>
      </c>
      <c r="N19" s="15">
        <f>'2000'!Q$15</f>
        <v>43</v>
      </c>
      <c r="P19" s="2"/>
      <c r="Q19" s="2"/>
    </row>
    <row r="20" spans="2:17" x14ac:dyDescent="0.3">
      <c r="B20" s="11">
        <f t="shared" si="4"/>
        <v>2001</v>
      </c>
      <c r="C20" s="12">
        <f>'2001'!Q$2</f>
        <v>5.4490768030683152E-2</v>
      </c>
      <c r="D20" s="2">
        <f>'2001'!Q$3</f>
        <v>4.1597560975609765E-2</v>
      </c>
      <c r="E20" s="2">
        <f>'2001'!Q$5</f>
        <v>4.0231707317073186E-2</v>
      </c>
      <c r="F20" s="2">
        <f t="shared" si="0"/>
        <v>-0.23661268726866475</v>
      </c>
      <c r="G20" s="14">
        <f t="shared" si="1"/>
        <v>-0.26167846827889901</v>
      </c>
      <c r="H20" s="2">
        <f>'2001'!Q$8</f>
        <v>6.2317977970623328E-2</v>
      </c>
      <c r="I20" s="2">
        <f>'2001'!Q$9</f>
        <v>0.04</v>
      </c>
      <c r="J20" s="2">
        <f>'2001'!Q$11</f>
        <v>0.04</v>
      </c>
      <c r="K20" s="2">
        <f t="shared" si="2"/>
        <v>-0.35813065021371543</v>
      </c>
      <c r="L20" s="14">
        <f t="shared" si="3"/>
        <v>-0.35813065021371543</v>
      </c>
      <c r="M20" s="1">
        <f>'2001'!Q$14</f>
        <v>8</v>
      </c>
      <c r="N20" s="15">
        <f>'2001'!Q$15</f>
        <v>41</v>
      </c>
      <c r="P20" s="2"/>
      <c r="Q20" s="2"/>
    </row>
    <row r="21" spans="2:17" x14ac:dyDescent="0.3">
      <c r="B21" s="11">
        <f t="shared" si="4"/>
        <v>2002</v>
      </c>
      <c r="C21" s="12">
        <f>'2002'!Q$2</f>
        <v>5.1878576543607439E-2</v>
      </c>
      <c r="D21" s="2">
        <f>'2002'!Q$3</f>
        <v>5.3746666666666658E-2</v>
      </c>
      <c r="E21" s="2">
        <f>'2002'!Q$5</f>
        <v>5.1822222222222228E-2</v>
      </c>
      <c r="F21" s="2">
        <f t="shared" si="0"/>
        <v>3.6008893217973376E-2</v>
      </c>
      <c r="G21" s="14">
        <f t="shared" si="1"/>
        <v>-1.0862734704727686E-3</v>
      </c>
      <c r="H21" s="2">
        <f>'2002'!Q$8</f>
        <v>5.0086986470783357E-2</v>
      </c>
      <c r="I21" s="2">
        <f>'2002'!Q$9</f>
        <v>4.3799999999999999E-2</v>
      </c>
      <c r="J21" s="2">
        <f>'2002'!Q$11</f>
        <v>0.04</v>
      </c>
      <c r="K21" s="2">
        <f t="shared" si="2"/>
        <v>-0.12552135621995686</v>
      </c>
      <c r="L21" s="14">
        <f t="shared" si="3"/>
        <v>-0.20138936641091948</v>
      </c>
      <c r="M21" s="1">
        <f>'2002'!Q$14</f>
        <v>8</v>
      </c>
      <c r="N21" s="15">
        <f>'2002'!Q$15</f>
        <v>45</v>
      </c>
      <c r="P21" s="2"/>
      <c r="Q21" s="2"/>
    </row>
    <row r="22" spans="2:17" x14ac:dyDescent="0.3">
      <c r="B22" s="11">
        <f t="shared" si="4"/>
        <v>2003</v>
      </c>
      <c r="C22" s="12">
        <f>'2003'!Q$2</f>
        <v>2.2647517178001439E-2</v>
      </c>
      <c r="D22" s="2">
        <f>'2003'!Q$3</f>
        <v>5.6550000000000017E-2</v>
      </c>
      <c r="E22" s="2">
        <f>'2003'!Q$5</f>
        <v>5.5442307692307687E-2</v>
      </c>
      <c r="F22" s="2">
        <f t="shared" si="0"/>
        <v>1.4969624509184432</v>
      </c>
      <c r="G22" s="14">
        <f t="shared" si="1"/>
        <v>1.4480523519002479</v>
      </c>
      <c r="H22" s="2">
        <f>'2003'!Q$8</f>
        <v>2.4129627230222939E-2</v>
      </c>
      <c r="I22" s="2">
        <f>'2003'!Q$9</f>
        <v>4.809999999999999E-2</v>
      </c>
      <c r="J22" s="2">
        <f>'2003'!Q$11</f>
        <v>4.8000000000000001E-2</v>
      </c>
      <c r="K22" s="2">
        <f t="shared" si="2"/>
        <v>0.99340004472814991</v>
      </c>
      <c r="L22" s="14">
        <f t="shared" si="3"/>
        <v>0.98925576189087772</v>
      </c>
      <c r="M22" s="1">
        <f>'2003'!Q$14</f>
        <v>9</v>
      </c>
      <c r="N22" s="15">
        <f>'2003'!Q$15</f>
        <v>52</v>
      </c>
      <c r="P22" s="2"/>
      <c r="Q22" s="2"/>
    </row>
    <row r="23" spans="2:17" x14ac:dyDescent="0.3">
      <c r="B23" s="11">
        <f t="shared" si="4"/>
        <v>2004</v>
      </c>
      <c r="C23" s="12">
        <f>'2004'!Q$2</f>
        <v>-1.2004801629145171E-2</v>
      </c>
      <c r="D23" s="2">
        <f>'2004'!Q$3</f>
        <v>6.0201785714285742E-2</v>
      </c>
      <c r="E23" s="2">
        <f>'2004'!Q$5</f>
        <v>6.0178571428571422E-2</v>
      </c>
      <c r="F23" s="2">
        <f t="shared" si="0"/>
        <v>6.0148088718207786</v>
      </c>
      <c r="G23" s="14">
        <f t="shared" si="1"/>
        <v>6.012875121773801</v>
      </c>
      <c r="H23" s="2">
        <f>'2004'!Q$8</f>
        <v>-8.6082439827417367E-3</v>
      </c>
      <c r="I23" s="2">
        <f>'2004'!Q$9</f>
        <v>5.8249999999999996E-2</v>
      </c>
      <c r="J23" s="2">
        <f>'2004'!Q$11</f>
        <v>5.6000000000000001E-2</v>
      </c>
      <c r="K23" s="2">
        <f t="shared" si="2"/>
        <v>7.7667691711320774</v>
      </c>
      <c r="L23" s="14">
        <f t="shared" si="3"/>
        <v>7.5053918211741859</v>
      </c>
      <c r="M23" s="1">
        <f>'2004'!Q$14</f>
        <v>8.2142857142857135</v>
      </c>
      <c r="N23" s="15">
        <f>'2004'!Q$15</f>
        <v>56</v>
      </c>
      <c r="P23" s="2"/>
      <c r="Q23" s="2"/>
    </row>
    <row r="24" spans="2:17" x14ac:dyDescent="0.3">
      <c r="B24" s="11">
        <f t="shared" si="4"/>
        <v>2005</v>
      </c>
      <c r="C24" s="12">
        <f>'2005'!Q$2</f>
        <v>7.3771733928725278E-3</v>
      </c>
      <c r="D24" s="2">
        <f>'2005'!Q$3</f>
        <v>6.6889830508474565E-2</v>
      </c>
      <c r="E24" s="2">
        <f>'2005'!Q$5</f>
        <v>6.6355932203389825E-2</v>
      </c>
      <c r="F24" s="2">
        <f t="shared" si="0"/>
        <v>8.0671354658818686</v>
      </c>
      <c r="G24" s="14">
        <f t="shared" si="1"/>
        <v>7.9947638030983184</v>
      </c>
      <c r="H24" s="2">
        <f>'2005'!Q$8</f>
        <v>5.410476966502431E-3</v>
      </c>
      <c r="I24" s="2">
        <f>'2005'!Q$9</f>
        <v>6.3799999999999996E-2</v>
      </c>
      <c r="J24" s="2">
        <f>'2005'!Q$11</f>
        <v>0.06</v>
      </c>
      <c r="K24" s="2">
        <f t="shared" si="2"/>
        <v>10.79193634775662</v>
      </c>
      <c r="L24" s="14">
        <f t="shared" si="3"/>
        <v>10.089595311369862</v>
      </c>
      <c r="M24" s="1">
        <f>'2005'!Q$14</f>
        <v>7.1694915254237293</v>
      </c>
      <c r="N24" s="15">
        <f>'2005'!Q$15</f>
        <v>59</v>
      </c>
      <c r="P24" s="2"/>
      <c r="Q24" s="2"/>
    </row>
    <row r="25" spans="2:17" x14ac:dyDescent="0.3">
      <c r="B25" s="11">
        <f t="shared" si="4"/>
        <v>2006</v>
      </c>
      <c r="C25" s="12">
        <f>'2006'!Q$2</f>
        <v>1.5907388459863742E-2</v>
      </c>
      <c r="D25" s="2">
        <f>'2006'!Q$3</f>
        <v>6.0451666666666667E-2</v>
      </c>
      <c r="E25" s="2">
        <f>'2006'!Q$5</f>
        <v>5.7958333333333334E-2</v>
      </c>
      <c r="F25" s="2">
        <f t="shared" si="0"/>
        <v>2.8002257139312032</v>
      </c>
      <c r="G25" s="14">
        <f t="shared" si="1"/>
        <v>2.6434851314261416</v>
      </c>
      <c r="H25" s="2">
        <f>'2006'!Q$8</f>
        <v>2.6084767351192806E-2</v>
      </c>
      <c r="I25" s="2">
        <f>'2006'!Q$9</f>
        <v>0.06</v>
      </c>
      <c r="J25" s="2">
        <f>'2006'!Q$11</f>
        <v>0.06</v>
      </c>
      <c r="K25" s="2">
        <f t="shared" si="2"/>
        <v>1.3001930280684031</v>
      </c>
      <c r="L25" s="14">
        <f t="shared" si="3"/>
        <v>1.3001930280684031</v>
      </c>
      <c r="M25" s="1">
        <f>'2006'!Q$14</f>
        <v>7.3</v>
      </c>
      <c r="N25" s="15">
        <f>'2006'!Q$15</f>
        <v>60</v>
      </c>
      <c r="P25" s="2"/>
      <c r="Q25" s="2"/>
    </row>
    <row r="26" spans="2:17" x14ac:dyDescent="0.3">
      <c r="B26" s="11">
        <f t="shared" si="4"/>
        <v>2007</v>
      </c>
      <c r="C26" s="12">
        <f>'2007'!Q$2</f>
        <v>4.7216752539611599E-2</v>
      </c>
      <c r="D26" s="2">
        <f>'2007'!Q$3</f>
        <v>4.4767272727272739E-2</v>
      </c>
      <c r="E26" s="2">
        <f>'2007'!Q$5</f>
        <v>4.5581818181818182E-2</v>
      </c>
      <c r="F26" s="2">
        <f t="shared" si="0"/>
        <v>-5.1877346081434038E-2</v>
      </c>
      <c r="G26" s="14">
        <f t="shared" si="1"/>
        <v>-3.4626150039052776E-2</v>
      </c>
      <c r="H26" s="2">
        <f>'2007'!Q$8</f>
        <v>5.182951797101909E-2</v>
      </c>
      <c r="I26" s="2">
        <f>'2007'!Q$9</f>
        <v>4.3299999999999998E-2</v>
      </c>
      <c r="J26" s="2">
        <f>'2007'!Q$11</f>
        <v>0.04</v>
      </c>
      <c r="K26" s="2">
        <f t="shared" si="2"/>
        <v>-0.16456873042478309</v>
      </c>
      <c r="L26" s="14">
        <f t="shared" si="3"/>
        <v>-0.22823901193975341</v>
      </c>
      <c r="M26" s="1">
        <f>'2007'!Q$14</f>
        <v>6.5272727272727273</v>
      </c>
      <c r="N26" s="15">
        <f>'2007'!Q$15</f>
        <v>55</v>
      </c>
      <c r="P26" s="2"/>
      <c r="Q26" s="2"/>
    </row>
    <row r="27" spans="2:17" x14ac:dyDescent="0.3">
      <c r="B27" s="11">
        <f t="shared" si="4"/>
        <v>2008</v>
      </c>
      <c r="C27" s="12">
        <f>'2008'!Q$2</f>
        <v>2.3548342313893442E-2</v>
      </c>
      <c r="D27" s="2">
        <f>'2008'!Q$3</f>
        <v>4.3788888888888884E-2</v>
      </c>
      <c r="E27" s="2">
        <f>'2008'!Q$5</f>
        <v>4.2814814814814819E-2</v>
      </c>
      <c r="F27" s="2">
        <f t="shared" si="0"/>
        <v>0.85953169463880219</v>
      </c>
      <c r="G27" s="14">
        <f t="shared" si="1"/>
        <v>0.81816682652664785</v>
      </c>
      <c r="H27" s="2">
        <f>'2008'!Q$8</f>
        <v>4.3067457914217622E-2</v>
      </c>
      <c r="I27" s="2">
        <f>'2008'!Q$9</f>
        <v>4.3050000000000005E-2</v>
      </c>
      <c r="J27" s="2">
        <f>'2008'!Q$11</f>
        <v>0.04</v>
      </c>
      <c r="K27" s="2">
        <f t="shared" si="2"/>
        <v>-4.0536207761297869E-4</v>
      </c>
      <c r="L27" s="14">
        <f t="shared" si="3"/>
        <v>-7.1224494381057449E-2</v>
      </c>
      <c r="M27" s="1">
        <f>'2008'!Q$14</f>
        <v>5.0185185185185182</v>
      </c>
      <c r="N27" s="15">
        <f>'2008'!Q$15</f>
        <v>54</v>
      </c>
      <c r="P27" s="2"/>
      <c r="Q27" s="2"/>
    </row>
    <row r="28" spans="2:17" x14ac:dyDescent="0.3">
      <c r="B28" s="11">
        <f t="shared" si="4"/>
        <v>2009</v>
      </c>
      <c r="C28" s="12">
        <f>'2009'!Q$2</f>
        <v>4.3011337850378098E-2</v>
      </c>
      <c r="D28" s="2">
        <f>'2009'!Q$3</f>
        <v>5.342363636363634E-2</v>
      </c>
      <c r="E28" s="2">
        <f>'2009'!Q$5</f>
        <v>5.0947272727272716E-2</v>
      </c>
      <c r="F28" s="2">
        <f t="shared" si="0"/>
        <v>0.242082646893689</v>
      </c>
      <c r="G28" s="14">
        <f t="shared" si="1"/>
        <v>0.18450797565286278</v>
      </c>
      <c r="H28" s="2">
        <f>'2009'!Q$8</f>
        <v>4.9817416359329902E-2</v>
      </c>
      <c r="I28" s="2">
        <f>'2009'!Q$9</f>
        <v>4.8000000000000001E-2</v>
      </c>
      <c r="J28" s="2">
        <f>'2009'!Q$11</f>
        <v>0.05</v>
      </c>
      <c r="K28" s="2">
        <f t="shared" si="2"/>
        <v>-3.6481545855790498E-2</v>
      </c>
      <c r="L28" s="14">
        <f t="shared" si="3"/>
        <v>3.665056400218269E-3</v>
      </c>
      <c r="M28" s="1">
        <f>'2009'!Q$14</f>
        <v>4.6363636363636367</v>
      </c>
      <c r="N28" s="15">
        <f>'2009'!Q$15</f>
        <v>55</v>
      </c>
      <c r="P28" s="2"/>
      <c r="Q28" s="2"/>
    </row>
    <row r="29" spans="2:17" x14ac:dyDescent="0.3">
      <c r="B29" s="11">
        <f t="shared" si="4"/>
        <v>2010</v>
      </c>
      <c r="C29" s="12">
        <f>'2010'!Q$2</f>
        <v>3.003669004755358E-2</v>
      </c>
      <c r="D29" s="2">
        <f>'2010'!Q$3</f>
        <v>6.2711320754716998E-2</v>
      </c>
      <c r="E29" s="2">
        <f>'2010'!Q$5</f>
        <v>6.1781132075471687E-2</v>
      </c>
      <c r="F29" s="2">
        <f t="shared" si="0"/>
        <v>1.0878239464945538</v>
      </c>
      <c r="G29" s="14">
        <f t="shared" si="1"/>
        <v>1.0568555316068731</v>
      </c>
      <c r="H29" s="2">
        <f>'2010'!Q$8</f>
        <v>4.4916991100050208E-2</v>
      </c>
      <c r="I29" s="2">
        <f>'2010'!Q$9</f>
        <v>0.06</v>
      </c>
      <c r="J29" s="2">
        <f>'2010'!Q$11</f>
        <v>5.5E-2</v>
      </c>
      <c r="K29" s="2">
        <f t="shared" si="2"/>
        <v>0.33579740161920441</v>
      </c>
      <c r="L29" s="14">
        <f t="shared" si="3"/>
        <v>0.22448095148427077</v>
      </c>
      <c r="M29" s="1">
        <f>'2010'!Q$14</f>
        <v>3.1509433962264151</v>
      </c>
      <c r="N29" s="15">
        <f>'2010'!Q$15</f>
        <v>53</v>
      </c>
      <c r="P29" s="2"/>
      <c r="Q29" s="2"/>
    </row>
    <row r="30" spans="2:17" x14ac:dyDescent="0.3">
      <c r="B30" s="11">
        <f t="shared" si="4"/>
        <v>2011</v>
      </c>
      <c r="C30" s="12">
        <f>'2011'!Q$2</f>
        <v>1.4699639786202985E-2</v>
      </c>
      <c r="D30" s="2">
        <f>'2011'!Q$3</f>
        <v>7.7421153846153806E-2</v>
      </c>
      <c r="E30" s="2">
        <f>'2011'!Q$5</f>
        <v>7.2723076923076904E-2</v>
      </c>
      <c r="F30" s="2">
        <f t="shared" si="0"/>
        <v>4.2668742208785932</v>
      </c>
      <c r="G30" s="14">
        <f t="shared" si="1"/>
        <v>3.9472693195743784</v>
      </c>
      <c r="H30" s="2">
        <f>'2011'!Q$8</f>
        <v>1.3693360751092287E-2</v>
      </c>
      <c r="I30" s="2">
        <f>'2011'!Q$9</f>
        <v>0.06</v>
      </c>
      <c r="J30" s="2">
        <f>'2011'!Q$11</f>
        <v>0.06</v>
      </c>
      <c r="K30" s="2">
        <f t="shared" si="2"/>
        <v>3.3816854817918922</v>
      </c>
      <c r="L30" s="14">
        <f t="shared" si="3"/>
        <v>3.3816854817918922</v>
      </c>
      <c r="M30" s="1">
        <f>'2011'!Q$14</f>
        <v>3.5576923076923075</v>
      </c>
      <c r="N30" s="15">
        <f>'2011'!Q$15</f>
        <v>52</v>
      </c>
      <c r="P30" s="2"/>
      <c r="Q30" s="2"/>
    </row>
    <row r="31" spans="2:17" x14ac:dyDescent="0.3">
      <c r="B31" s="11">
        <f t="shared" si="4"/>
        <v>2012</v>
      </c>
      <c r="C31" s="12">
        <f>'2012'!Q$2</f>
        <v>2.2990158591049647E-2</v>
      </c>
      <c r="D31" s="2">
        <f>'2012'!Q$3</f>
        <v>6.631458333333333E-2</v>
      </c>
      <c r="E31" s="2">
        <f>'2012'!Q$5</f>
        <v>6.4522916666666666E-2</v>
      </c>
      <c r="F31" s="2">
        <f t="shared" si="0"/>
        <v>1.8844769848238634</v>
      </c>
      <c r="G31" s="14">
        <f t="shared" si="1"/>
        <v>1.8065450880267626</v>
      </c>
      <c r="H31" s="2">
        <f>'2012'!Q$8</f>
        <v>3.0398226054432098E-2</v>
      </c>
      <c r="I31" s="2">
        <f>'2012'!Q$9</f>
        <v>0.06</v>
      </c>
      <c r="J31" s="2">
        <f>'2012'!Q$11</f>
        <v>0.06</v>
      </c>
      <c r="K31" s="2">
        <f t="shared" si="2"/>
        <v>0.97379938857491077</v>
      </c>
      <c r="L31" s="14">
        <f t="shared" si="3"/>
        <v>0.97379938857491077</v>
      </c>
      <c r="M31" s="1">
        <f>'2012'!Q$14</f>
        <v>2.8125</v>
      </c>
      <c r="N31" s="15">
        <f>'2012'!Q$15</f>
        <v>48</v>
      </c>
      <c r="P31" s="2"/>
      <c r="Q31" s="2"/>
    </row>
    <row r="32" spans="2:17" x14ac:dyDescent="0.3">
      <c r="B32" s="11">
        <f t="shared" si="4"/>
        <v>2013</v>
      </c>
      <c r="C32" s="12">
        <f>'2013'!Q$2</f>
        <v>3.1323446658706115E-2</v>
      </c>
      <c r="D32" s="2">
        <f>'2013'!Q$3</f>
        <v>6.0336538461538462E-2</v>
      </c>
      <c r="E32" s="2">
        <f>'2013'!Q$5</f>
        <v>5.7205769230769227E-2</v>
      </c>
      <c r="F32" s="2">
        <f t="shared" si="0"/>
        <v>0.92624199753472458</v>
      </c>
      <c r="G32" s="14">
        <f t="shared" si="1"/>
        <v>0.82629229324830111</v>
      </c>
      <c r="H32" s="2">
        <f>'2013'!Q$8</f>
        <v>5.6536470546824424E-2</v>
      </c>
      <c r="I32" s="2">
        <f>'2013'!Q$9</f>
        <v>5.4150000000000004E-2</v>
      </c>
      <c r="J32" s="2">
        <f>'2013'!Q$11</f>
        <v>0.05</v>
      </c>
      <c r="K32" s="2">
        <f t="shared" si="2"/>
        <v>-4.221116959977024E-2</v>
      </c>
      <c r="L32" s="14">
        <f t="shared" si="3"/>
        <v>-0.11561511505057272</v>
      </c>
      <c r="M32" s="1">
        <f>'2013'!Q$14</f>
        <v>2.6538461538461537</v>
      </c>
      <c r="N32" s="15">
        <f>'2013'!Q$15</f>
        <v>52</v>
      </c>
      <c r="P32" s="2"/>
      <c r="Q32" s="2"/>
    </row>
    <row r="33" spans="1:17" x14ac:dyDescent="0.3">
      <c r="B33" s="11">
        <f t="shared" si="4"/>
        <v>2014</v>
      </c>
      <c r="C33" s="12">
        <f>'2014'!Q$2</f>
        <v>4.5302805339630423E-2</v>
      </c>
      <c r="D33" s="2">
        <f>'2014'!Q$3</f>
        <v>5.8519230769230775E-2</v>
      </c>
      <c r="E33" s="2">
        <f>'2014'!Q$5</f>
        <v>5.6540384615384617E-2</v>
      </c>
      <c r="F33" s="2">
        <f t="shared" si="0"/>
        <v>0.29173525415298646</v>
      </c>
      <c r="G33" s="14">
        <f t="shared" si="1"/>
        <v>0.24805482114202931</v>
      </c>
      <c r="H33" s="2">
        <f>'2014'!Q$8</f>
        <v>5.9961260802113614E-2</v>
      </c>
      <c r="I33" s="2">
        <f>'2014'!Q$9</f>
        <v>5.3650000000000003E-2</v>
      </c>
      <c r="J33" s="2">
        <f>'2014'!Q$11</f>
        <v>0.05</v>
      </c>
      <c r="K33" s="2">
        <f t="shared" si="2"/>
        <v>-0.10525563868548843</v>
      </c>
      <c r="L33" s="14">
        <f t="shared" si="3"/>
        <v>-0.16612827463698829</v>
      </c>
      <c r="M33" s="1">
        <f>'2014'!Q$14</f>
        <v>3.4038461538461537</v>
      </c>
      <c r="N33" s="15">
        <f>'2014'!Q$15</f>
        <v>52</v>
      </c>
      <c r="P33" s="2"/>
      <c r="Q33" s="2"/>
    </row>
    <row r="34" spans="1:17" x14ac:dyDescent="0.3">
      <c r="B34" s="11">
        <f t="shared" si="4"/>
        <v>2015</v>
      </c>
      <c r="C34" s="12">
        <f>'2015'!Q$2</f>
        <v>2.2778184726852332E-2</v>
      </c>
      <c r="D34" s="2">
        <f>'2015'!Q$3</f>
        <v>5.4459183673469393E-2</v>
      </c>
      <c r="E34" s="2">
        <f>'2015'!Q$5</f>
        <v>5.4975510204081639E-2</v>
      </c>
      <c r="F34" s="2">
        <f t="shared" si="0"/>
        <v>1.3908482755111538</v>
      </c>
      <c r="G34" s="14">
        <f t="shared" si="1"/>
        <v>1.4135158645575963</v>
      </c>
      <c r="H34" s="2">
        <f>'2015'!Q$8</f>
        <v>3.5959844827033516E-2</v>
      </c>
      <c r="I34" s="2">
        <f>'2015'!Q$9</f>
        <v>0.05</v>
      </c>
      <c r="J34" s="2">
        <f>'2015'!Q$11</f>
        <v>0.05</v>
      </c>
      <c r="K34" s="2">
        <f t="shared" si="2"/>
        <v>0.39043981531342775</v>
      </c>
      <c r="L34" s="14">
        <f t="shared" si="3"/>
        <v>0.39043981531342775</v>
      </c>
      <c r="M34" s="1">
        <f>'2015'!Q$14</f>
        <v>3.4081632653061225</v>
      </c>
      <c r="N34" s="15">
        <f>'2015'!Q$15</f>
        <v>49</v>
      </c>
      <c r="P34" s="2"/>
      <c r="Q34" s="2"/>
    </row>
    <row r="35" spans="1:17" x14ac:dyDescent="0.3">
      <c r="B35" s="11">
        <f t="shared" si="4"/>
        <v>2016</v>
      </c>
      <c r="C35" s="12">
        <f>'2016'!Q$2</f>
        <v>3.879797740096614E-2</v>
      </c>
      <c r="D35" s="2">
        <f>'2016'!Q$3</f>
        <v>5.0834210526315787E-2</v>
      </c>
      <c r="E35" s="2">
        <f>'2016'!Q$5</f>
        <v>5.0231578947368426E-2</v>
      </c>
      <c r="F35" s="2">
        <f t="shared" si="0"/>
        <v>0.3102283657974893</v>
      </c>
      <c r="G35" s="14">
        <f t="shared" si="1"/>
        <v>0.29469581437813736</v>
      </c>
      <c r="H35" s="2">
        <f>'2016'!Q$8</f>
        <v>3.9837719391657922E-2</v>
      </c>
      <c r="I35" s="2">
        <f>'2016'!Q$9</f>
        <v>5.2650000000000002E-2</v>
      </c>
      <c r="J35" s="2">
        <f>'2016'!Q$11</f>
        <v>0.05</v>
      </c>
      <c r="K35" s="2">
        <f t="shared" si="2"/>
        <v>0.32161179916903054</v>
      </c>
      <c r="L35" s="14">
        <f t="shared" si="3"/>
        <v>0.25509192703611638</v>
      </c>
      <c r="M35" s="1">
        <f>'2016'!Q$14</f>
        <v>2.0789473684210527</v>
      </c>
      <c r="N35" s="15">
        <f>'2016'!Q$15</f>
        <v>38</v>
      </c>
      <c r="P35" s="2"/>
      <c r="Q35" s="2"/>
    </row>
    <row r="36" spans="1:17" x14ac:dyDescent="0.3">
      <c r="B36" s="11">
        <f t="shared" si="4"/>
        <v>2017</v>
      </c>
      <c r="C36" s="12">
        <f>'2017'!Q$2</f>
        <v>4.515305896613931E-2</v>
      </c>
      <c r="D36" s="2">
        <f>'2017'!Q$3</f>
        <v>4.9376470588235299E-2</v>
      </c>
      <c r="E36" s="2">
        <f>'2017'!Q$5</f>
        <v>4.9535294117647066E-2</v>
      </c>
      <c r="F36" s="2">
        <f t="shared" si="0"/>
        <v>9.3535448512207423E-2</v>
      </c>
      <c r="G36" s="14">
        <f t="shared" si="1"/>
        <v>9.7052896345163106E-2</v>
      </c>
      <c r="H36" s="2">
        <f>'2017'!Q$8</f>
        <v>4.8814210410963899E-2</v>
      </c>
      <c r="I36" s="2">
        <f>'2017'!Q$9</f>
        <v>4.8100000000000004E-2</v>
      </c>
      <c r="J36" s="2">
        <f>'2017'!Q$11</f>
        <v>4.9000000000000002E-2</v>
      </c>
      <c r="K36" s="2">
        <f t="shared" si="2"/>
        <v>-1.463119868069155E-2</v>
      </c>
      <c r="L36" s="14">
        <f t="shared" si="3"/>
        <v>3.8060553980480676E-3</v>
      </c>
      <c r="M36" s="1">
        <f>'2017'!Q$14</f>
        <v>2</v>
      </c>
      <c r="N36" s="15">
        <f>'2017'!Q$15</f>
        <v>34</v>
      </c>
      <c r="P36" s="2"/>
      <c r="Q36" s="2"/>
    </row>
    <row r="37" spans="1:17" x14ac:dyDescent="0.3">
      <c r="B37" s="11">
        <f t="shared" si="4"/>
        <v>2018</v>
      </c>
      <c r="C37" s="12">
        <f>'2018'!Q$2</f>
        <v>5.1409510802084842E-2</v>
      </c>
      <c r="D37" s="2">
        <f>'2018'!Q$3</f>
        <v>5.4500000000000021E-2</v>
      </c>
      <c r="E37" s="2">
        <f>'2018'!Q$5</f>
        <v>5.4091428571428582E-2</v>
      </c>
      <c r="F37" s="2">
        <f t="shared" si="0"/>
        <v>6.0115125580806901E-2</v>
      </c>
      <c r="G37" s="14">
        <f t="shared" si="1"/>
        <v>5.216773564853644E-2</v>
      </c>
      <c r="H37" s="2">
        <f>'2018'!Q$8</f>
        <v>4.7427145361279566E-2</v>
      </c>
      <c r="I37" s="2">
        <f>'2018'!Q$9</f>
        <v>0.05</v>
      </c>
      <c r="J37" s="2">
        <f>'2018'!Q$11</f>
        <v>0.05</v>
      </c>
      <c r="K37" s="2">
        <f t="shared" si="2"/>
        <v>5.4248566282485242E-2</v>
      </c>
      <c r="L37" s="14">
        <f t="shared" si="3"/>
        <v>5.4248566282485242E-2</v>
      </c>
      <c r="M37" s="1">
        <f>'2018'!Q$14</f>
        <v>2.4857142857142858</v>
      </c>
      <c r="N37" s="15">
        <f>'2018'!Q$15</f>
        <v>35</v>
      </c>
      <c r="P37" s="2"/>
      <c r="Q37" s="2"/>
    </row>
    <row r="38" spans="1:17" x14ac:dyDescent="0.3">
      <c r="B38" s="11">
        <f>B37+1</f>
        <v>2019</v>
      </c>
      <c r="C38" s="12">
        <f>'2019'!Q$2</f>
        <v>4.1751000792775161E-2</v>
      </c>
      <c r="D38" s="2">
        <f>'2019'!Q$3</f>
        <v>4.5697368421052639E-2</v>
      </c>
      <c r="E38" s="2">
        <f>'2019'!Q$5</f>
        <v>4.5210526315789486E-2</v>
      </c>
      <c r="F38" s="2">
        <f>(D38-C38)/ABS(C38)</f>
        <v>9.4521509744513246E-2</v>
      </c>
      <c r="G38" s="14">
        <f>(E38-C38)/ABS(C38)</f>
        <v>8.2860900513143654E-2</v>
      </c>
      <c r="H38" s="2">
        <f>'2019'!Q$8</f>
        <v>5.9770866443202286E-2</v>
      </c>
      <c r="I38" s="2">
        <f>'2019'!Q$9</f>
        <v>4.8149999999999998E-2</v>
      </c>
      <c r="J38" s="2">
        <f>'2019'!Q$11</f>
        <v>4.6950000000000006E-2</v>
      </c>
      <c r="K38" s="2">
        <f>(I38-H38)/ABS(H38)</f>
        <v>-0.19442359019916675</v>
      </c>
      <c r="L38" s="14">
        <f>(J38-H38)/ABS(H38)</f>
        <v>-0.21450026084840856</v>
      </c>
      <c r="M38" s="1">
        <f>'2019'!Q$14</f>
        <v>2.8947368421052633</v>
      </c>
      <c r="N38" s="15">
        <f>'2019'!Q$15</f>
        <v>38</v>
      </c>
      <c r="P38" s="2"/>
      <c r="Q38" s="2"/>
    </row>
    <row r="39" spans="1:17" x14ac:dyDescent="0.3">
      <c r="B39" s="11">
        <f>B38+1</f>
        <v>2020</v>
      </c>
      <c r="C39" s="50">
        <f>'2020'!Q2</f>
        <v>2.7558731795603995E-2</v>
      </c>
      <c r="D39" s="2">
        <f>'2020'!Q3</f>
        <v>4.4116216216216218E-2</v>
      </c>
      <c r="E39" s="2">
        <f>'2020'!Q5</f>
        <v>4.3510810810810811E-2</v>
      </c>
      <c r="F39" s="2">
        <f>(D39-C39)/ABS(C39)</f>
        <v>0.60080719763938395</v>
      </c>
      <c r="G39" s="14">
        <f>(E39-C39)/ABS(C39)</f>
        <v>0.57883937234555172</v>
      </c>
      <c r="H39" s="2">
        <f>'2020'!Q8</f>
        <v>4.4525760583646212E-2</v>
      </c>
      <c r="I39" s="2">
        <f>'2020'!Q9</f>
        <v>5.2999999999999999E-2</v>
      </c>
      <c r="J39" s="2">
        <f>'2020'!Q11</f>
        <v>0.05</v>
      </c>
      <c r="K39" s="2">
        <f>(I39-H39)/ABS(H39)</f>
        <v>0.19032217092471801</v>
      </c>
      <c r="L39" s="14">
        <f>(J39-H39)/ABS(H39)</f>
        <v>0.12294544426860199</v>
      </c>
      <c r="M39" s="1">
        <f>'2020'!Q14</f>
        <v>2.4594594594594597</v>
      </c>
      <c r="N39" s="15">
        <f>'2020'!Q15</f>
        <v>37</v>
      </c>
      <c r="P39" s="2"/>
      <c r="Q39" s="2"/>
    </row>
    <row r="40" spans="1:17" x14ac:dyDescent="0.3">
      <c r="B40" s="11">
        <v>2021</v>
      </c>
      <c r="C40" s="50">
        <f>'2021'!$Q2</f>
        <v>2.6747169618520493E-2</v>
      </c>
      <c r="D40" s="2">
        <f>'2021'!$Q3</f>
        <v>4.3000000000000003E-2</v>
      </c>
      <c r="E40" s="2">
        <f>'2021'!$Q5</f>
        <v>4.3126315789473693E-2</v>
      </c>
      <c r="F40" s="2">
        <f>(D40-C40)/ABS(C40)</f>
        <v>0.60764673845062067</v>
      </c>
      <c r="G40" s="14">
        <f>(E40-C40)/ABS(C40)</f>
        <v>0.61236932372881125</v>
      </c>
      <c r="H40" s="2">
        <f>'2021'!$Q8</f>
        <v>3.5402993861689436E-2</v>
      </c>
      <c r="I40" s="2">
        <f>'2021'!$Q9</f>
        <v>4.7100000000000003E-2</v>
      </c>
      <c r="J40" s="2">
        <f>'2021'!$Q11</f>
        <v>4.5850000000000002E-2</v>
      </c>
      <c r="K40" s="2">
        <f>(I40-H40)/ABS(H40)</f>
        <v>0.33039595984474701</v>
      </c>
      <c r="L40" s="14">
        <f>(J40-H40)/ABS(H40)</f>
        <v>0.29508821144122394</v>
      </c>
      <c r="M40" s="1">
        <f>'2021'!$Q14</f>
        <v>2.0526315789473686</v>
      </c>
      <c r="N40" s="15">
        <f>'2021'!$Q15</f>
        <v>38</v>
      </c>
      <c r="P40" s="2"/>
      <c r="Q40" s="2"/>
    </row>
    <row r="41" spans="1:17" x14ac:dyDescent="0.3">
      <c r="A41" s="100"/>
      <c r="B41" s="100"/>
      <c r="C41" s="2"/>
      <c r="D41" s="2"/>
      <c r="E41" s="2"/>
      <c r="F41" s="2"/>
      <c r="G41" s="2"/>
      <c r="H41" s="2"/>
      <c r="I41" s="2"/>
      <c r="J41" s="2"/>
      <c r="K41" s="2"/>
      <c r="L41" s="2"/>
      <c r="M41" s="1"/>
      <c r="N41" s="1"/>
    </row>
    <row r="42" spans="1:17" x14ac:dyDescent="0.3">
      <c r="A42" s="92" t="s">
        <v>130</v>
      </c>
      <c r="B42" s="93"/>
      <c r="C42" s="18">
        <f t="shared" ref="C42:N42" si="5">AVERAGE(C4:C40)</f>
        <v>2.8566298919997568E-2</v>
      </c>
      <c r="D42" s="18">
        <f t="shared" si="5"/>
        <v>5.1431193966214761E-2</v>
      </c>
      <c r="E42" s="18">
        <f t="shared" si="5"/>
        <v>5.0320983637673428E-2</v>
      </c>
      <c r="F42" s="18">
        <f t="shared" si="5"/>
        <v>3.391656039641072</v>
      </c>
      <c r="G42" s="19">
        <f t="shared" si="5"/>
        <v>3.2904216815530738</v>
      </c>
      <c r="H42" s="18">
        <f t="shared" si="5"/>
        <v>3.4598293206019218E-2</v>
      </c>
      <c r="I42" s="18">
        <f t="shared" si="5"/>
        <v>4.8001351351351355E-2</v>
      </c>
      <c r="J42" s="18">
        <f t="shared" si="5"/>
        <v>4.6508108108108126E-2</v>
      </c>
      <c r="K42" s="18">
        <f t="shared" si="5"/>
        <v>1.7604565787589015</v>
      </c>
      <c r="L42" s="19">
        <f t="shared" si="5"/>
        <v>1.6839790374269932</v>
      </c>
      <c r="M42" s="20">
        <f t="shared" si="5"/>
        <v>6.0723684386173975</v>
      </c>
      <c r="N42" s="21">
        <f t="shared" si="5"/>
        <v>42.918918918918919</v>
      </c>
    </row>
    <row r="43" spans="1:17" x14ac:dyDescent="0.3">
      <c r="A43" s="92" t="s">
        <v>131</v>
      </c>
      <c r="B43" s="93"/>
      <c r="C43" s="18">
        <f t="shared" ref="C43:N43" si="6">MEDIAN(C4:C40)</f>
        <v>2.8011801182326854E-2</v>
      </c>
      <c r="D43" s="18">
        <f t="shared" si="6"/>
        <v>5.0834210526315787E-2</v>
      </c>
      <c r="E43" s="18">
        <f t="shared" si="6"/>
        <v>5.0231578947368426E-2</v>
      </c>
      <c r="F43" s="18">
        <f t="shared" si="6"/>
        <v>0.82541675655946212</v>
      </c>
      <c r="G43" s="19">
        <f t="shared" si="6"/>
        <v>0.81816682652664785</v>
      </c>
      <c r="H43" s="18">
        <f t="shared" si="6"/>
        <v>3.5959844827033516E-2</v>
      </c>
      <c r="I43" s="18">
        <f t="shared" si="6"/>
        <v>4.809999999999999E-2</v>
      </c>
      <c r="J43" s="18">
        <f t="shared" si="6"/>
        <v>4.7500000000000001E-2</v>
      </c>
      <c r="K43" s="18">
        <f t="shared" si="6"/>
        <v>0.33039595984474701</v>
      </c>
      <c r="L43" s="19">
        <f t="shared" si="6"/>
        <v>0.29508821144122394</v>
      </c>
      <c r="M43" s="20">
        <f t="shared" si="6"/>
        <v>7.1694915254237293</v>
      </c>
      <c r="N43" s="21">
        <f t="shared" si="6"/>
        <v>41</v>
      </c>
    </row>
  </sheetData>
  <mergeCells count="9">
    <mergeCell ref="A43:B43"/>
    <mergeCell ref="C2:G2"/>
    <mergeCell ref="H2:L2"/>
    <mergeCell ref="M2:N2"/>
    <mergeCell ref="T4:AB4"/>
    <mergeCell ref="A41:B41"/>
    <mergeCell ref="A42:B42"/>
    <mergeCell ref="P4:R7"/>
    <mergeCell ref="T5:AB15"/>
  </mergeCells>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B6211-2234-4253-BA73-A1AA1CC7A628}">
  <dimension ref="A1:Q32"/>
  <sheetViews>
    <sheetView workbookViewId="0">
      <selection activeCell="A26" sqref="A26:N32"/>
    </sheetView>
  </sheetViews>
  <sheetFormatPr defaultRowHeight="14.4" x14ac:dyDescent="0.3"/>
  <cols>
    <col min="1" max="1" width="13.33203125" bestFit="1" customWidth="1"/>
    <col min="2" max="2" width="10.44140625" bestFit="1" customWidth="1"/>
    <col min="3" max="3" width="15.109375" bestFit="1" customWidth="1"/>
    <col min="4" max="5" width="15.44140625" bestFit="1" customWidth="1"/>
    <col min="6" max="6" width="14.33203125" bestFit="1" customWidth="1"/>
    <col min="7" max="7" width="16" bestFit="1" customWidth="1"/>
    <col min="8" max="8" width="18.33203125" bestFit="1" customWidth="1"/>
    <col min="9" max="9" width="21.44140625" bestFit="1" customWidth="1"/>
    <col min="10" max="10" width="23.109375" bestFit="1" customWidth="1"/>
    <col min="11" max="11" width="22" bestFit="1" customWidth="1"/>
    <col min="12" max="12" width="24.109375" bestFit="1" customWidth="1"/>
    <col min="13" max="13" width="19.88671875" bestFit="1" customWidth="1"/>
    <col min="14" max="14" width="8.33203125" bestFit="1" customWidth="1"/>
    <col min="16" max="16" width="51.88671875" bestFit="1" customWidth="1"/>
    <col min="17" max="17" width="13.6640625" bestFit="1" customWidth="1"/>
  </cols>
  <sheetData>
    <row r="1" spans="1:17" x14ac:dyDescent="0.3">
      <c r="A1" t="s">
        <v>0</v>
      </c>
      <c r="B1" t="s">
        <v>1</v>
      </c>
      <c r="C1" t="s">
        <v>2</v>
      </c>
      <c r="D1" t="s">
        <v>113</v>
      </c>
      <c r="E1" t="s">
        <v>109</v>
      </c>
      <c r="F1" t="s">
        <v>5</v>
      </c>
      <c r="G1" t="s">
        <v>6</v>
      </c>
      <c r="H1" t="s">
        <v>7</v>
      </c>
      <c r="I1" t="s">
        <v>8</v>
      </c>
      <c r="J1" t="s">
        <v>9</v>
      </c>
      <c r="K1" t="s">
        <v>10</v>
      </c>
      <c r="L1" t="s">
        <v>11</v>
      </c>
      <c r="M1" t="s">
        <v>12</v>
      </c>
      <c r="N1" t="s">
        <v>13</v>
      </c>
      <c r="P1" s="111" t="s">
        <v>14</v>
      </c>
      <c r="Q1" s="111"/>
    </row>
    <row r="2" spans="1:17" x14ac:dyDescent="0.3">
      <c r="A2" t="s">
        <v>31</v>
      </c>
      <c r="B2" t="str">
        <f>VLOOKUP($A2,[139]WRDS!$A$1:$N$37,2,FALSE)</f>
        <v>ED</v>
      </c>
      <c r="C2" t="str">
        <f>VLOOKUP($A2,[139]WRDS!$A$1:$N$37,3,FALSE)</f>
        <v>CONSOL EDISON</v>
      </c>
      <c r="D2">
        <f>VLOOKUP($A2,[139]WRDS!$A$1:$N$37,13,FALSE)</f>
        <v>2.2400000000000002</v>
      </c>
      <c r="E2">
        <f>VLOOKUP(A2,[123]WRDS!$A$1:$N$40,13,FALSE)</f>
        <v>2.46</v>
      </c>
      <c r="F2" s="1">
        <f>D2*(1+I2)^4</f>
        <v>2.8141009361731304</v>
      </c>
      <c r="G2" s="1">
        <f>D2*(1+J2)^4</f>
        <v>2.8279483904000009</v>
      </c>
      <c r="H2" s="2">
        <f t="shared" ref="H2:H32" si="0">((E2/D2)^(1/4)-1)</f>
        <v>2.3697805267090422E-2</v>
      </c>
      <c r="I2" s="2">
        <f>VLOOKUP($A2,[140]WRDS!$A$1:$O$32,10,FALSE)/100</f>
        <v>5.8700000000000002E-2</v>
      </c>
      <c r="J2" s="2">
        <f>VLOOKUP($A2,[140]WRDS!$A$1:$O$32,9,FALSE)/100</f>
        <v>0.06</v>
      </c>
      <c r="K2" s="2">
        <f t="shared" ref="K2:K32" si="1">(I2-H2)/(ABS(H2))</f>
        <v>1.4770226330417937</v>
      </c>
      <c r="L2" s="2">
        <f t="shared" ref="L2:L32" si="2">(J2-H2)/(ABS(H2))</f>
        <v>1.5318800337735539</v>
      </c>
      <c r="M2">
        <f>VLOOKUP($A2,[140]WRDS!$A$1:$O$32,8,FALSE)</f>
        <v>13</v>
      </c>
      <c r="N2">
        <f>VLOOKUP($A2,[140]WRDS!$A$1:$O$32,11,FALSE)</f>
        <v>1.36</v>
      </c>
      <c r="P2" t="s">
        <v>16</v>
      </c>
      <c r="Q2" s="3">
        <f>AVERAGE(H2:H999)</f>
        <v>2.1418703754931916E-2</v>
      </c>
    </row>
    <row r="3" spans="1:17" x14ac:dyDescent="0.3">
      <c r="A3" t="s">
        <v>25</v>
      </c>
      <c r="B3" t="str">
        <f>VLOOKUP($A3,[139]WRDS!$A$1:$N$37,2,FALSE)</f>
        <v>D</v>
      </c>
      <c r="C3" t="str">
        <f>VLOOKUP($A3,[139]WRDS!$A$1:$N$37,3,FALSE)</f>
        <v>DOMINION RES INC</v>
      </c>
      <c r="D3">
        <f>VLOOKUP($A3,[139]WRDS!$A$1:$N$37,13,FALSE)</f>
        <v>1.1533</v>
      </c>
      <c r="E3">
        <f>VLOOKUP(A3,[123]WRDS!$A$1:$N$40,13,FALSE)</f>
        <v>1.5065</v>
      </c>
      <c r="F3" s="1">
        <f t="shared" ref="F3:F32" si="3">D3*(1+I3)^4</f>
        <v>1.3832453620664444</v>
      </c>
      <c r="G3" s="1">
        <f t="shared" ref="G3:G32" si="4">D3*(1+J3)^4</f>
        <v>1.3753317021008118</v>
      </c>
      <c r="H3" s="2">
        <f t="shared" si="0"/>
        <v>6.9071399068119765E-2</v>
      </c>
      <c r="I3" s="2">
        <f>VLOOKUP($A3,[140]WRDS!$A$1:$O$32,10,FALSE)/100</f>
        <v>4.6500000000000007E-2</v>
      </c>
      <c r="J3" s="2">
        <f>VLOOKUP($A3,[140]WRDS!$A$1:$O$32,9,FALSE)/100</f>
        <v>4.4999999999999998E-2</v>
      </c>
      <c r="K3" s="2">
        <f t="shared" si="1"/>
        <v>-0.32678358007283648</v>
      </c>
      <c r="L3" s="2">
        <f t="shared" si="2"/>
        <v>-0.34850023878016445</v>
      </c>
      <c r="M3">
        <f>VLOOKUP($A3,[140]WRDS!$A$1:$O$32,8,FALSE)</f>
        <v>15</v>
      </c>
      <c r="N3">
        <f>VLOOKUP($A3,[140]WRDS!$A$1:$O$32,11,FALSE)</f>
        <v>1.1100000000000001</v>
      </c>
      <c r="P3" t="s">
        <v>18</v>
      </c>
      <c r="Q3" s="3">
        <f>AVERAGE(I2:I999)</f>
        <v>5.3245161290322585E-2</v>
      </c>
    </row>
    <row r="4" spans="1:17" x14ac:dyDescent="0.3">
      <c r="A4" t="s">
        <v>27</v>
      </c>
      <c r="B4" t="str">
        <f>VLOOKUP($A4,[139]WRDS!$A$1:$N$37,2,FALSE)</f>
        <v>DTE</v>
      </c>
      <c r="C4" t="str">
        <f>VLOOKUP($A4,[139]WRDS!$A$1:$N$37,3,FALSE)</f>
        <v>DETROIT EDISON</v>
      </c>
      <c r="D4">
        <f>VLOOKUP($A4,[139]WRDS!$A$1:$N$37,13,FALSE)</f>
        <v>2.2000000000000002</v>
      </c>
      <c r="E4">
        <f>VLOOKUP(A4,[123]WRDS!$A$1:$N$40,13,FALSE)</f>
        <v>2.31</v>
      </c>
      <c r="F4" s="1">
        <f t="shared" si="3"/>
        <v>2.5041237688882974</v>
      </c>
      <c r="G4" s="1">
        <f t="shared" si="4"/>
        <v>2.4809308829031371</v>
      </c>
      <c r="H4" s="2">
        <f t="shared" si="0"/>
        <v>1.2272234429039353E-2</v>
      </c>
      <c r="I4" s="2">
        <f>VLOOKUP($A4,[140]WRDS!$A$1:$O$32,10,FALSE)/100</f>
        <v>3.2899999999999999E-2</v>
      </c>
      <c r="J4" s="2">
        <f>VLOOKUP($A4,[140]WRDS!$A$1:$O$32,9,FALSE)/100</f>
        <v>3.0499999999999999E-2</v>
      </c>
      <c r="K4" s="2">
        <f t="shared" si="1"/>
        <v>1.6808483972690333</v>
      </c>
      <c r="L4" s="2">
        <f t="shared" si="2"/>
        <v>1.4852849883497119</v>
      </c>
      <c r="M4">
        <f>VLOOKUP($A4,[140]WRDS!$A$1:$O$32,8,FALSE)</f>
        <v>12</v>
      </c>
      <c r="N4">
        <f>VLOOKUP($A4,[140]WRDS!$A$1:$O$32,11,FALSE)</f>
        <v>0.81</v>
      </c>
      <c r="P4" t="s">
        <v>20</v>
      </c>
      <c r="Q4" s="3">
        <f>(Q3-Q2)/ABS(Q2)</f>
        <v>1.4859189379311639</v>
      </c>
    </row>
    <row r="5" spans="1:17" x14ac:dyDescent="0.3">
      <c r="A5" t="s">
        <v>29</v>
      </c>
      <c r="B5" t="str">
        <f>VLOOKUP($A5,[139]WRDS!$A$1:$N$37,2,FALSE)</f>
        <v>DUK</v>
      </c>
      <c r="C5" t="str">
        <f>VLOOKUP($A5,[139]WRDS!$A$1:$N$37,3,FALSE)</f>
        <v>DUKE POWER CO</v>
      </c>
      <c r="D5">
        <f>VLOOKUP($A5,[139]WRDS!$A$1:$N$37,13,FALSE)</f>
        <v>2.9849999999999999</v>
      </c>
      <c r="E5">
        <f>VLOOKUP(A5,[123]WRDS!$A$1:$N$40,13,FALSE)</f>
        <v>3.7124999999999999</v>
      </c>
      <c r="F5" s="1">
        <f t="shared" si="3"/>
        <v>3.6866879799910981</v>
      </c>
      <c r="G5" s="1">
        <f t="shared" si="4"/>
        <v>3.6699303344657843</v>
      </c>
      <c r="H5" s="2">
        <f t="shared" si="0"/>
        <v>5.6040397035735046E-2</v>
      </c>
      <c r="I5" s="2">
        <f>VLOOKUP($A5,[140]WRDS!$A$1:$O$32,10,FALSE)/100</f>
        <v>5.4199999999999998E-2</v>
      </c>
      <c r="J5" s="2">
        <f>VLOOKUP($A5,[140]WRDS!$A$1:$O$32,9,FALSE)/100</f>
        <v>5.2999999999999999E-2</v>
      </c>
      <c r="K5" s="2">
        <f t="shared" si="1"/>
        <v>-3.2840542413742881E-2</v>
      </c>
      <c r="L5" s="2">
        <f t="shared" si="2"/>
        <v>-5.4253666935947825E-2</v>
      </c>
      <c r="M5">
        <f>VLOOKUP($A5,[140]WRDS!$A$1:$O$32,8,FALSE)</f>
        <v>15</v>
      </c>
      <c r="N5">
        <f>VLOOKUP($A5,[140]WRDS!$A$1:$O$32,11,FALSE)</f>
        <v>0.91</v>
      </c>
      <c r="P5" t="s">
        <v>22</v>
      </c>
      <c r="Q5" s="3">
        <f>AVERAGE(J2:J999)</f>
        <v>5.1822580645161306E-2</v>
      </c>
    </row>
    <row r="6" spans="1:17" x14ac:dyDescent="0.3">
      <c r="A6" t="s">
        <v>36</v>
      </c>
      <c r="B6" t="str">
        <f>VLOOKUP($A6,[139]WRDS!$A$1:$N$37,2,FALSE)</f>
        <v>HE</v>
      </c>
      <c r="C6" t="str">
        <f>VLOOKUP($A6,[139]WRDS!$A$1:$N$37,3,FALSE)</f>
        <v>HAWAIIAN ELEC</v>
      </c>
      <c r="D6">
        <f>VLOOKUP($A6,[139]WRDS!$A$1:$N$37,13,FALSE)</f>
        <v>1.2749999999999999</v>
      </c>
      <c r="E6">
        <f>VLOOKUP(A6,[123]WRDS!$A$1:$N$40,13,FALSE)</f>
        <v>1.45</v>
      </c>
      <c r="F6" s="1">
        <f t="shared" si="3"/>
        <v>1.6316368283948879</v>
      </c>
      <c r="G6" s="1">
        <f t="shared" si="4"/>
        <v>1.5497704687499998</v>
      </c>
      <c r="H6" s="2">
        <f t="shared" si="0"/>
        <v>3.2676880956350685E-2</v>
      </c>
      <c r="I6" s="2">
        <f>VLOOKUP($A6,[140]WRDS!$A$1:$O$32,10,FALSE)/100</f>
        <v>6.3600000000000004E-2</v>
      </c>
      <c r="J6" s="2">
        <f>VLOOKUP($A6,[140]WRDS!$A$1:$O$32,9,FALSE)/100</f>
        <v>0.05</v>
      </c>
      <c r="K6" s="2">
        <f t="shared" si="1"/>
        <v>0.94633019243654204</v>
      </c>
      <c r="L6" s="2">
        <f t="shared" si="2"/>
        <v>0.53013379908533176</v>
      </c>
      <c r="M6">
        <f>VLOOKUP($A6,[140]WRDS!$A$1:$O$32,8,FALSE)</f>
        <v>10</v>
      </c>
      <c r="N6">
        <f>VLOOKUP($A6,[140]WRDS!$A$1:$O$32,11,FALSE)</f>
        <v>3.67</v>
      </c>
      <c r="P6" t="s">
        <v>24</v>
      </c>
      <c r="Q6" s="3">
        <f>(Q5-Q2)/ABS(Q2)</f>
        <v>1.4195012563833853</v>
      </c>
    </row>
    <row r="7" spans="1:17" x14ac:dyDescent="0.3">
      <c r="A7" t="s">
        <v>38</v>
      </c>
      <c r="B7" t="str">
        <f>VLOOKUP($A7,[139]WRDS!$A$1:$N$37,2,FALSE)</f>
        <v>IDA</v>
      </c>
      <c r="C7" t="str">
        <f>VLOOKUP($A7,[139]WRDS!$A$1:$N$37,3,FALSE)</f>
        <v>IDAHO POWER CO</v>
      </c>
      <c r="D7">
        <f>VLOOKUP($A7,[139]WRDS!$A$1:$N$37,13,FALSE)</f>
        <v>2.62</v>
      </c>
      <c r="E7">
        <f>VLOOKUP(A7,[123]WRDS!$A$1:$N$40,13,FALSE)</f>
        <v>1.32</v>
      </c>
      <c r="F7" s="1">
        <f t="shared" si="3"/>
        <v>3.1700930210625202</v>
      </c>
      <c r="G7" s="1">
        <f t="shared" si="4"/>
        <v>3.1423765270216637</v>
      </c>
      <c r="H7" s="2">
        <f t="shared" si="0"/>
        <v>-0.15750339403648006</v>
      </c>
      <c r="I7" s="2">
        <f>VLOOKUP($A7,[140]WRDS!$A$1:$O$32,10,FALSE)/100</f>
        <v>4.8799999999999996E-2</v>
      </c>
      <c r="J7" s="2">
        <f>VLOOKUP($A7,[140]WRDS!$A$1:$O$32,9,FALSE)/100</f>
        <v>4.6500000000000007E-2</v>
      </c>
      <c r="K7" s="2">
        <f t="shared" si="1"/>
        <v>1.3098345930799258</v>
      </c>
      <c r="L7" s="2">
        <f t="shared" si="2"/>
        <v>1.2952317331601753</v>
      </c>
      <c r="M7">
        <f>VLOOKUP($A7,[140]WRDS!$A$1:$O$32,8,FALSE)</f>
        <v>10</v>
      </c>
      <c r="N7">
        <f>VLOOKUP($A7,[140]WRDS!$A$1:$O$32,11,FALSE)</f>
        <v>1.69</v>
      </c>
      <c r="P7" s="111" t="s">
        <v>26</v>
      </c>
      <c r="Q7" s="111"/>
    </row>
    <row r="8" spans="1:17" x14ac:dyDescent="0.3">
      <c r="A8" t="s">
        <v>44</v>
      </c>
      <c r="B8" t="str">
        <f>VLOOKUP($A8,[139]WRDS!$A$1:$N$37,2,FALSE)</f>
        <v>OGE</v>
      </c>
      <c r="C8" t="str">
        <f>VLOOKUP($A8,[139]WRDS!$A$1:$N$37,3,FALSE)</f>
        <v>OKLAHOMA G&amp;E</v>
      </c>
      <c r="D8">
        <f>VLOOKUP($A8,[139]WRDS!$A$1:$N$37,13,FALSE)</f>
        <v>0.61750000000000005</v>
      </c>
      <c r="E8">
        <f>VLOOKUP(A8,[123]WRDS!$A$1:$N$40,13,FALSE)</f>
        <v>0.8</v>
      </c>
      <c r="F8" s="1">
        <f t="shared" si="3"/>
        <v>0.75086108360021864</v>
      </c>
      <c r="G8" s="1">
        <f t="shared" si="4"/>
        <v>0.74629529071568856</v>
      </c>
      <c r="H8" s="2">
        <f t="shared" si="0"/>
        <v>6.6874306771394831E-2</v>
      </c>
      <c r="I8" s="2">
        <f>VLOOKUP($A8,[140]WRDS!$A$1:$O$32,10,FALSE)/100</f>
        <v>5.0099999999999999E-2</v>
      </c>
      <c r="J8" s="2">
        <f>VLOOKUP($A8,[140]WRDS!$A$1:$O$32,9,FALSE)/100</f>
        <v>4.8499999999999995E-2</v>
      </c>
      <c r="K8" s="2">
        <f t="shared" si="1"/>
        <v>-0.25083335560750758</v>
      </c>
      <c r="L8" s="2">
        <f t="shared" si="2"/>
        <v>-0.27475883726475292</v>
      </c>
      <c r="M8">
        <f>VLOOKUP($A8,[140]WRDS!$A$1:$O$32,8,FALSE)</f>
        <v>16</v>
      </c>
      <c r="N8">
        <f>VLOOKUP($A8,[140]WRDS!$A$1:$O$32,11,FALSE)</f>
        <v>1.48</v>
      </c>
      <c r="P8" t="s">
        <v>28</v>
      </c>
      <c r="Q8" s="2">
        <f>MEDIAN(H2:H99)</f>
        <v>2.4778051217199115E-2</v>
      </c>
    </row>
    <row r="9" spans="1:17" x14ac:dyDescent="0.3">
      <c r="A9" t="s">
        <v>69</v>
      </c>
      <c r="B9" t="str">
        <f>VLOOKUP($A9,[139]WRDS!$A$1:$N$37,2,FALSE)</f>
        <v>OTTR</v>
      </c>
      <c r="C9" t="str">
        <f>VLOOKUP($A9,[139]WRDS!$A$1:$N$37,3,FALSE)</f>
        <v>OTTER TAIL PWR</v>
      </c>
      <c r="D9">
        <f>VLOOKUP($A9,[139]WRDS!$A$1:$N$37,13,FALSE)</f>
        <v>0.875</v>
      </c>
      <c r="E9">
        <f>VLOOKUP(A9,[123]WRDS!$A$1:$N$40,13,FALSE)</f>
        <v>0.96499999999999997</v>
      </c>
      <c r="F9" s="1">
        <f t="shared" si="3"/>
        <v>1.0704725832438333</v>
      </c>
      <c r="G9" s="1">
        <f t="shared" si="4"/>
        <v>1.0635679687499999</v>
      </c>
      <c r="H9" s="2">
        <f t="shared" si="0"/>
        <v>2.4778051217199115E-2</v>
      </c>
      <c r="I9" s="2">
        <f>VLOOKUP($A9,[140]WRDS!$A$1:$O$32,10,FALSE)/100</f>
        <v>5.1699999999999996E-2</v>
      </c>
      <c r="J9" s="2">
        <f>VLOOKUP($A9,[140]WRDS!$A$1:$O$32,9,FALSE)/100</f>
        <v>0.05</v>
      </c>
      <c r="K9" s="2">
        <f t="shared" si="1"/>
        <v>1.0865240590072567</v>
      </c>
      <c r="L9" s="2">
        <f t="shared" si="2"/>
        <v>1.0179149506840011</v>
      </c>
      <c r="M9">
        <f>VLOOKUP($A9,[140]WRDS!$A$1:$O$32,8,FALSE)</f>
        <v>3</v>
      </c>
      <c r="N9">
        <f>VLOOKUP($A9,[140]WRDS!$A$1:$O$32,11,FALSE)</f>
        <v>2.25</v>
      </c>
      <c r="P9" t="s">
        <v>30</v>
      </c>
      <c r="Q9" s="2">
        <f>MEDIAN(I2:I100)</f>
        <v>4.8799999999999996E-2</v>
      </c>
    </row>
    <row r="10" spans="1:17" x14ac:dyDescent="0.3">
      <c r="A10" t="s">
        <v>47</v>
      </c>
      <c r="B10" t="str">
        <f>VLOOKUP($A10,[139]WRDS!$A$1:$N$37,2,FALSE)</f>
        <v>PNM</v>
      </c>
      <c r="C10" t="str">
        <f>VLOOKUP($A10,[139]WRDS!$A$1:$N$37,3,FALSE)</f>
        <v>PUB SVC N MEX</v>
      </c>
      <c r="D10">
        <f>VLOOKUP($A10,[139]WRDS!$A$1:$N$37,13,FALSE)</f>
        <v>2.0733000000000001</v>
      </c>
      <c r="E10">
        <f>VLOOKUP(A10,[123]WRDS!$A$1:$N$40,13,FALSE)</f>
        <v>1.0732999999999999</v>
      </c>
      <c r="F10" s="1">
        <f t="shared" si="3"/>
        <v>2.4460561546657327</v>
      </c>
      <c r="G10" s="1">
        <f t="shared" si="4"/>
        <v>2.4022299055004894</v>
      </c>
      <c r="H10" s="2">
        <f t="shared" si="0"/>
        <v>-0.15176781836585318</v>
      </c>
      <c r="I10" s="2">
        <f>VLOOKUP($A10,[140]WRDS!$A$1:$O$32,10,FALSE)/100</f>
        <v>4.2199999999999994E-2</v>
      </c>
      <c r="J10" s="2">
        <f>VLOOKUP($A10,[140]WRDS!$A$1:$O$32,9,FALSE)/100</f>
        <v>3.7499999999999999E-2</v>
      </c>
      <c r="K10" s="2">
        <f t="shared" si="1"/>
        <v>1.2780563129547806</v>
      </c>
      <c r="L10" s="2">
        <f t="shared" si="2"/>
        <v>1.2470879558247461</v>
      </c>
      <c r="M10">
        <f>VLOOKUP($A10,[140]WRDS!$A$1:$O$32,8,FALSE)</f>
        <v>10</v>
      </c>
      <c r="N10">
        <f>VLOOKUP($A10,[140]WRDS!$A$1:$O$32,11,FALSE)</f>
        <v>1.36</v>
      </c>
      <c r="P10" t="s">
        <v>32</v>
      </c>
      <c r="Q10" s="2">
        <f>(Q9-Q8)/ABS(Q8)</f>
        <v>0.96948499186758463</v>
      </c>
    </row>
    <row r="11" spans="1:17" x14ac:dyDescent="0.3">
      <c r="A11" t="s">
        <v>51</v>
      </c>
      <c r="B11" t="str">
        <f>VLOOKUP($A11,[139]WRDS!$A$1:$N$37,2,FALSE)</f>
        <v>PPL</v>
      </c>
      <c r="C11" t="str">
        <f>VLOOKUP($A11,[139]WRDS!$A$1:$N$37,3,FALSE)</f>
        <v>PENNA P&amp;L</v>
      </c>
      <c r="D11">
        <f>VLOOKUP($A11,[139]WRDS!$A$1:$N$37,13,FALSE)</f>
        <v>0.78</v>
      </c>
      <c r="E11">
        <f>VLOOKUP(A11,[123]WRDS!$A$1:$N$40,13,FALSE)</f>
        <v>0.93500000000000005</v>
      </c>
      <c r="F11" s="1">
        <f t="shared" si="3"/>
        <v>0.9358743064763303</v>
      </c>
      <c r="G11" s="1">
        <f t="shared" si="4"/>
        <v>0.93016450848749965</v>
      </c>
      <c r="H11" s="2">
        <f t="shared" si="0"/>
        <v>4.6355477339250051E-2</v>
      </c>
      <c r="I11" s="2">
        <f>VLOOKUP($A11,[140]WRDS!$A$1:$O$32,10,FALSE)/100</f>
        <v>4.6600000000000003E-2</v>
      </c>
      <c r="J11" s="2">
        <f>VLOOKUP($A11,[140]WRDS!$A$1:$O$32,9,FALSE)/100</f>
        <v>4.4999999999999998E-2</v>
      </c>
      <c r="K11" s="2">
        <f t="shared" si="1"/>
        <v>5.2749464526149932E-3</v>
      </c>
      <c r="L11" s="2">
        <f t="shared" si="2"/>
        <v>-2.9240931537174452E-2</v>
      </c>
      <c r="M11">
        <f>VLOOKUP($A11,[140]WRDS!$A$1:$O$32,8,FALSE)</f>
        <v>14</v>
      </c>
      <c r="N11">
        <f>VLOOKUP($A11,[140]WRDS!$A$1:$O$32,11,FALSE)</f>
        <v>1.28</v>
      </c>
      <c r="P11" t="s">
        <v>34</v>
      </c>
      <c r="Q11" s="2">
        <f>MEDIAN(J2:J99)</f>
        <v>4.8499999999999995E-2</v>
      </c>
    </row>
    <row r="12" spans="1:17" x14ac:dyDescent="0.3">
      <c r="A12" t="s">
        <v>46</v>
      </c>
      <c r="B12" t="str">
        <f>VLOOKUP($A12,[139]WRDS!$A$1:$N$37,2,FALSE)</f>
        <v>PEG</v>
      </c>
      <c r="C12" t="str">
        <f>VLOOKUP($A12,[139]WRDS!$A$1:$N$37,3,FALSE)</f>
        <v>PUB SVC E&amp;G</v>
      </c>
      <c r="D12">
        <f>VLOOKUP($A12,[139]WRDS!$A$1:$N$37,13,FALSE)</f>
        <v>1.3167</v>
      </c>
      <c r="E12">
        <f>VLOOKUP(A12,[123]WRDS!$A$1:$N$40,13,FALSE)</f>
        <v>1.2849999999999999</v>
      </c>
      <c r="F12" s="1">
        <f t="shared" si="3"/>
        <v>1.5516400745293353</v>
      </c>
      <c r="G12" s="1">
        <f t="shared" si="4"/>
        <v>1.5403527659520002</v>
      </c>
      <c r="H12" s="2">
        <f t="shared" si="0"/>
        <v>-6.0739505336031563E-3</v>
      </c>
      <c r="I12" s="2">
        <f>VLOOKUP($A12,[140]WRDS!$A$1:$O$32,10,FALSE)/100</f>
        <v>4.1900000000000007E-2</v>
      </c>
      <c r="J12" s="2">
        <f>VLOOKUP($A12,[140]WRDS!$A$1:$O$32,9,FALSE)/100</f>
        <v>0.04</v>
      </c>
      <c r="K12" s="2">
        <f t="shared" si="1"/>
        <v>7.8983110363172999</v>
      </c>
      <c r="L12" s="2">
        <f t="shared" si="2"/>
        <v>7.5854997960069683</v>
      </c>
      <c r="M12">
        <f>VLOOKUP($A12,[140]WRDS!$A$1:$O$32,8,FALSE)</f>
        <v>15</v>
      </c>
      <c r="N12">
        <f>VLOOKUP($A12,[140]WRDS!$A$1:$O$32,11,FALSE)</f>
        <v>1.06</v>
      </c>
      <c r="P12" t="s">
        <v>32</v>
      </c>
      <c r="Q12" s="2">
        <f>(Q11-Q8)/ABS(Q8)</f>
        <v>0.95737750216348061</v>
      </c>
    </row>
    <row r="13" spans="1:17" x14ac:dyDescent="0.3">
      <c r="A13" t="s">
        <v>53</v>
      </c>
      <c r="B13" t="str">
        <f>VLOOKUP($A13,[139]WRDS!$A$1:$N$37,2,FALSE)</f>
        <v>SO</v>
      </c>
      <c r="C13" t="str">
        <f>VLOOKUP($A13,[139]WRDS!$A$1:$N$37,3,FALSE)</f>
        <v>SOUTHN CO</v>
      </c>
      <c r="D13">
        <f>VLOOKUP($A13,[139]WRDS!$A$1:$N$37,13,FALSE)</f>
        <v>1.5</v>
      </c>
      <c r="E13">
        <f>VLOOKUP(A13,[123]WRDS!$A$1:$N$40,13,FALSE)</f>
        <v>1.36</v>
      </c>
      <c r="F13" s="1">
        <f t="shared" si="3"/>
        <v>1.7615467646414997</v>
      </c>
      <c r="G13" s="1">
        <f t="shared" si="4"/>
        <v>1.7547878400000003</v>
      </c>
      <c r="H13" s="2">
        <f t="shared" si="0"/>
        <v>-2.4197531700679287E-2</v>
      </c>
      <c r="I13" s="2">
        <f>VLOOKUP($A13,[140]WRDS!$A$1:$O$32,10,FALSE)/100</f>
        <v>4.0999999999999995E-2</v>
      </c>
      <c r="J13" s="2">
        <f>VLOOKUP($A13,[140]WRDS!$A$1:$O$32,9,FALSE)/100</f>
        <v>0.04</v>
      </c>
      <c r="K13" s="2">
        <f t="shared" si="1"/>
        <v>2.6943876965289406</v>
      </c>
      <c r="L13" s="2">
        <f t="shared" si="2"/>
        <v>2.6530611673453084</v>
      </c>
      <c r="M13">
        <f>VLOOKUP($A13,[140]WRDS!$A$1:$O$32,8,FALSE)</f>
        <v>15</v>
      </c>
      <c r="N13">
        <f>VLOOKUP($A13,[140]WRDS!$A$1:$O$32,11,FALSE)</f>
        <v>1.1000000000000001</v>
      </c>
      <c r="P13" s="111" t="s">
        <v>37</v>
      </c>
      <c r="Q13" s="111"/>
    </row>
    <row r="14" spans="1:17" x14ac:dyDescent="0.3">
      <c r="A14" t="s">
        <v>71</v>
      </c>
      <c r="B14" t="str">
        <f>VLOOKUP($A14,[139]WRDS!$A$1:$N$37,2,FALSE)</f>
        <v>CNL</v>
      </c>
      <c r="C14" t="str">
        <f>VLOOKUP($A14,[139]WRDS!$A$1:$N$37,3,FALSE)</f>
        <v>CENT LA ELEC INC</v>
      </c>
      <c r="D14">
        <f>VLOOKUP($A14,[139]WRDS!$A$1:$N$37,13,FALSE)</f>
        <v>0.90500000000000003</v>
      </c>
      <c r="E14">
        <f>VLOOKUP(A14,[123]WRDS!$A$1:$N$40,13,FALSE)</f>
        <v>0.92</v>
      </c>
      <c r="F14" s="1">
        <f t="shared" si="3"/>
        <v>1.0689387816603515</v>
      </c>
      <c r="G14" s="1">
        <f t="shared" si="4"/>
        <v>1.0689387816603515</v>
      </c>
      <c r="H14" s="2">
        <f t="shared" si="0"/>
        <v>4.1181379074530788E-3</v>
      </c>
      <c r="I14" s="2">
        <f>VLOOKUP($A14,[140]WRDS!$A$1:$O$32,10,FALSE)/100</f>
        <v>4.2500000000000003E-2</v>
      </c>
      <c r="J14" s="2">
        <f>VLOOKUP($A14,[140]WRDS!$A$1:$O$32,9,FALSE)/100</f>
        <v>4.2500000000000003E-2</v>
      </c>
      <c r="K14" s="2">
        <f t="shared" si="1"/>
        <v>9.3201983408770133</v>
      </c>
      <c r="L14" s="2">
        <f t="shared" si="2"/>
        <v>9.3201983408770133</v>
      </c>
      <c r="M14">
        <f>VLOOKUP($A14,[140]WRDS!$A$1:$O$32,8,FALSE)</f>
        <v>2</v>
      </c>
      <c r="N14">
        <f>VLOOKUP($A14,[140]WRDS!$A$1:$O$32,11,FALSE)</f>
        <v>0.35</v>
      </c>
      <c r="P14" t="s">
        <v>39</v>
      </c>
      <c r="Q14" s="1">
        <f>AVERAGE(M2:M1002)</f>
        <v>8.741935483870968</v>
      </c>
    </row>
    <row r="15" spans="1:17" x14ac:dyDescent="0.3">
      <c r="A15" t="s">
        <v>72</v>
      </c>
      <c r="B15" t="str">
        <f>VLOOKUP($A15,[139]WRDS!$A$1:$N$37,2,FALSE)</f>
        <v>EDE</v>
      </c>
      <c r="C15" t="str">
        <f>VLOOKUP($A15,[139]WRDS!$A$1:$N$37,3,FALSE)</f>
        <v>EMPIRE DIST ELEC</v>
      </c>
      <c r="D15">
        <f>VLOOKUP($A15,[139]WRDS!$A$1:$N$37,13,FALSE)</f>
        <v>1.48</v>
      </c>
      <c r="E15">
        <f>VLOOKUP(A15,[123]WRDS!$A$1:$N$40,13,FALSE)</f>
        <v>1.53</v>
      </c>
      <c r="F15" s="1">
        <f t="shared" si="3"/>
        <v>1.6983340409249994</v>
      </c>
      <c r="G15" s="1">
        <f t="shared" si="4"/>
        <v>1.6983340409249994</v>
      </c>
      <c r="H15" s="2">
        <f t="shared" si="0"/>
        <v>8.3410058640120965E-3</v>
      </c>
      <c r="I15" s="2">
        <f>VLOOKUP($A15,[140]WRDS!$A$1:$O$32,10,FALSE)/100</f>
        <v>3.5000000000000003E-2</v>
      </c>
      <c r="J15" s="2">
        <f>VLOOKUP($A15,[140]WRDS!$A$1:$O$32,9,FALSE)/100</f>
        <v>3.5000000000000003E-2</v>
      </c>
      <c r="K15" s="2">
        <f t="shared" si="1"/>
        <v>3.1961366015830492</v>
      </c>
      <c r="L15" s="2">
        <f t="shared" si="2"/>
        <v>3.1961366015830492</v>
      </c>
      <c r="M15">
        <f>VLOOKUP($A15,[140]WRDS!$A$1:$O$32,8,FALSE)</f>
        <v>1</v>
      </c>
      <c r="N15">
        <f>VLOOKUP($A15,[140]WRDS!$A$1:$O$32,11,FALSE)</f>
        <v>0</v>
      </c>
      <c r="P15" t="s">
        <v>41</v>
      </c>
      <c r="Q15" s="1">
        <f>COUNT(N2:N1002)</f>
        <v>31</v>
      </c>
    </row>
    <row r="16" spans="1:17" x14ac:dyDescent="0.3">
      <c r="A16" t="s">
        <v>49</v>
      </c>
      <c r="B16" t="str">
        <f>VLOOKUP($A16,[139]WRDS!$A$1:$N$37,2,FALSE)</f>
        <v>POM</v>
      </c>
      <c r="C16" t="str">
        <f>VLOOKUP($A16,[139]WRDS!$A$1:$N$37,3,FALSE)</f>
        <v>POTOMAC ELEC</v>
      </c>
      <c r="D16">
        <f>VLOOKUP($A16,[139]WRDS!$A$1:$N$37,13,FALSE)</f>
        <v>1.615</v>
      </c>
      <c r="E16">
        <f>VLOOKUP(A16,[123]WRDS!$A$1:$N$40,13,FALSE)</f>
        <v>2.14</v>
      </c>
      <c r="F16" s="1">
        <f t="shared" si="3"/>
        <v>2.016679195186549</v>
      </c>
      <c r="G16" s="1">
        <f t="shared" si="4"/>
        <v>2.0389002904000004</v>
      </c>
      <c r="H16" s="2">
        <f t="shared" si="0"/>
        <v>7.2902634433246183E-2</v>
      </c>
      <c r="I16" s="2">
        <f>VLOOKUP($A16,[140]WRDS!$A$1:$O$32,10,FALSE)/100</f>
        <v>5.7099999999999998E-2</v>
      </c>
      <c r="J16" s="2">
        <f>VLOOKUP($A16,[140]WRDS!$A$1:$O$32,9,FALSE)/100</f>
        <v>0.06</v>
      </c>
      <c r="K16" s="2">
        <f t="shared" si="1"/>
        <v>-0.21676355808123751</v>
      </c>
      <c r="L16" s="2">
        <f t="shared" si="2"/>
        <v>-0.17698447434105519</v>
      </c>
      <c r="M16">
        <f>VLOOKUP($A16,[140]WRDS!$A$1:$O$32,8,FALSE)</f>
        <v>14</v>
      </c>
      <c r="N16">
        <f>VLOOKUP($A16,[140]WRDS!$A$1:$O$32,11,FALSE)</f>
        <v>1.01</v>
      </c>
    </row>
    <row r="17" spans="1:14" x14ac:dyDescent="0.3">
      <c r="A17" t="s">
        <v>75</v>
      </c>
      <c r="B17" t="str">
        <f>VLOOKUP($A17,[139]WRDS!$A$1:$N$37,2,FALSE)</f>
        <v>TE</v>
      </c>
      <c r="C17" t="str">
        <f>VLOOKUP($A17,[139]WRDS!$A$1:$N$37,3,FALSE)</f>
        <v>TECO ENERGY INC</v>
      </c>
      <c r="D17">
        <f>VLOOKUP($A17,[139]WRDS!$A$1:$N$37,13,FALSE)</f>
        <v>0.93</v>
      </c>
      <c r="E17">
        <f>VLOOKUP(A17,[123]WRDS!$A$1:$N$40,13,FALSE)</f>
        <v>1.115</v>
      </c>
      <c r="F17" s="1">
        <f t="shared" si="3"/>
        <v>1.1914784290043114</v>
      </c>
      <c r="G17" s="1">
        <f t="shared" si="4"/>
        <v>1.1741035728000004</v>
      </c>
      <c r="H17" s="2">
        <f t="shared" si="0"/>
        <v>4.6400599290123079E-2</v>
      </c>
      <c r="I17" s="2">
        <f>VLOOKUP($A17,[140]WRDS!$A$1:$O$32,10,FALSE)/100</f>
        <v>6.3899999999999998E-2</v>
      </c>
      <c r="J17" s="2">
        <f>VLOOKUP($A17,[140]WRDS!$A$1:$O$32,9,FALSE)/100</f>
        <v>0.06</v>
      </c>
      <c r="K17" s="2">
        <f t="shared" si="1"/>
        <v>0.37713738567169486</v>
      </c>
      <c r="L17" s="2">
        <f t="shared" si="2"/>
        <v>0.29308674710957267</v>
      </c>
      <c r="M17">
        <f>VLOOKUP($A17,[140]WRDS!$A$1:$O$32,8,FALSE)</f>
        <v>14</v>
      </c>
      <c r="N17">
        <f>VLOOKUP($A17,[140]WRDS!$A$1:$O$32,11,FALSE)</f>
        <v>1.17</v>
      </c>
    </row>
    <row r="18" spans="1:14" x14ac:dyDescent="0.3">
      <c r="A18" t="s">
        <v>84</v>
      </c>
      <c r="B18" t="str">
        <f>VLOOKUP($A18,[139]WRDS!$A$1:$N$37,2,FALSE)</f>
        <v>CV</v>
      </c>
      <c r="C18" t="str">
        <f>VLOOKUP($A18,[139]WRDS!$A$1:$N$37,3,FALSE)</f>
        <v>CNTRL VT PUB SVC</v>
      </c>
      <c r="D18">
        <f>VLOOKUP($A18,[139]WRDS!$A$1:$N$37,13,FALSE)</f>
        <v>2.1267</v>
      </c>
      <c r="E18">
        <f>VLOOKUP(A18,[123]WRDS!$A$1:$N$40,13,FALSE)</f>
        <v>1.72</v>
      </c>
      <c r="F18" s="1">
        <f t="shared" si="3"/>
        <v>2.5850171418749999</v>
      </c>
      <c r="G18" s="1">
        <f t="shared" si="4"/>
        <v>2.5850171418749999</v>
      </c>
      <c r="H18" s="2">
        <f t="shared" si="0"/>
        <v>-5.1678593628815106E-2</v>
      </c>
      <c r="I18" s="2">
        <f>VLOOKUP($A18,[140]WRDS!$A$1:$O$32,10,FALSE)/100</f>
        <v>0.05</v>
      </c>
      <c r="J18" s="2">
        <f>VLOOKUP($A18,[140]WRDS!$A$1:$O$32,9,FALSE)/100</f>
        <v>0.05</v>
      </c>
      <c r="K18" s="2">
        <f t="shared" si="1"/>
        <v>1.9675185892079086</v>
      </c>
      <c r="L18" s="2">
        <f t="shared" si="2"/>
        <v>1.9675185892079086</v>
      </c>
      <c r="M18">
        <f>VLOOKUP($A18,[140]WRDS!$A$1:$O$32,8,FALSE)</f>
        <v>1</v>
      </c>
      <c r="N18">
        <f>VLOOKUP($A18,[140]WRDS!$A$1:$O$32,11,FALSE)</f>
        <v>0</v>
      </c>
    </row>
    <row r="19" spans="1:14" x14ac:dyDescent="0.3">
      <c r="A19" t="s">
        <v>78</v>
      </c>
      <c r="B19" t="str">
        <f>VLOOKUP($A19,[139]WRDS!$A$1:$N$37,2,FALSE)</f>
        <v>NU</v>
      </c>
      <c r="C19" t="str">
        <f>VLOOKUP($A19,[139]WRDS!$A$1:$N$37,3,FALSE)</f>
        <v>NORTHEAST UTILS</v>
      </c>
      <c r="D19">
        <f>VLOOKUP($A19,[139]WRDS!$A$1:$N$37,13,FALSE)</f>
        <v>2.85</v>
      </c>
      <c r="E19">
        <f>VLOOKUP(A19,[123]WRDS!$A$1:$N$40,13,FALSE)</f>
        <v>2.15</v>
      </c>
      <c r="F19" s="1">
        <f t="shared" si="3"/>
        <v>3.413010845938401</v>
      </c>
      <c r="G19" s="1">
        <f t="shared" si="4"/>
        <v>3.4641928125000003</v>
      </c>
      <c r="H19" s="2">
        <f t="shared" si="0"/>
        <v>-6.8037580966761824E-2</v>
      </c>
      <c r="I19" s="2">
        <f>VLOOKUP($A19,[140]WRDS!$A$1:$O$32,10,FALSE)/100</f>
        <v>4.6100000000000002E-2</v>
      </c>
      <c r="J19" s="2">
        <f>VLOOKUP($A19,[140]WRDS!$A$1:$O$32,9,FALSE)/100</f>
        <v>0.05</v>
      </c>
      <c r="K19" s="2">
        <f t="shared" si="1"/>
        <v>1.6775667115872488</v>
      </c>
      <c r="L19" s="2">
        <f t="shared" si="2"/>
        <v>1.734887973521962</v>
      </c>
      <c r="M19">
        <f>VLOOKUP($A19,[140]WRDS!$A$1:$O$32,8,FALSE)</f>
        <v>13</v>
      </c>
      <c r="N19">
        <f>VLOOKUP($A19,[140]WRDS!$A$1:$O$32,11,FALSE)</f>
        <v>1.41</v>
      </c>
    </row>
    <row r="20" spans="1:14" x14ac:dyDescent="0.3">
      <c r="A20" t="s">
        <v>74</v>
      </c>
      <c r="B20" t="str">
        <f>VLOOKUP($A20,[139]WRDS!$A$1:$N$37,2,FALSE)</f>
        <v>PGN</v>
      </c>
      <c r="C20" t="str">
        <f>VLOOKUP($A20,[139]WRDS!$A$1:$N$37,3,FALSE)</f>
        <v>PORTLD GEN ELEC</v>
      </c>
      <c r="D20">
        <f>VLOOKUP($A20,[139]WRDS!$A$1:$N$37,13,FALSE)</f>
        <v>2.8</v>
      </c>
      <c r="E20">
        <f>VLOOKUP(A20,[123]WRDS!$A$1:$N$40,13,FALSE)</f>
        <v>2.11</v>
      </c>
      <c r="F20" s="1">
        <f t="shared" si="3"/>
        <v>3.3403303712819037</v>
      </c>
      <c r="G20" s="1">
        <f t="shared" si="4"/>
        <v>3.2819077505761736</v>
      </c>
      <c r="H20" s="2">
        <f t="shared" si="0"/>
        <v>-6.828925081962911E-2</v>
      </c>
      <c r="I20" s="2">
        <f>VLOOKUP($A20,[140]WRDS!$A$1:$O$32,10,FALSE)/100</f>
        <v>4.5100000000000001E-2</v>
      </c>
      <c r="J20" s="2">
        <f>VLOOKUP($A20,[140]WRDS!$A$1:$O$32,9,FALSE)/100</f>
        <v>4.0500000000000001E-2</v>
      </c>
      <c r="K20" s="2">
        <f t="shared" si="1"/>
        <v>1.6604260474188191</v>
      </c>
      <c r="L20" s="2">
        <f t="shared" si="2"/>
        <v>1.5930655193007135</v>
      </c>
      <c r="M20">
        <f>VLOOKUP($A20,[140]WRDS!$A$1:$O$32,8,FALSE)</f>
        <v>8</v>
      </c>
      <c r="N20">
        <f>VLOOKUP($A20,[140]WRDS!$A$1:$O$32,11,FALSE)</f>
        <v>1.62</v>
      </c>
    </row>
    <row r="21" spans="1:14" x14ac:dyDescent="0.3">
      <c r="A21" t="s">
        <v>86</v>
      </c>
      <c r="B21" t="str">
        <f>VLOOKUP($A21,[139]WRDS!$A$1:$N$37,2,FALSE)</f>
        <v>DPL</v>
      </c>
      <c r="C21" t="str">
        <f>VLOOKUP($A21,[139]WRDS!$A$1:$N$37,3,FALSE)</f>
        <v>DAYTON P &amp; L</v>
      </c>
      <c r="D21">
        <f>VLOOKUP($A21,[139]WRDS!$A$1:$N$37,13,FALSE)</f>
        <v>0.65190000000000003</v>
      </c>
      <c r="E21">
        <f>VLOOKUP(A21,[123]WRDS!$A$1:$N$40,13,FALSE)</f>
        <v>0.89200000000000002</v>
      </c>
      <c r="F21" s="1">
        <f t="shared" si="3"/>
        <v>0.68375896105059841</v>
      </c>
      <c r="G21" s="1">
        <f t="shared" si="4"/>
        <v>0.67167811839390268</v>
      </c>
      <c r="H21" s="2">
        <f t="shared" si="0"/>
        <v>8.1548422814645027E-2</v>
      </c>
      <c r="I21" s="2">
        <f>VLOOKUP($A21,[140]WRDS!$A$1:$O$32,10,FALSE)/100</f>
        <v>1.2E-2</v>
      </c>
      <c r="J21" s="2">
        <f>VLOOKUP($A21,[140]WRDS!$A$1:$O$32,9,FALSE)/100</f>
        <v>7.4999999999999997E-3</v>
      </c>
      <c r="K21" s="2">
        <f t="shared" si="1"/>
        <v>-0.85284816571774391</v>
      </c>
      <c r="L21" s="2">
        <f t="shared" si="2"/>
        <v>-0.90803010357358982</v>
      </c>
      <c r="M21">
        <f>VLOOKUP($A21,[140]WRDS!$A$1:$O$32,8,FALSE)</f>
        <v>6</v>
      </c>
      <c r="N21">
        <f>VLOOKUP($A21,[140]WRDS!$A$1:$O$32,11,FALSE)</f>
        <v>1.92</v>
      </c>
    </row>
    <row r="22" spans="1:14" x14ac:dyDescent="0.3">
      <c r="A22" t="s">
        <v>79</v>
      </c>
      <c r="B22" t="str">
        <f>VLOOKUP($A22,[139]WRDS!$A$1:$N$37,2,FALSE)</f>
        <v>UIL</v>
      </c>
      <c r="C22" t="str">
        <f>VLOOKUP($A22,[139]WRDS!$A$1:$N$37,3,FALSE)</f>
        <v>UTD ILLUM CO</v>
      </c>
      <c r="D22">
        <f>VLOOKUP($A22,[139]WRDS!$A$1:$N$37,13,FALSE)</f>
        <v>3.24</v>
      </c>
      <c r="E22">
        <f>VLOOKUP(A22,[123]WRDS!$A$1:$N$40,13,FALSE)</f>
        <v>4.524</v>
      </c>
      <c r="F22" s="1">
        <f t="shared" si="3"/>
        <v>3.5070801984000002</v>
      </c>
      <c r="G22" s="1">
        <f t="shared" si="4"/>
        <v>3.5070801984000002</v>
      </c>
      <c r="H22" s="2">
        <f t="shared" si="0"/>
        <v>8.7037174919685212E-2</v>
      </c>
      <c r="I22" s="2">
        <f>VLOOKUP($A22,[140]WRDS!$A$1:$O$32,10,FALSE)/100</f>
        <v>0.02</v>
      </c>
      <c r="J22" s="2">
        <f>VLOOKUP($A22,[140]WRDS!$A$1:$O$32,9,FALSE)/100</f>
        <v>0.02</v>
      </c>
      <c r="K22" s="2">
        <f t="shared" si="1"/>
        <v>-0.77021312998204172</v>
      </c>
      <c r="L22" s="2">
        <f t="shared" si="2"/>
        <v>-0.77021312998204172</v>
      </c>
      <c r="M22">
        <f>VLOOKUP($A22,[140]WRDS!$A$1:$O$32,8,FALSE)</f>
        <v>1</v>
      </c>
      <c r="N22">
        <f>VLOOKUP($A22,[140]WRDS!$A$1:$O$32,11,FALSE)</f>
        <v>0</v>
      </c>
    </row>
    <row r="23" spans="1:14" x14ac:dyDescent="0.3">
      <c r="A23" t="s">
        <v>89</v>
      </c>
      <c r="B23" t="str">
        <f>VLOOKUP($A23,[139]WRDS!$A$1:$N$37,2,FALSE)</f>
        <v>FPL</v>
      </c>
      <c r="C23" t="str">
        <f>VLOOKUP($A23,[139]WRDS!$A$1:$N$37,3,FALSE)</f>
        <v>FLA PWR &amp; LT</v>
      </c>
      <c r="D23">
        <f>VLOOKUP($A23,[139]WRDS!$A$1:$N$37,13,FALSE)</f>
        <v>0.32750000000000001</v>
      </c>
      <c r="E23">
        <f>VLOOKUP(A23,[123]WRDS!$A$1:$N$40,13,FALSE)</f>
        <v>0.42249999999999999</v>
      </c>
      <c r="F23" s="1">
        <f t="shared" si="3"/>
        <v>0.41455444840662842</v>
      </c>
      <c r="G23" s="1">
        <f t="shared" si="4"/>
        <v>0.41346120440000012</v>
      </c>
      <c r="H23" s="2">
        <f t="shared" si="0"/>
        <v>6.574634583438721E-2</v>
      </c>
      <c r="I23" s="2">
        <f>VLOOKUP($A23,[140]WRDS!$A$1:$O$32,10,FALSE)/100</f>
        <v>6.0700000000000004E-2</v>
      </c>
      <c r="J23" s="2">
        <f>VLOOKUP($A23,[140]WRDS!$A$1:$O$32,9,FALSE)/100</f>
        <v>0.06</v>
      </c>
      <c r="K23" s="2">
        <f t="shared" si="1"/>
        <v>-7.6754772761041021E-2</v>
      </c>
      <c r="L23" s="2">
        <f t="shared" si="2"/>
        <v>-8.7401752317338821E-2</v>
      </c>
      <c r="M23">
        <f>VLOOKUP($A23,[140]WRDS!$A$1:$O$32,8,FALSE)</f>
        <v>17</v>
      </c>
      <c r="N23">
        <f>VLOOKUP($A23,[140]WRDS!$A$1:$O$32,11,FALSE)</f>
        <v>1.29</v>
      </c>
    </row>
    <row r="24" spans="1:14" x14ac:dyDescent="0.3">
      <c r="A24" t="s">
        <v>91</v>
      </c>
      <c r="B24" t="str">
        <f>VLOOKUP($A24,[139]WRDS!$A$1:$N$37,2,FALSE)</f>
        <v>PSD</v>
      </c>
      <c r="C24" t="str">
        <f>VLOOKUP($A24,[139]WRDS!$A$1:$N$37,3,FALSE)</f>
        <v>PUGET SOUND P&amp;L</v>
      </c>
      <c r="D24">
        <f>VLOOKUP($A24,[139]WRDS!$A$1:$N$37,13,FALSE)</f>
        <v>1.52</v>
      </c>
      <c r="E24">
        <f>VLOOKUP(A24,[123]WRDS!$A$1:$N$40,13,FALSE)</f>
        <v>2.14</v>
      </c>
      <c r="F24" s="1">
        <f t="shared" si="3"/>
        <v>1.6081924273922483</v>
      </c>
      <c r="G24" s="1">
        <f t="shared" si="4"/>
        <v>1.6452968831999999</v>
      </c>
      <c r="H24" s="2">
        <f t="shared" si="0"/>
        <v>8.9287566188174905E-2</v>
      </c>
      <c r="I24" s="2">
        <f>VLOOKUP($A24,[140]WRDS!$A$1:$O$32,10,FALSE)/100</f>
        <v>1.4199999999999999E-2</v>
      </c>
      <c r="J24" s="2">
        <f>VLOOKUP($A24,[140]WRDS!$A$1:$O$32,9,FALSE)/100</f>
        <v>0.02</v>
      </c>
      <c r="K24" s="2">
        <f t="shared" si="1"/>
        <v>-0.84096329862913621</v>
      </c>
      <c r="L24" s="2">
        <f t="shared" si="2"/>
        <v>-0.77600464595652996</v>
      </c>
      <c r="M24">
        <f>VLOOKUP($A24,[140]WRDS!$A$1:$O$32,8,FALSE)</f>
        <v>6</v>
      </c>
      <c r="N24">
        <f>VLOOKUP($A24,[140]WRDS!$A$1:$O$32,11,FALSE)</f>
        <v>4.79</v>
      </c>
    </row>
    <row r="25" spans="1:14" x14ac:dyDescent="0.3">
      <c r="A25" t="s">
        <v>88</v>
      </c>
      <c r="B25" t="str">
        <f>VLOOKUP($A25,[139]WRDS!$A$1:$N$37,2,FALSE)</f>
        <v>CIN</v>
      </c>
      <c r="C25" t="str">
        <f>VLOOKUP($A25,[139]WRDS!$A$1:$N$37,3,FALSE)</f>
        <v>CINN GAS &amp; EL</v>
      </c>
      <c r="D25">
        <f>VLOOKUP($A25,[139]WRDS!$A$1:$N$37,13,FALSE)</f>
        <v>1.6333</v>
      </c>
      <c r="E25">
        <f>VLOOKUP(A25,[123]WRDS!$A$1:$N$40,13,FALSE)</f>
        <v>3.1</v>
      </c>
      <c r="F25" s="1">
        <f t="shared" si="3"/>
        <v>1.7137981176915611</v>
      </c>
      <c r="G25" s="1">
        <f t="shared" si="4"/>
        <v>1.699618529533</v>
      </c>
      <c r="H25" s="2">
        <f t="shared" si="0"/>
        <v>0.17374548026507108</v>
      </c>
      <c r="I25" s="2">
        <f>VLOOKUP($A25,[140]WRDS!$A$1:$O$32,10,FALSE)/100</f>
        <v>1.21E-2</v>
      </c>
      <c r="J25" s="2">
        <f>VLOOKUP($A25,[140]WRDS!$A$1:$O$32,9,FALSE)/100</f>
        <v>0.01</v>
      </c>
      <c r="K25" s="2">
        <f t="shared" si="1"/>
        <v>-0.93035790063983304</v>
      </c>
      <c r="L25" s="2">
        <f t="shared" si="2"/>
        <v>-0.94244454598333305</v>
      </c>
      <c r="M25">
        <f>VLOOKUP($A25,[140]WRDS!$A$1:$O$32,8,FALSE)</f>
        <v>9</v>
      </c>
      <c r="N25">
        <f>VLOOKUP($A25,[140]WRDS!$A$1:$O$32,11,FALSE)</f>
        <v>2.09</v>
      </c>
    </row>
    <row r="26" spans="1:14" x14ac:dyDescent="0.3">
      <c r="A26" t="s">
        <v>135</v>
      </c>
      <c r="B26" t="str">
        <f>VLOOKUP(A26,'[5]Ticker List'!$H$4:$I$20,2,FALSE)</f>
        <v>NI</v>
      </c>
      <c r="C26" t="str">
        <f>VLOOKUP(A26,'[141]5jqboujxwzv4u9yp'!$B$1:$N$100,2,FALSE)</f>
        <v>NORTHN IND PUB</v>
      </c>
      <c r="D26">
        <f>VLOOKUP(A26,'[141]5jqboujxwzv4u9yp'!$B$1:$N$100,12,FALSE)</f>
        <v>0.81</v>
      </c>
      <c r="E26">
        <f>VLOOKUP(A26,[125]m5tseemude7qecs4!$B$1:$N$20,12,FALSE)</f>
        <v>0.69499999999999995</v>
      </c>
      <c r="F26" s="1">
        <f t="shared" si="3"/>
        <v>0.97969319380161934</v>
      </c>
      <c r="G26" s="1">
        <f t="shared" si="4"/>
        <v>0.94758543360000025</v>
      </c>
      <c r="H26" s="2">
        <f t="shared" si="0"/>
        <v>-3.7557158968992588E-2</v>
      </c>
      <c r="I26" s="2">
        <f>VLOOKUP(A26,[142]nb1qmmfxu0y6bxbo!$B$1:$K$9,9,FALSE)/100</f>
        <v>4.87E-2</v>
      </c>
      <c r="J26" s="2">
        <f>VLOOKUP(A26,[142]nb1qmmfxu0y6bxbo!$B$1:$K$9,8,FALSE)/100</f>
        <v>0.04</v>
      </c>
      <c r="K26" s="2">
        <f t="shared" si="1"/>
        <v>2.2966902006673879</v>
      </c>
      <c r="L26" s="2">
        <f t="shared" si="2"/>
        <v>2.0650432859691077</v>
      </c>
      <c r="M26">
        <f>VLOOKUP(A26,[142]nb1qmmfxu0y6bxbo!$B$1:$K$9,7,FALSE)</f>
        <v>15</v>
      </c>
      <c r="N26">
        <f>VLOOKUP(A26,[142]nb1qmmfxu0y6bxbo!$B$1:$K$9,10,FALSE)</f>
        <v>3.03</v>
      </c>
    </row>
    <row r="27" spans="1:14" x14ac:dyDescent="0.3">
      <c r="A27" t="s">
        <v>138</v>
      </c>
      <c r="B27" t="str">
        <f>VLOOKUP(A27,'[5]Ticker List'!$H$4:$I$20,2,FALSE)</f>
        <v>SJI</v>
      </c>
      <c r="C27" t="str">
        <f>VLOOKUP(A27,'[141]5jqboujxwzv4u9yp'!$B$1:$N$100,2,FALSE)</f>
        <v>SO JERSEY INDS</v>
      </c>
      <c r="D27">
        <f>VLOOKUP(A27,'[141]5jqboujxwzv4u9yp'!$B$1:$N$100,12,FALSE)</f>
        <v>0.35170000000000001</v>
      </c>
      <c r="E27">
        <f>VLOOKUP(A27,[125]m5tseemude7qecs4!$B$1:$N$20,12,FALSE)</f>
        <v>0.47299999999999998</v>
      </c>
      <c r="F27" s="1">
        <f t="shared" si="3"/>
        <v>0.43569462962481242</v>
      </c>
      <c r="G27" s="1">
        <f t="shared" si="4"/>
        <v>0.42749354812500001</v>
      </c>
      <c r="H27" s="2">
        <f t="shared" si="0"/>
        <v>7.6892105167672975E-2</v>
      </c>
      <c r="I27" s="2">
        <f>VLOOKUP(A27,[142]nb1qmmfxu0y6bxbo!$B$1:$K$9,9,FALSE)/100</f>
        <v>5.5E-2</v>
      </c>
      <c r="J27" s="2">
        <f>VLOOKUP(A27,[142]nb1qmmfxu0y6bxbo!$B$1:$K$9,8,FALSE)/100</f>
        <v>0.05</v>
      </c>
      <c r="K27" s="2">
        <f t="shared" si="1"/>
        <v>-0.2847120015759026</v>
      </c>
      <c r="L27" s="2">
        <f t="shared" si="2"/>
        <v>-0.34973818325082051</v>
      </c>
      <c r="M27">
        <f>VLOOKUP(A27,[142]nb1qmmfxu0y6bxbo!$B$1:$K$9,7,FALSE)</f>
        <v>3</v>
      </c>
      <c r="N27">
        <f>VLOOKUP(A27,[142]nb1qmmfxu0y6bxbo!$B$1:$K$9,10,FALSE)</f>
        <v>1.32</v>
      </c>
    </row>
    <row r="28" spans="1:14" x14ac:dyDescent="0.3">
      <c r="A28" t="s">
        <v>143</v>
      </c>
      <c r="B28" t="str">
        <f>VLOOKUP(A28,'[5]Ticker List'!$H$4:$I$20,2,FALSE)</f>
        <v>LG</v>
      </c>
      <c r="C28" t="str">
        <f>VLOOKUP(A28,'[141]5jqboujxwzv4u9yp'!$B$1:$N$100,2,FALSE)</f>
        <v>LACLEDE GAS</v>
      </c>
      <c r="D28">
        <f>VLOOKUP(A28,'[141]5jqboujxwzv4u9yp'!$B$1:$N$100,12,FALSE)</f>
        <v>1.64</v>
      </c>
      <c r="E28">
        <f>VLOOKUP(A28,[125]m5tseemude7qecs4!$B$1:$N$20,12,FALSE)</f>
        <v>1.45</v>
      </c>
      <c r="F28" s="1">
        <f t="shared" si="3"/>
        <v>2.4011240000000007</v>
      </c>
      <c r="G28" s="1">
        <f t="shared" si="4"/>
        <v>2.4011240000000007</v>
      </c>
      <c r="H28" s="2">
        <f t="shared" si="0"/>
        <v>-3.0314194053703392E-2</v>
      </c>
      <c r="I28" s="2">
        <f>VLOOKUP(A28,[142]nb1qmmfxu0y6bxbo!$B$1:$K$9,9,FALSE)/100</f>
        <v>0.1</v>
      </c>
      <c r="J28" s="2">
        <f>VLOOKUP(A28,[142]nb1qmmfxu0y6bxbo!$B$1:$K$9,8,FALSE)/100</f>
        <v>0.1</v>
      </c>
      <c r="K28" s="2">
        <f t="shared" si="1"/>
        <v>4.298784715267181</v>
      </c>
      <c r="L28" s="2">
        <f t="shared" si="2"/>
        <v>4.298784715267181</v>
      </c>
      <c r="M28">
        <f>VLOOKUP(A28,[142]nb1qmmfxu0y6bxbo!$B$1:$K$9,7,FALSE)</f>
        <v>1</v>
      </c>
      <c r="N28">
        <f>VLOOKUP(A28,[142]nb1qmmfxu0y6bxbo!$B$1:$K$9,10,FALSE)</f>
        <v>0</v>
      </c>
    </row>
    <row r="29" spans="1:14" x14ac:dyDescent="0.3">
      <c r="A29" t="s">
        <v>144</v>
      </c>
      <c r="B29" t="str">
        <f>VLOOKUP(A29,'[5]Ticker List'!$H$4:$I$20,2,FALSE)</f>
        <v>GAS</v>
      </c>
      <c r="C29" t="str">
        <f>VLOOKUP(A29,'[141]5jqboujxwzv4u9yp'!$B$1:$N$100,2,FALSE)</f>
        <v>NICOR INC</v>
      </c>
      <c r="D29">
        <f>VLOOKUP(A29,'[141]5jqboujxwzv4u9yp'!$B$1:$N$100,12,FALSE)</f>
        <v>1.02</v>
      </c>
      <c r="E29">
        <f>VLOOKUP(A29,[125]m5tseemude7qecs4!$B$1:$N$20,12,FALSE)</f>
        <v>1.7450000000000001</v>
      </c>
      <c r="F29" s="1">
        <f t="shared" si="3"/>
        <v>1.4135758746374998</v>
      </c>
      <c r="G29" s="1">
        <f t="shared" si="4"/>
        <v>1.3876987392000004</v>
      </c>
      <c r="H29" s="2">
        <f t="shared" si="0"/>
        <v>0.14366495903791177</v>
      </c>
      <c r="I29" s="2">
        <f>VLOOKUP(A29,[142]nb1qmmfxu0y6bxbo!$B$1:$K$9,9,FALSE)/100</f>
        <v>8.5000000000000006E-2</v>
      </c>
      <c r="J29" s="2">
        <f>VLOOKUP(A29,[142]nb1qmmfxu0y6bxbo!$B$1:$K$9,8,FALSE)/100</f>
        <v>0.08</v>
      </c>
      <c r="K29" s="2">
        <f t="shared" si="1"/>
        <v>-0.40834563578186561</v>
      </c>
      <c r="L29" s="2">
        <f t="shared" si="2"/>
        <v>-0.44314883367704999</v>
      </c>
      <c r="M29">
        <f>VLOOKUP(A29,[142]nb1qmmfxu0y6bxbo!$B$1:$K$9,7,FALSE)</f>
        <v>4</v>
      </c>
      <c r="N29">
        <f>VLOOKUP(A29,[142]nb1qmmfxu0y6bxbo!$B$1:$K$9,10,FALSE)</f>
        <v>6.76</v>
      </c>
    </row>
    <row r="30" spans="1:14" x14ac:dyDescent="0.3">
      <c r="A30" t="s">
        <v>146</v>
      </c>
      <c r="B30" t="str">
        <f>VLOOKUP(A30,'[5]Ticker List'!$H$4:$I$20,2,FALSE)</f>
        <v>PNY</v>
      </c>
      <c r="C30" t="str">
        <f>VLOOKUP(A30,'[141]5jqboujxwzv4u9yp'!$B$1:$N$100,2,FALSE)</f>
        <v>PIEDMONT NAT GAS</v>
      </c>
      <c r="D30">
        <f>VLOOKUP(A30,'[141]5jqboujxwzv4u9yp'!$B$1:$N$100,12,FALSE)</f>
        <v>0.3</v>
      </c>
      <c r="E30">
        <f>VLOOKUP(A30,[125]m5tseemude7qecs4!$B$1:$N$20,12,FALSE)</f>
        <v>0.60499999999999998</v>
      </c>
      <c r="F30" s="1">
        <f t="shared" si="3"/>
        <v>0.40064074218749995</v>
      </c>
      <c r="G30" s="1">
        <f t="shared" si="4"/>
        <v>0.39323880299999997</v>
      </c>
      <c r="H30" s="2">
        <f t="shared" si="0"/>
        <v>0.19167692501339739</v>
      </c>
      <c r="I30" s="2">
        <f>VLOOKUP(A30,[142]nb1qmmfxu0y6bxbo!$B$1:$K$9,9,FALSE)/100</f>
        <v>7.4999999999999997E-2</v>
      </c>
      <c r="J30" s="2">
        <f>VLOOKUP(A30,[142]nb1qmmfxu0y6bxbo!$B$1:$K$9,8,FALSE)/100</f>
        <v>7.0000000000000007E-2</v>
      </c>
      <c r="K30" s="2">
        <f t="shared" si="1"/>
        <v>-0.60871659436962577</v>
      </c>
      <c r="L30" s="2">
        <f t="shared" si="2"/>
        <v>-0.63480215474498403</v>
      </c>
      <c r="M30">
        <f>VLOOKUP(A30,[142]nb1qmmfxu0y6bxbo!$B$1:$K$9,7,FALSE)</f>
        <v>4</v>
      </c>
      <c r="N30">
        <f>VLOOKUP(A30,[142]nb1qmmfxu0y6bxbo!$B$1:$K$9,10,FALSE)</f>
        <v>2.65</v>
      </c>
    </row>
    <row r="31" spans="1:14" x14ac:dyDescent="0.3">
      <c r="A31" t="s">
        <v>145</v>
      </c>
      <c r="B31" t="str">
        <f>VLOOKUP(A31,'[5]Ticker List'!$H$4:$I$20,2,FALSE)</f>
        <v>WGL</v>
      </c>
      <c r="C31" t="str">
        <f>VLOOKUP(A31,'[141]5jqboujxwzv4u9yp'!$B$1:$N$100,2,FALSE)</f>
        <v>WASH GAS LT</v>
      </c>
      <c r="D31">
        <f>VLOOKUP(A31,'[141]5jqboujxwzv4u9yp'!$B$1:$N$100,12,FALSE)</f>
        <v>1.2250000000000001</v>
      </c>
      <c r="E31">
        <f>VLOOKUP(A31,[125]m5tseemude7qecs4!$B$1:$N$20,12,FALSE)</f>
        <v>1.2450000000000001</v>
      </c>
      <c r="F31" s="1">
        <f t="shared" si="3"/>
        <v>1.5759212795156246</v>
      </c>
      <c r="G31" s="1">
        <f t="shared" si="4"/>
        <v>1.6665989760000004</v>
      </c>
      <c r="H31" s="2">
        <f t="shared" si="0"/>
        <v>4.0568784223715681E-3</v>
      </c>
      <c r="I31" s="2">
        <f>VLOOKUP(A31,[142]nb1qmmfxu0y6bxbo!$B$1:$K$9,9,FALSE)/100</f>
        <v>6.5000000000000002E-2</v>
      </c>
      <c r="J31" s="2">
        <f>VLOOKUP(A31,[142]nb1qmmfxu0y6bxbo!$B$1:$K$9,8,FALSE)/100</f>
        <v>0.08</v>
      </c>
      <c r="K31" s="2">
        <f t="shared" si="1"/>
        <v>15.022171046970231</v>
      </c>
      <c r="L31" s="2">
        <f t="shared" si="2"/>
        <v>18.71959513473259</v>
      </c>
      <c r="M31">
        <f>VLOOKUP(A31,[142]nb1qmmfxu0y6bxbo!$B$1:$K$9,7,FALSE)</f>
        <v>3</v>
      </c>
      <c r="N31">
        <f>VLOOKUP(A31,[142]nb1qmmfxu0y6bxbo!$B$1:$K$9,10,FALSE)</f>
        <v>3.04</v>
      </c>
    </row>
    <row r="32" spans="1:14" x14ac:dyDescent="0.3">
      <c r="A32" t="s">
        <v>149</v>
      </c>
      <c r="B32" t="str">
        <f>VLOOKUP(A32,'[5]Ticker List'!$H$4:$I$20,2,FALSE)</f>
        <v>CGC</v>
      </c>
      <c r="C32" t="str">
        <f>VLOOKUP(A32,'[141]5jqboujxwzv4u9yp'!$B$1:$N$100,2,FALSE)</f>
        <v>CASCADE NAT GAS</v>
      </c>
      <c r="D32">
        <f>VLOOKUP(A32,'[141]5jqboujxwzv4u9yp'!$B$1:$N$100,12,FALSE)</f>
        <v>1.3867</v>
      </c>
      <c r="E32">
        <f>VLOOKUP(A32,[125]m5tseemude7qecs4!$B$1:$N$20,12,FALSE)</f>
        <v>0.84</v>
      </c>
      <c r="F32" s="1">
        <f t="shared" si="3"/>
        <v>2.7343614144616879</v>
      </c>
      <c r="G32" s="1">
        <f t="shared" si="4"/>
        <v>2.7343614144616879</v>
      </c>
      <c r="H32" s="2">
        <f t="shared" si="0"/>
        <v>-0.11778549776492375</v>
      </c>
      <c r="I32" s="2">
        <f>VLOOKUP(A32,[142]nb1qmmfxu0y6bxbo!$B$1:$K$9,9,FALSE)/100</f>
        <v>0.185</v>
      </c>
      <c r="J32" s="2">
        <f>VLOOKUP(A32,[142]nb1qmmfxu0y6bxbo!$B$1:$K$9,8,FALSE)/100</f>
        <v>0.185</v>
      </c>
      <c r="K32" s="2">
        <f t="shared" si="1"/>
        <v>2.5706517653745702</v>
      </c>
      <c r="L32" s="2">
        <f t="shared" si="2"/>
        <v>2.5706517653745702</v>
      </c>
      <c r="M32">
        <f>VLOOKUP(A32,[142]nb1qmmfxu0y6bxbo!$B$1:$K$9,7,FALSE)</f>
        <v>1</v>
      </c>
      <c r="N32">
        <f>VLOOKUP(A32,[142]nb1qmmfxu0y6bxbo!$B$1:$K$9,10,FALSE)</f>
        <v>0</v>
      </c>
    </row>
  </sheetData>
  <mergeCells count="3">
    <mergeCell ref="P1:Q1"/>
    <mergeCell ref="P7:Q7"/>
    <mergeCell ref="P13:Q13"/>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93ABF-B0D9-44BF-BAA3-9EA59F756AA6}">
  <dimension ref="A1:Q33"/>
  <sheetViews>
    <sheetView workbookViewId="0">
      <selection activeCell="A27" sqref="A27:N33"/>
    </sheetView>
  </sheetViews>
  <sheetFormatPr defaultRowHeight="14.4" x14ac:dyDescent="0.3"/>
  <cols>
    <col min="1" max="1" width="13.33203125" bestFit="1" customWidth="1"/>
    <col min="2" max="2" width="10.44140625" bestFit="1" customWidth="1"/>
    <col min="3" max="3" width="15.6640625" bestFit="1" customWidth="1"/>
    <col min="4" max="5" width="15.44140625" bestFit="1" customWidth="1"/>
    <col min="6" max="6" width="14.33203125" bestFit="1" customWidth="1"/>
    <col min="7" max="7" width="16" bestFit="1" customWidth="1"/>
    <col min="8" max="8" width="18.33203125" bestFit="1" customWidth="1"/>
    <col min="9" max="9" width="21.44140625" bestFit="1" customWidth="1"/>
    <col min="10" max="10" width="23.109375" bestFit="1" customWidth="1"/>
    <col min="11" max="11" width="22" bestFit="1" customWidth="1"/>
    <col min="12" max="12" width="24.109375" bestFit="1" customWidth="1"/>
    <col min="13" max="13" width="19.88671875" bestFit="1" customWidth="1"/>
    <col min="14" max="14" width="8.33203125" bestFit="1" customWidth="1"/>
    <col min="16" max="16" width="51.88671875" bestFit="1" customWidth="1"/>
    <col min="17" max="17" width="12" bestFit="1" customWidth="1"/>
  </cols>
  <sheetData>
    <row r="1" spans="1:17" x14ac:dyDescent="0.3">
      <c r="A1" t="s">
        <v>0</v>
      </c>
      <c r="B1" t="s">
        <v>1</v>
      </c>
      <c r="C1" t="s">
        <v>2</v>
      </c>
      <c r="D1" t="s">
        <v>114</v>
      </c>
      <c r="E1" t="s">
        <v>110</v>
      </c>
      <c r="F1" t="s">
        <v>5</v>
      </c>
      <c r="G1" t="s">
        <v>6</v>
      </c>
      <c r="H1" t="s">
        <v>7</v>
      </c>
      <c r="I1" t="s">
        <v>8</v>
      </c>
      <c r="J1" t="s">
        <v>9</v>
      </c>
      <c r="K1" t="s">
        <v>10</v>
      </c>
      <c r="L1" t="s">
        <v>11</v>
      </c>
      <c r="M1" t="s">
        <v>12</v>
      </c>
      <c r="N1" t="s">
        <v>13</v>
      </c>
      <c r="P1" s="111" t="s">
        <v>14</v>
      </c>
      <c r="Q1" s="111"/>
    </row>
    <row r="2" spans="1:17" x14ac:dyDescent="0.3">
      <c r="A2" t="s">
        <v>19</v>
      </c>
      <c r="B2" t="str">
        <f>VLOOKUP(A2,[143]WRDS!$A$1:$N$39,2,FALSE)</f>
        <v>BHP</v>
      </c>
      <c r="C2" t="str">
        <f>VLOOKUP(A2,[143]WRDS!$A$1:$N$39,3,FALSE)</f>
        <v>BLACK HILLS CORP</v>
      </c>
      <c r="D2">
        <f>VLOOKUP($A2,[143]WRDS!$A$1:$N$39,13,FALSE)</f>
        <v>0.66439999999999999</v>
      </c>
      <c r="E2">
        <f>VLOOKUP(A2,[127]WRDS!$A$1:$N$39,13,FALSE)</f>
        <v>0.9647</v>
      </c>
      <c r="F2" s="1">
        <f>D2*(1+I2)^4</f>
        <v>0.80758235249999999</v>
      </c>
      <c r="G2" s="1">
        <f>D2*(1+J2)^4</f>
        <v>0.80758235249999999</v>
      </c>
      <c r="H2" s="2">
        <f t="shared" ref="H2:H33" si="0">((E2/D2)^(1/4)-1)</f>
        <v>9.7717691661730166E-2</v>
      </c>
      <c r="I2" s="2">
        <f>VLOOKUP($A2,[144]WRDS!$A$1:$O$34,10,FALSE)/100</f>
        <v>0.05</v>
      </c>
      <c r="J2" s="2">
        <f>VLOOKUP($A2,[144]WRDS!$A$1:$O$34,9,FALSE)/100</f>
        <v>0.05</v>
      </c>
      <c r="K2" s="2">
        <f t="shared" ref="K2:K33" si="1">(I2-H2)/(ABS(H2))</f>
        <v>-0.48832192871393998</v>
      </c>
      <c r="L2" s="2">
        <f t="shared" ref="L2:L33" si="2">(J2-H2)/(ABS(H2))</f>
        <v>-0.48832192871393998</v>
      </c>
      <c r="M2">
        <f>VLOOKUP($A2,[144]WRDS!$A$1:$O$34,8,FALSE)</f>
        <v>1</v>
      </c>
      <c r="N2">
        <f>VLOOKUP($A2,[144]WRDS!$A$1:$O$34,11,FALSE)</f>
        <v>0</v>
      </c>
      <c r="P2" t="s">
        <v>16</v>
      </c>
      <c r="Q2" s="3">
        <f>AVERAGE(H2:H999)</f>
        <v>4.031618179379616E-3</v>
      </c>
    </row>
    <row r="3" spans="1:17" x14ac:dyDescent="0.3">
      <c r="A3" t="s">
        <v>21</v>
      </c>
      <c r="B3" t="str">
        <f>VLOOKUP(A3,[143]WRDS!$A$1:$N$39,2,FALSE)</f>
        <v>CMS</v>
      </c>
      <c r="C3" t="str">
        <f>VLOOKUP(A3,[143]WRDS!$A$1:$N$39,3,FALSE)</f>
        <v>CONSUMERS PWR</v>
      </c>
      <c r="D3">
        <f>VLOOKUP($A3,[143]WRDS!$A$1:$N$39,13,FALSE)</f>
        <v>3.12</v>
      </c>
      <c r="E3">
        <f>VLOOKUP(A3,[127]WRDS!$A$1:$N$39,13,FALSE)</f>
        <v>2.19</v>
      </c>
      <c r="F3" s="1">
        <f t="shared" ref="F3:F33" si="3">D3*(1+I3)^4</f>
        <v>3.6080256768223191</v>
      </c>
      <c r="G3" s="1">
        <f t="shared" ref="G3:G33" si="4">D3*(1+J3)^4</f>
        <v>3.6499587072000006</v>
      </c>
      <c r="H3" s="2">
        <f t="shared" si="0"/>
        <v>-8.4681204951563505E-2</v>
      </c>
      <c r="I3" s="2">
        <f>VLOOKUP($A3,[144]WRDS!$A$1:$O$34,10,FALSE)/100</f>
        <v>3.7000000000000005E-2</v>
      </c>
      <c r="J3" s="2">
        <f>VLOOKUP($A3,[144]WRDS!$A$1:$O$34,9,FALSE)/100</f>
        <v>0.04</v>
      </c>
      <c r="K3" s="2">
        <f t="shared" si="1"/>
        <v>1.4369328473911478</v>
      </c>
      <c r="L3" s="2">
        <f t="shared" si="2"/>
        <v>1.4723598350174572</v>
      </c>
      <c r="M3">
        <f>VLOOKUP($A3,[144]WRDS!$A$1:$O$34,8,FALSE)</f>
        <v>11</v>
      </c>
      <c r="N3">
        <f>VLOOKUP($A3,[144]WRDS!$A$1:$O$34,11,FALSE)</f>
        <v>1.2</v>
      </c>
      <c r="P3" t="s">
        <v>18</v>
      </c>
      <c r="Q3" s="3">
        <f>AVERAGE(I2:I999)</f>
        <v>5.2281250000000015E-2</v>
      </c>
    </row>
    <row r="4" spans="1:17" x14ac:dyDescent="0.3">
      <c r="A4" t="s">
        <v>31</v>
      </c>
      <c r="B4" t="str">
        <f>VLOOKUP(A4,[143]WRDS!$A$1:$N$39,2,FALSE)</f>
        <v>ED</v>
      </c>
      <c r="C4" t="str">
        <f>VLOOKUP(A4,[143]WRDS!$A$1:$N$39,3,FALSE)</f>
        <v>CONSOL EDISON</v>
      </c>
      <c r="D4">
        <f>VLOOKUP($A4,[143]WRDS!$A$1:$N$39,13,FALSE)</f>
        <v>2.08</v>
      </c>
      <c r="E4">
        <f>VLOOKUP(A4,[127]WRDS!$A$1:$N$39,13,FALSE)</f>
        <v>2.21</v>
      </c>
      <c r="F4" s="1">
        <f t="shared" si="3"/>
        <v>2.6358753612692798</v>
      </c>
      <c r="G4" s="1">
        <f t="shared" si="4"/>
        <v>2.6259520768000009</v>
      </c>
      <c r="H4" s="2">
        <f t="shared" si="0"/>
        <v>1.5271592434465298E-2</v>
      </c>
      <c r="I4" s="2">
        <f>VLOOKUP($A4,[144]WRDS!$A$1:$O$34,10,FALSE)/100</f>
        <v>6.0999999999999999E-2</v>
      </c>
      <c r="J4" s="2">
        <f>VLOOKUP($A4,[144]WRDS!$A$1:$O$34,9,FALSE)/100</f>
        <v>0.06</v>
      </c>
      <c r="K4" s="2">
        <f t="shared" si="1"/>
        <v>2.9943444183550714</v>
      </c>
      <c r="L4" s="2">
        <f t="shared" si="2"/>
        <v>2.9288633623164637</v>
      </c>
      <c r="M4">
        <f>VLOOKUP($A4,[144]WRDS!$A$1:$O$34,8,FALSE)</f>
        <v>12</v>
      </c>
      <c r="N4">
        <f>VLOOKUP($A4,[144]WRDS!$A$1:$O$34,11,FALSE)</f>
        <v>1.2</v>
      </c>
      <c r="P4" t="s">
        <v>20</v>
      </c>
      <c r="Q4" s="3">
        <f>(Q3-Q2)/ABS(Q2)</f>
        <v>11.967807881064033</v>
      </c>
    </row>
    <row r="5" spans="1:17" x14ac:dyDescent="0.3">
      <c r="A5" t="s">
        <v>25</v>
      </c>
      <c r="B5" t="str">
        <f>VLOOKUP(A5,[143]WRDS!$A$1:$N$39,2,FALSE)</f>
        <v>D</v>
      </c>
      <c r="C5" t="str">
        <f>VLOOKUP(A5,[143]WRDS!$A$1:$N$39,3,FALSE)</f>
        <v>DOMINION RES INC</v>
      </c>
      <c r="D5">
        <f>VLOOKUP($A5,[143]WRDS!$A$1:$N$39,13,FALSE)</f>
        <v>1.0932999999999999</v>
      </c>
      <c r="E5">
        <f>VLOOKUP(A5,[127]WRDS!$A$1:$N$39,13,FALSE)</f>
        <v>1.5035000000000001</v>
      </c>
      <c r="F5" s="1">
        <f t="shared" si="3"/>
        <v>1.3289129831249999</v>
      </c>
      <c r="G5" s="1">
        <f t="shared" si="4"/>
        <v>1.3289129831249999</v>
      </c>
      <c r="H5" s="2">
        <f t="shared" si="0"/>
        <v>8.2906651024201361E-2</v>
      </c>
      <c r="I5" s="2">
        <f>VLOOKUP($A5,[144]WRDS!$A$1:$O$34,10,FALSE)/100</f>
        <v>0.05</v>
      </c>
      <c r="J5" s="2">
        <f>VLOOKUP($A5,[144]WRDS!$A$1:$O$34,9,FALSE)/100</f>
        <v>0.05</v>
      </c>
      <c r="K5" s="2">
        <f t="shared" si="1"/>
        <v>-0.39691207662694694</v>
      </c>
      <c r="L5" s="2">
        <f t="shared" si="2"/>
        <v>-0.39691207662694694</v>
      </c>
      <c r="M5">
        <f>VLOOKUP($A5,[144]WRDS!$A$1:$O$34,8,FALSE)</f>
        <v>14</v>
      </c>
      <c r="N5">
        <f>VLOOKUP($A5,[144]WRDS!$A$1:$O$34,11,FALSE)</f>
        <v>0</v>
      </c>
      <c r="P5" t="s">
        <v>22</v>
      </c>
      <c r="Q5" s="3">
        <f>AVERAGE(J2:J999)</f>
        <v>5.1437500000000011E-2</v>
      </c>
    </row>
    <row r="6" spans="1:17" x14ac:dyDescent="0.3">
      <c r="A6" t="s">
        <v>27</v>
      </c>
      <c r="B6" t="str">
        <f>VLOOKUP(A6,[143]WRDS!$A$1:$N$39,2,FALSE)</f>
        <v>DTE</v>
      </c>
      <c r="C6" t="str">
        <f>VLOOKUP(A6,[143]WRDS!$A$1:$N$39,3,FALSE)</f>
        <v>DETROIT EDISON</v>
      </c>
      <c r="D6">
        <f>VLOOKUP($A6,[143]WRDS!$A$1:$N$39,13,FALSE)</f>
        <v>2.21</v>
      </c>
      <c r="E6">
        <f>VLOOKUP(A6,[127]WRDS!$A$1:$N$39,13,FALSE)</f>
        <v>3.25</v>
      </c>
      <c r="F6" s="1">
        <f t="shared" si="3"/>
        <v>2.5458411109913603</v>
      </c>
      <c r="G6" s="1">
        <f t="shared" si="4"/>
        <v>2.4873744700999998</v>
      </c>
      <c r="H6" s="2">
        <f t="shared" si="0"/>
        <v>0.10121665678542335</v>
      </c>
      <c r="I6" s="2">
        <f>VLOOKUP($A6,[144]WRDS!$A$1:$O$34,10,FALSE)/100</f>
        <v>3.6000000000000004E-2</v>
      </c>
      <c r="J6" s="2">
        <f>VLOOKUP($A6,[144]WRDS!$A$1:$O$34,9,FALSE)/100</f>
        <v>0.03</v>
      </c>
      <c r="K6" s="2">
        <f t="shared" si="1"/>
        <v>-0.64432731584566105</v>
      </c>
      <c r="L6" s="2">
        <f t="shared" si="2"/>
        <v>-0.70360609653805095</v>
      </c>
      <c r="M6">
        <f>VLOOKUP($A6,[144]WRDS!$A$1:$O$34,8,FALSE)</f>
        <v>10</v>
      </c>
      <c r="N6">
        <f>VLOOKUP($A6,[144]WRDS!$A$1:$O$34,11,FALSE)</f>
        <v>1</v>
      </c>
      <c r="P6" t="s">
        <v>24</v>
      </c>
      <c r="Q6" s="3">
        <f>(Q5-Q2)/ABS(Q2)</f>
        <v>11.758524669594379</v>
      </c>
    </row>
    <row r="7" spans="1:17" x14ac:dyDescent="0.3">
      <c r="A7" t="s">
        <v>29</v>
      </c>
      <c r="B7" t="str">
        <f>VLOOKUP(A7,[143]WRDS!$A$1:$N$39,2,FALSE)</f>
        <v>DUK</v>
      </c>
      <c r="C7" t="str">
        <f>VLOOKUP(A7,[143]WRDS!$A$1:$N$39,3,FALSE)</f>
        <v>DUKE POWER CO</v>
      </c>
      <c r="D7">
        <f>VLOOKUP($A7,[143]WRDS!$A$1:$N$39,13,FALSE)</f>
        <v>2.8275000000000001</v>
      </c>
      <c r="E7">
        <f>VLOOKUP(A7,[127]WRDS!$A$1:$N$39,13,FALSE)</f>
        <v>3.3</v>
      </c>
      <c r="F7" s="1">
        <f t="shared" si="3"/>
        <v>3.5027766996421872</v>
      </c>
      <c r="G7" s="1">
        <f t="shared" si="4"/>
        <v>3.4762907942050272</v>
      </c>
      <c r="H7" s="2">
        <f t="shared" si="0"/>
        <v>3.9388318533702504E-2</v>
      </c>
      <c r="I7" s="2">
        <f>VLOOKUP($A7,[144]WRDS!$A$1:$O$34,10,FALSE)/100</f>
        <v>5.5E-2</v>
      </c>
      <c r="J7" s="2">
        <f>VLOOKUP($A7,[144]WRDS!$A$1:$O$34,9,FALSE)/100</f>
        <v>5.2999999999999999E-2</v>
      </c>
      <c r="K7" s="2">
        <f t="shared" si="1"/>
        <v>0.39635308252469331</v>
      </c>
      <c r="L7" s="2">
        <f t="shared" si="2"/>
        <v>0.34557660679652258</v>
      </c>
      <c r="M7">
        <f>VLOOKUP($A7,[144]WRDS!$A$1:$O$34,8,FALSE)</f>
        <v>14</v>
      </c>
      <c r="N7">
        <f>VLOOKUP($A7,[144]WRDS!$A$1:$O$34,11,FALSE)</f>
        <v>1</v>
      </c>
      <c r="P7" s="111" t="s">
        <v>26</v>
      </c>
      <c r="Q7" s="111"/>
    </row>
    <row r="8" spans="1:17" x14ac:dyDescent="0.3">
      <c r="A8" t="s">
        <v>36</v>
      </c>
      <c r="B8" t="str">
        <f>VLOOKUP(A8,[143]WRDS!$A$1:$N$39,2,FALSE)</f>
        <v>HE</v>
      </c>
      <c r="C8" t="str">
        <f>VLOOKUP(A8,[143]WRDS!$A$1:$N$39,3,FALSE)</f>
        <v>HAWAIIAN ELEC</v>
      </c>
      <c r="D8">
        <f>VLOOKUP($A8,[143]WRDS!$A$1:$N$39,13,FALSE)</f>
        <v>1.03</v>
      </c>
      <c r="E8">
        <f>VLOOKUP(A8,[127]WRDS!$A$1:$N$39,13,FALSE)</f>
        <v>1.1000000000000001</v>
      </c>
      <c r="F8" s="1">
        <f t="shared" si="3"/>
        <v>1.3551741473514298</v>
      </c>
      <c r="G8" s="1">
        <f t="shared" si="4"/>
        <v>1.3250603411437496</v>
      </c>
      <c r="H8" s="2">
        <f t="shared" si="0"/>
        <v>1.6573689065292996E-2</v>
      </c>
      <c r="I8" s="2">
        <f>VLOOKUP($A8,[144]WRDS!$A$1:$O$34,10,FALSE)/100</f>
        <v>7.0999999999999994E-2</v>
      </c>
      <c r="J8" s="2">
        <f>VLOOKUP($A8,[144]WRDS!$A$1:$O$34,9,FALSE)/100</f>
        <v>6.5000000000000002E-2</v>
      </c>
      <c r="K8" s="2">
        <f t="shared" si="1"/>
        <v>3.2838983958424364</v>
      </c>
      <c r="L8" s="2">
        <f t="shared" si="2"/>
        <v>2.9218788130951889</v>
      </c>
      <c r="M8">
        <f>VLOOKUP($A8,[144]WRDS!$A$1:$O$34,8,FALSE)</f>
        <v>8</v>
      </c>
      <c r="N8">
        <f>VLOOKUP($A8,[144]WRDS!$A$1:$O$34,11,FALSE)</f>
        <v>4.5999999999999996</v>
      </c>
      <c r="P8" t="s">
        <v>28</v>
      </c>
      <c r="Q8" s="2">
        <f>MEDIAN(H2:H99)</f>
        <v>2.2776770133444479E-2</v>
      </c>
    </row>
    <row r="9" spans="1:17" x14ac:dyDescent="0.3">
      <c r="A9" t="s">
        <v>38</v>
      </c>
      <c r="B9" t="str">
        <f>VLOOKUP(A9,[143]WRDS!$A$1:$N$39,2,FALSE)</f>
        <v>IDA</v>
      </c>
      <c r="C9" t="str">
        <f>VLOOKUP(A9,[143]WRDS!$A$1:$N$39,3,FALSE)</f>
        <v>IDAHO POWER CO</v>
      </c>
      <c r="D9">
        <f>VLOOKUP($A9,[143]WRDS!$A$1:$N$39,13,FALSE)</f>
        <v>2.25</v>
      </c>
      <c r="E9">
        <f>VLOOKUP(A9,[127]WRDS!$A$1:$N$39,13,FALSE)</f>
        <v>1.3</v>
      </c>
      <c r="F9" s="1">
        <f t="shared" si="3"/>
        <v>2.6019415938622492</v>
      </c>
      <c r="G9" s="1">
        <f t="shared" si="4"/>
        <v>2.6423201469622497</v>
      </c>
      <c r="H9" s="2">
        <f t="shared" si="0"/>
        <v>-0.12815313840899101</v>
      </c>
      <c r="I9" s="2">
        <f>VLOOKUP($A9,[144]WRDS!$A$1:$O$34,10,FALSE)/100</f>
        <v>3.7000000000000005E-2</v>
      </c>
      <c r="J9" s="2">
        <f>VLOOKUP($A9,[144]WRDS!$A$1:$O$34,9,FALSE)/100</f>
        <v>4.0999999999999995E-2</v>
      </c>
      <c r="K9" s="2">
        <f t="shared" si="1"/>
        <v>1.2887170806688895</v>
      </c>
      <c r="L9" s="2">
        <f t="shared" si="2"/>
        <v>1.3199297380384989</v>
      </c>
      <c r="M9">
        <f>VLOOKUP($A9,[144]WRDS!$A$1:$O$34,8,FALSE)</f>
        <v>8</v>
      </c>
      <c r="N9">
        <f>VLOOKUP($A9,[144]WRDS!$A$1:$O$34,11,FALSE)</f>
        <v>1.6</v>
      </c>
      <c r="P9" t="s">
        <v>30</v>
      </c>
      <c r="Q9" s="2">
        <f>MEDIAN(I2:I100)</f>
        <v>5.1250000000000004E-2</v>
      </c>
    </row>
    <row r="10" spans="1:17" x14ac:dyDescent="0.3">
      <c r="A10" t="s">
        <v>44</v>
      </c>
      <c r="B10" t="str">
        <f>VLOOKUP(A10,[143]WRDS!$A$1:$N$39,2,FALSE)</f>
        <v>OGE</v>
      </c>
      <c r="C10" t="str">
        <f>VLOOKUP(A10,[143]WRDS!$A$1:$N$39,3,FALSE)</f>
        <v>OKLAHOMA G&amp;E</v>
      </c>
      <c r="D10">
        <f>VLOOKUP($A10,[143]WRDS!$A$1:$N$39,13,FALSE)</f>
        <v>0.67</v>
      </c>
      <c r="E10">
        <f>VLOOKUP(A10,[127]WRDS!$A$1:$N$39,13,FALSE)</f>
        <v>0.65</v>
      </c>
      <c r="F10" s="1">
        <f t="shared" si="3"/>
        <v>0.83001251591874992</v>
      </c>
      <c r="G10" s="1">
        <f t="shared" si="4"/>
        <v>0.83001251591874992</v>
      </c>
      <c r="H10" s="2">
        <f t="shared" si="0"/>
        <v>-7.5477092741684793E-3</v>
      </c>
      <c r="I10" s="2">
        <f>VLOOKUP($A10,[144]WRDS!$A$1:$O$34,10,FALSE)/100</f>
        <v>5.5E-2</v>
      </c>
      <c r="J10" s="2">
        <f>VLOOKUP($A10,[144]WRDS!$A$1:$O$34,9,FALSE)/100</f>
        <v>5.5E-2</v>
      </c>
      <c r="K10" s="2">
        <f t="shared" si="1"/>
        <v>8.2869791352766793</v>
      </c>
      <c r="L10" s="2">
        <f t="shared" si="2"/>
        <v>8.2869791352766793</v>
      </c>
      <c r="M10">
        <f>VLOOKUP($A10,[144]WRDS!$A$1:$O$34,8,FALSE)</f>
        <v>14</v>
      </c>
      <c r="N10">
        <f>VLOOKUP($A10,[144]WRDS!$A$1:$O$34,11,FALSE)</f>
        <v>1.3</v>
      </c>
      <c r="P10" t="s">
        <v>32</v>
      </c>
      <c r="Q10" s="2">
        <f>(Q9-Q8)/ABS(Q8)</f>
        <v>1.2500995400022321</v>
      </c>
    </row>
    <row r="11" spans="1:17" x14ac:dyDescent="0.3">
      <c r="A11" t="s">
        <v>69</v>
      </c>
      <c r="B11" t="str">
        <f>VLOOKUP(A11,[143]WRDS!$A$1:$N$39,2,FALSE)</f>
        <v>OTTR</v>
      </c>
      <c r="C11" t="str">
        <f>VLOOKUP(A11,[143]WRDS!$A$1:$N$39,3,FALSE)</f>
        <v>OTTER TAIL PWR</v>
      </c>
      <c r="D11">
        <f>VLOOKUP($A11,[143]WRDS!$A$1:$N$39,13,FALSE)</f>
        <v>0.8</v>
      </c>
      <c r="E11">
        <f>VLOOKUP(A11,[127]WRDS!$A$1:$N$39,13,FALSE)</f>
        <v>0.91500000000000004</v>
      </c>
      <c r="F11" s="1">
        <f t="shared" si="3"/>
        <v>0.96501734113280035</v>
      </c>
      <c r="G11" s="1">
        <f t="shared" si="4"/>
        <v>0.97240500000000007</v>
      </c>
      <c r="H11" s="2">
        <f t="shared" si="0"/>
        <v>3.4148191416671247E-2</v>
      </c>
      <c r="I11" s="2">
        <f>VLOOKUP($A11,[144]WRDS!$A$1:$O$34,10,FALSE)/100</f>
        <v>4.8000000000000001E-2</v>
      </c>
      <c r="J11" s="2">
        <f>VLOOKUP($A11,[144]WRDS!$A$1:$O$34,9,FALSE)/100</f>
        <v>0.05</v>
      </c>
      <c r="K11" s="2">
        <f t="shared" si="1"/>
        <v>0.40563813217253608</v>
      </c>
      <c r="L11" s="2">
        <f t="shared" si="2"/>
        <v>0.46420638767972511</v>
      </c>
      <c r="M11">
        <f>VLOOKUP($A11,[144]WRDS!$A$1:$O$34,8,FALSE)</f>
        <v>3</v>
      </c>
      <c r="N11">
        <f>VLOOKUP($A11,[144]WRDS!$A$1:$O$34,11,FALSE)</f>
        <v>1.8</v>
      </c>
      <c r="P11" t="s">
        <v>34</v>
      </c>
      <c r="Q11" s="2">
        <f>MEDIAN(J2:J99)</f>
        <v>0.05</v>
      </c>
    </row>
    <row r="12" spans="1:17" x14ac:dyDescent="0.3">
      <c r="A12" t="s">
        <v>47</v>
      </c>
      <c r="B12" t="str">
        <f>VLOOKUP(A12,[143]WRDS!$A$1:$N$39,2,FALSE)</f>
        <v>PNM</v>
      </c>
      <c r="C12" t="str">
        <f>VLOOKUP(A12,[143]WRDS!$A$1:$N$39,3,FALSE)</f>
        <v>PUB SVC N MEX</v>
      </c>
      <c r="D12">
        <f>VLOOKUP($A12,[143]WRDS!$A$1:$N$39,13,FALSE)</f>
        <v>2.3532999999999999</v>
      </c>
      <c r="E12">
        <f>VLOOKUP(A12,[127]WRDS!$A$1:$N$39,13,FALSE)</f>
        <v>1.3267</v>
      </c>
      <c r="F12" s="1">
        <f t="shared" si="3"/>
        <v>2.8932820958453367</v>
      </c>
      <c r="G12" s="1">
        <f t="shared" si="4"/>
        <v>2.8823071168515337</v>
      </c>
      <c r="H12" s="2">
        <f t="shared" si="0"/>
        <v>-0.13348944232294557</v>
      </c>
      <c r="I12" s="2">
        <f>VLOOKUP($A12,[144]WRDS!$A$1:$O$34,10,FALSE)/100</f>
        <v>5.2999999999999999E-2</v>
      </c>
      <c r="J12" s="2">
        <f>VLOOKUP($A12,[144]WRDS!$A$1:$O$34,9,FALSE)/100</f>
        <v>5.2000000000000005E-2</v>
      </c>
      <c r="K12" s="2">
        <f t="shared" si="1"/>
        <v>1.3970351443358289</v>
      </c>
      <c r="L12" s="2">
        <f t="shared" si="2"/>
        <v>1.3895439151974169</v>
      </c>
      <c r="M12">
        <f>VLOOKUP($A12,[144]WRDS!$A$1:$O$34,8,FALSE)</f>
        <v>8</v>
      </c>
      <c r="N12">
        <f>VLOOKUP($A12,[144]WRDS!$A$1:$O$34,11,FALSE)</f>
        <v>1.4</v>
      </c>
      <c r="P12" t="s">
        <v>32</v>
      </c>
      <c r="Q12" s="2">
        <f>(Q11-Q8)/ABS(Q8)</f>
        <v>1.1952190634168118</v>
      </c>
    </row>
    <row r="13" spans="1:17" x14ac:dyDescent="0.3">
      <c r="A13" t="s">
        <v>51</v>
      </c>
      <c r="B13" t="str">
        <f>VLOOKUP(A13,[143]WRDS!$A$1:$N$39,2,FALSE)</f>
        <v>PPL</v>
      </c>
      <c r="C13" t="str">
        <f>VLOOKUP(A13,[143]WRDS!$A$1:$N$39,3,FALSE)</f>
        <v>PENNA P&amp;L</v>
      </c>
      <c r="D13">
        <f>VLOOKUP($A13,[143]WRDS!$A$1:$N$39,13,FALSE)</f>
        <v>0.76500000000000001</v>
      </c>
      <c r="E13">
        <f>VLOOKUP(A13,[127]WRDS!$A$1:$N$39,13,FALSE)</f>
        <v>0.83</v>
      </c>
      <c r="F13" s="1">
        <f t="shared" si="3"/>
        <v>0.91577371341384017</v>
      </c>
      <c r="G13" s="1">
        <f t="shared" si="4"/>
        <v>0.90878977033344011</v>
      </c>
      <c r="H13" s="2">
        <f t="shared" si="0"/>
        <v>2.0596710706715315E-2</v>
      </c>
      <c r="I13" s="2">
        <f>VLOOKUP($A13,[144]WRDS!$A$1:$O$34,10,FALSE)/100</f>
        <v>4.5999999999999999E-2</v>
      </c>
      <c r="J13" s="2">
        <f>VLOOKUP($A13,[144]WRDS!$A$1:$O$34,9,FALSE)/100</f>
        <v>4.4000000000000004E-2</v>
      </c>
      <c r="K13" s="2">
        <f t="shared" si="1"/>
        <v>1.2333663202349219</v>
      </c>
      <c r="L13" s="2">
        <f t="shared" si="2"/>
        <v>1.1362634367464473</v>
      </c>
      <c r="M13">
        <f>VLOOKUP($A13,[144]WRDS!$A$1:$O$34,8,FALSE)</f>
        <v>12</v>
      </c>
      <c r="N13">
        <f>VLOOKUP($A13,[144]WRDS!$A$1:$O$34,11,FALSE)</f>
        <v>1.3</v>
      </c>
      <c r="P13" s="111" t="s">
        <v>37</v>
      </c>
      <c r="Q13" s="111"/>
    </row>
    <row r="14" spans="1:17" x14ac:dyDescent="0.3">
      <c r="A14" t="s">
        <v>46</v>
      </c>
      <c r="B14" t="str">
        <f>VLOOKUP(A14,[143]WRDS!$A$1:$N$39,2,FALSE)</f>
        <v>PEG</v>
      </c>
      <c r="C14" t="str">
        <f>VLOOKUP(A14,[143]WRDS!$A$1:$N$39,3,FALSE)</f>
        <v>PUB SVC E&amp;G</v>
      </c>
      <c r="D14">
        <f>VLOOKUP($A14,[143]WRDS!$A$1:$N$39,13,FALSE)</f>
        <v>1.1433</v>
      </c>
      <c r="E14">
        <f>VLOOKUP(A14,[127]WRDS!$A$1:$N$39,13,FALSE)</f>
        <v>1.2749999999999999</v>
      </c>
      <c r="F14" s="1">
        <f t="shared" si="3"/>
        <v>1.3634065160945619</v>
      </c>
      <c r="G14" s="1">
        <f t="shared" si="4"/>
        <v>1.3478174640436371</v>
      </c>
      <c r="H14" s="2">
        <f t="shared" si="0"/>
        <v>2.7631706067294814E-2</v>
      </c>
      <c r="I14" s="2">
        <f>VLOOKUP($A14,[144]WRDS!$A$1:$O$34,10,FALSE)/100</f>
        <v>4.4999999999999998E-2</v>
      </c>
      <c r="J14" s="2">
        <f>VLOOKUP($A14,[144]WRDS!$A$1:$O$34,9,FALSE)/100</f>
        <v>4.2000000000000003E-2</v>
      </c>
      <c r="K14" s="2">
        <f t="shared" si="1"/>
        <v>0.62856393631309226</v>
      </c>
      <c r="L14" s="2">
        <f t="shared" si="2"/>
        <v>0.51999300722555297</v>
      </c>
      <c r="M14">
        <f>VLOOKUP($A14,[144]WRDS!$A$1:$O$34,8,FALSE)</f>
        <v>14</v>
      </c>
      <c r="N14">
        <f>VLOOKUP($A14,[144]WRDS!$A$1:$O$34,11,FALSE)</f>
        <v>1</v>
      </c>
      <c r="P14" t="s">
        <v>39</v>
      </c>
      <c r="Q14">
        <f>AVERAGE(M2:M1002)</f>
        <v>7.8125</v>
      </c>
    </row>
    <row r="15" spans="1:17" x14ac:dyDescent="0.3">
      <c r="A15" t="s">
        <v>53</v>
      </c>
      <c r="B15" t="str">
        <f>VLOOKUP(A15,[143]WRDS!$A$1:$N$39,2,FALSE)</f>
        <v>SO</v>
      </c>
      <c r="C15" t="str">
        <f>VLOOKUP(A15,[143]WRDS!$A$1:$N$39,3,FALSE)</f>
        <v>SOUTHN CO</v>
      </c>
      <c r="D15">
        <f>VLOOKUP($A15,[143]WRDS!$A$1:$N$39,13,FALSE)</f>
        <v>1.335</v>
      </c>
      <c r="E15">
        <f>VLOOKUP(A15,[127]WRDS!$A$1:$N$39,13,FALSE)</f>
        <v>0.96</v>
      </c>
      <c r="F15" s="1">
        <f t="shared" si="3"/>
        <v>1.5859272462681602</v>
      </c>
      <c r="G15" s="1">
        <f t="shared" si="4"/>
        <v>1.6227008437499999</v>
      </c>
      <c r="H15" s="2">
        <f t="shared" si="0"/>
        <v>-7.9131766209145415E-2</v>
      </c>
      <c r="I15" s="2">
        <f>VLOOKUP($A15,[144]WRDS!$A$1:$O$34,10,FALSE)/100</f>
        <v>4.4000000000000004E-2</v>
      </c>
      <c r="J15" s="2">
        <f>VLOOKUP($A15,[144]WRDS!$A$1:$O$34,9,FALSE)/100</f>
        <v>0.05</v>
      </c>
      <c r="K15" s="2">
        <f t="shared" si="1"/>
        <v>1.5560346003614771</v>
      </c>
      <c r="L15" s="2">
        <f t="shared" si="2"/>
        <v>1.6318575004107692</v>
      </c>
      <c r="M15">
        <f>VLOOKUP($A15,[144]WRDS!$A$1:$O$34,8,FALSE)</f>
        <v>14</v>
      </c>
      <c r="N15">
        <f>VLOOKUP($A15,[144]WRDS!$A$1:$O$34,11,FALSE)</f>
        <v>1</v>
      </c>
      <c r="P15" t="s">
        <v>41</v>
      </c>
      <c r="Q15">
        <f>COUNT(N2:N1002)</f>
        <v>32</v>
      </c>
    </row>
    <row r="16" spans="1:17" x14ac:dyDescent="0.3">
      <c r="A16" t="s">
        <v>71</v>
      </c>
      <c r="B16" t="str">
        <f>VLOOKUP(A16,[143]WRDS!$A$1:$N$39,2,FALSE)</f>
        <v>CNL</v>
      </c>
      <c r="C16" t="str">
        <f>VLOOKUP(A16,[143]WRDS!$A$1:$N$39,3,FALSE)</f>
        <v>CENT LA ELEC INC</v>
      </c>
      <c r="D16">
        <f>VLOOKUP($A16,[143]WRDS!$A$1:$N$39,13,FALSE)</f>
        <v>0.71250000000000002</v>
      </c>
      <c r="E16">
        <f>VLOOKUP(A16,[127]WRDS!$A$1:$N$39,13,FALSE)</f>
        <v>0.88</v>
      </c>
      <c r="F16" s="1">
        <f t="shared" si="3"/>
        <v>0.87432578545751949</v>
      </c>
      <c r="G16" s="1">
        <f t="shared" si="4"/>
        <v>0.87432578545751949</v>
      </c>
      <c r="H16" s="2">
        <f t="shared" si="0"/>
        <v>5.4203492985100965E-2</v>
      </c>
      <c r="I16" s="2">
        <f>VLOOKUP($A16,[144]WRDS!$A$1:$O$34,10,FALSE)/100</f>
        <v>5.2499999999999998E-2</v>
      </c>
      <c r="J16" s="2">
        <f>VLOOKUP($A16,[144]WRDS!$A$1:$O$34,9,FALSE)/100</f>
        <v>5.2499999999999998E-2</v>
      </c>
      <c r="K16" s="2">
        <f t="shared" si="1"/>
        <v>-3.1427734474034907E-2</v>
      </c>
      <c r="L16" s="2">
        <f t="shared" si="2"/>
        <v>-3.1427734474034907E-2</v>
      </c>
      <c r="M16">
        <f>VLOOKUP($A16,[144]WRDS!$A$1:$O$34,8,FALSE)</f>
        <v>2</v>
      </c>
      <c r="N16">
        <f>VLOOKUP($A16,[144]WRDS!$A$1:$O$34,11,FALSE)</f>
        <v>0</v>
      </c>
    </row>
    <row r="17" spans="1:14" x14ac:dyDescent="0.3">
      <c r="A17" t="s">
        <v>72</v>
      </c>
      <c r="B17" t="str">
        <f>VLOOKUP(A17,[143]WRDS!$A$1:$N$39,2,FALSE)</f>
        <v>EDE</v>
      </c>
      <c r="C17" t="str">
        <f>VLOOKUP(A17,[143]WRDS!$A$1:$N$39,3,FALSE)</f>
        <v>EMPIRE DIST ELEC</v>
      </c>
      <c r="D17">
        <f>VLOOKUP($A17,[143]WRDS!$A$1:$N$39,13,FALSE)</f>
        <v>1.2549999999999999</v>
      </c>
      <c r="E17">
        <f>VLOOKUP(A17,[127]WRDS!$A$1:$N$39,13,FALSE)</f>
        <v>1.4750000000000001</v>
      </c>
      <c r="F17" s="1">
        <f t="shared" si="3"/>
        <v>1.4125135565499998</v>
      </c>
      <c r="G17" s="1">
        <f t="shared" si="4"/>
        <v>1.4125135565499998</v>
      </c>
      <c r="H17" s="2">
        <f t="shared" si="0"/>
        <v>4.1206986645922372E-2</v>
      </c>
      <c r="I17" s="2">
        <f>VLOOKUP($A17,[144]WRDS!$A$1:$O$34,10,FALSE)/100</f>
        <v>0.03</v>
      </c>
      <c r="J17" s="2">
        <f>VLOOKUP($A17,[144]WRDS!$A$1:$O$34,9,FALSE)/100</f>
        <v>0.03</v>
      </c>
      <c r="K17" s="2">
        <f t="shared" si="1"/>
        <v>-0.2719681189556567</v>
      </c>
      <c r="L17" s="2">
        <f t="shared" si="2"/>
        <v>-0.2719681189556567</v>
      </c>
      <c r="M17">
        <f>VLOOKUP($A17,[144]WRDS!$A$1:$O$34,8,FALSE)</f>
        <v>1</v>
      </c>
      <c r="N17">
        <f>VLOOKUP($A17,[144]WRDS!$A$1:$O$34,11,FALSE)</f>
        <v>0</v>
      </c>
    </row>
    <row r="18" spans="1:14" x14ac:dyDescent="0.3">
      <c r="A18" t="s">
        <v>52</v>
      </c>
      <c r="B18" t="str">
        <f>VLOOKUP(A18,[143]WRDS!$A$1:$N$39,2,FALSE)</f>
        <v>SCG</v>
      </c>
      <c r="C18" t="str">
        <f>VLOOKUP(A18,[143]WRDS!$A$1:$N$39,3,FALSE)</f>
        <v>SO CAROLINA EG</v>
      </c>
      <c r="D18">
        <f>VLOOKUP($A18,[143]WRDS!$A$1:$N$39,13,FALSE)</f>
        <v>1.145</v>
      </c>
      <c r="E18">
        <f>VLOOKUP(A18,[127]WRDS!$A$1:$N$39,13,FALSE)</f>
        <v>1.6</v>
      </c>
      <c r="F18" s="1">
        <f t="shared" si="3"/>
        <v>1.386460303117145</v>
      </c>
      <c r="G18" s="1">
        <f t="shared" si="4"/>
        <v>1.3654337977156243</v>
      </c>
      <c r="H18" s="2">
        <f t="shared" si="0"/>
        <v>8.7248016384064764E-2</v>
      </c>
      <c r="I18" s="2">
        <f>VLOOKUP($A18,[144]WRDS!$A$1:$O$34,10,FALSE)/100</f>
        <v>4.9000000000000002E-2</v>
      </c>
      <c r="J18" s="2">
        <f>VLOOKUP($A18,[144]WRDS!$A$1:$O$34,9,FALSE)/100</f>
        <v>4.4999999999999998E-2</v>
      </c>
      <c r="K18" s="2">
        <f t="shared" si="1"/>
        <v>-0.43838264718475012</v>
      </c>
      <c r="L18" s="2">
        <f t="shared" si="2"/>
        <v>-0.48422896170028079</v>
      </c>
      <c r="M18">
        <f>VLOOKUP($A18,[144]WRDS!$A$1:$O$34,8,FALSE)</f>
        <v>10</v>
      </c>
      <c r="N18">
        <f>VLOOKUP($A18,[144]WRDS!$A$1:$O$34,11,FALSE)</f>
        <v>1.3</v>
      </c>
    </row>
    <row r="19" spans="1:14" x14ac:dyDescent="0.3">
      <c r="A19" t="s">
        <v>75</v>
      </c>
      <c r="B19" t="str">
        <f>VLOOKUP(A19,[143]WRDS!$A$1:$N$39,2,FALSE)</f>
        <v>TE</v>
      </c>
      <c r="C19" t="str">
        <f>VLOOKUP(A19,[143]WRDS!$A$1:$N$39,3,FALSE)</f>
        <v>TECO ENERGY INC</v>
      </c>
      <c r="D19">
        <f>VLOOKUP($A19,[143]WRDS!$A$1:$N$39,13,FALSE)</f>
        <v>0.78500000000000003</v>
      </c>
      <c r="E19">
        <f>VLOOKUP(A19,[127]WRDS!$A$1:$N$39,13,FALSE)</f>
        <v>0.97499999999999998</v>
      </c>
      <c r="F19" s="1">
        <f t="shared" si="3"/>
        <v>1.0174834044499848</v>
      </c>
      <c r="G19" s="1">
        <f t="shared" si="4"/>
        <v>0.99104441360000028</v>
      </c>
      <c r="H19" s="2">
        <f t="shared" si="0"/>
        <v>5.5683514624035757E-2</v>
      </c>
      <c r="I19" s="2">
        <f>VLOOKUP($A19,[144]WRDS!$A$1:$O$34,10,FALSE)/100</f>
        <v>6.7000000000000004E-2</v>
      </c>
      <c r="J19" s="2">
        <f>VLOOKUP($A19,[144]WRDS!$A$1:$O$34,9,FALSE)/100</f>
        <v>0.06</v>
      </c>
      <c r="K19" s="2">
        <f t="shared" si="1"/>
        <v>0.20322864769529997</v>
      </c>
      <c r="L19" s="2">
        <f t="shared" si="2"/>
        <v>7.7518191965940175E-2</v>
      </c>
      <c r="M19">
        <f>VLOOKUP($A19,[144]WRDS!$A$1:$O$34,8,FALSE)</f>
        <v>12</v>
      </c>
      <c r="N19">
        <f>VLOOKUP($A19,[144]WRDS!$A$1:$O$34,11,FALSE)</f>
        <v>1.9</v>
      </c>
    </row>
    <row r="20" spans="1:14" x14ac:dyDescent="0.3">
      <c r="A20" t="s">
        <v>78</v>
      </c>
      <c r="B20" t="str">
        <f>VLOOKUP(A20,[143]WRDS!$A$1:$N$39,2,FALSE)</f>
        <v>NU</v>
      </c>
      <c r="C20" t="str">
        <f>VLOOKUP(A20,[143]WRDS!$A$1:$N$39,3,FALSE)</f>
        <v>NORTHEAST UTILS</v>
      </c>
      <c r="D20">
        <f>VLOOKUP($A20,[143]WRDS!$A$1:$N$39,13,FALSE)</f>
        <v>2.37</v>
      </c>
      <c r="E20">
        <f>VLOOKUP(A20,[127]WRDS!$A$1:$N$39,13,FALSE)</f>
        <v>2.0699999999999998</v>
      </c>
      <c r="F20" s="1">
        <f t="shared" si="3"/>
        <v>2.9471620674355208</v>
      </c>
      <c r="G20" s="1">
        <f t="shared" si="4"/>
        <v>2.8807498125</v>
      </c>
      <c r="H20" s="2">
        <f t="shared" si="0"/>
        <v>-3.3269323662866501E-2</v>
      </c>
      <c r="I20" s="2">
        <f>VLOOKUP($A20,[144]WRDS!$A$1:$O$34,10,FALSE)/100</f>
        <v>5.5999999999999994E-2</v>
      </c>
      <c r="J20" s="2">
        <f>VLOOKUP($A20,[144]WRDS!$A$1:$O$34,9,FALSE)/100</f>
        <v>0.05</v>
      </c>
      <c r="K20" s="2">
        <f t="shared" si="1"/>
        <v>2.6832322943343838</v>
      </c>
      <c r="L20" s="2">
        <f t="shared" si="2"/>
        <v>2.5028859770842717</v>
      </c>
      <c r="M20">
        <f>VLOOKUP($A20,[144]WRDS!$A$1:$O$34,8,FALSE)</f>
        <v>11</v>
      </c>
      <c r="N20">
        <f>VLOOKUP($A20,[144]WRDS!$A$1:$O$34,11,FALSE)</f>
        <v>1.6</v>
      </c>
    </row>
    <row r="21" spans="1:14" x14ac:dyDescent="0.3">
      <c r="A21" t="s">
        <v>74</v>
      </c>
      <c r="B21" t="str">
        <f>VLOOKUP(A21,[143]WRDS!$A$1:$N$39,2,FALSE)</f>
        <v>PGN</v>
      </c>
      <c r="C21" t="str">
        <f>VLOOKUP(A21,[143]WRDS!$A$1:$N$39,3,FALSE)</f>
        <v>PORTLD GEN ELEC</v>
      </c>
      <c r="D21">
        <f>VLOOKUP($A21,[143]WRDS!$A$1:$N$39,13,FALSE)</f>
        <v>3.01</v>
      </c>
      <c r="E21">
        <f>VLOOKUP(A21,[127]WRDS!$A$1:$N$39,13,FALSE)</f>
        <v>1.69</v>
      </c>
      <c r="F21" s="1">
        <f t="shared" si="3"/>
        <v>3.4674125538841603</v>
      </c>
      <c r="G21" s="1">
        <f t="shared" si="4"/>
        <v>3.4274235911022082</v>
      </c>
      <c r="H21" s="2">
        <f t="shared" si="0"/>
        <v>-0.13437447876376385</v>
      </c>
      <c r="I21" s="2">
        <f>VLOOKUP($A21,[144]WRDS!$A$1:$O$34,10,FALSE)/100</f>
        <v>3.6000000000000004E-2</v>
      </c>
      <c r="J21" s="2">
        <f>VLOOKUP($A21,[144]WRDS!$A$1:$O$34,9,FALSE)/100</f>
        <v>3.3000000000000002E-2</v>
      </c>
      <c r="K21" s="2">
        <f t="shared" si="1"/>
        <v>1.2679080159506297</v>
      </c>
      <c r="L21" s="2">
        <f t="shared" si="2"/>
        <v>1.2455823479547439</v>
      </c>
      <c r="M21">
        <f>VLOOKUP($A21,[144]WRDS!$A$1:$O$34,8,FALSE)</f>
        <v>6</v>
      </c>
      <c r="N21">
        <f>VLOOKUP($A21,[144]WRDS!$A$1:$O$34,11,FALSE)</f>
        <v>0.8</v>
      </c>
    </row>
    <row r="22" spans="1:14" x14ac:dyDescent="0.3">
      <c r="A22" t="s">
        <v>86</v>
      </c>
      <c r="B22" t="str">
        <f>VLOOKUP(A22,[143]WRDS!$A$1:$N$39,2,FALSE)</f>
        <v>DPL</v>
      </c>
      <c r="C22" t="str">
        <f>VLOOKUP(A22,[143]WRDS!$A$1:$N$39,3,FALSE)</f>
        <v>DAYTON P &amp; L</v>
      </c>
      <c r="D22">
        <f>VLOOKUP($A22,[143]WRDS!$A$1:$N$39,13,FALSE)</f>
        <v>0.8296</v>
      </c>
      <c r="E22">
        <f>VLOOKUP(A22,[127]WRDS!$A$1:$N$39,13,FALSE)</f>
        <v>0.77</v>
      </c>
      <c r="F22" s="1">
        <f t="shared" si="3"/>
        <v>0.95936477611916526</v>
      </c>
      <c r="G22" s="1">
        <f t="shared" si="4"/>
        <v>0.97051466137600018</v>
      </c>
      <c r="H22" s="2">
        <f t="shared" si="0"/>
        <v>-1.8465666776146805E-2</v>
      </c>
      <c r="I22" s="2">
        <f>VLOOKUP($A22,[144]WRDS!$A$1:$O$34,10,FALSE)/100</f>
        <v>3.7000000000000005E-2</v>
      </c>
      <c r="J22" s="2">
        <f>VLOOKUP($A22,[144]WRDS!$A$1:$O$34,9,FALSE)/100</f>
        <v>0.04</v>
      </c>
      <c r="K22" s="2">
        <f t="shared" si="1"/>
        <v>3.0037186010415335</v>
      </c>
      <c r="L22" s="2">
        <f t="shared" si="2"/>
        <v>3.1661822713962526</v>
      </c>
      <c r="M22">
        <f>VLOOKUP($A22,[144]WRDS!$A$1:$O$34,8,FALSE)</f>
        <v>7</v>
      </c>
      <c r="N22">
        <f>VLOOKUP($A22,[144]WRDS!$A$1:$O$34,11,FALSE)</f>
        <v>1.4</v>
      </c>
    </row>
    <row r="23" spans="1:14" x14ac:dyDescent="0.3">
      <c r="A23" t="s">
        <v>79</v>
      </c>
      <c r="B23" t="str">
        <f>VLOOKUP(A23,[143]WRDS!$A$1:$N$39,2,FALSE)</f>
        <v>UIL</v>
      </c>
      <c r="C23" t="str">
        <f>VLOOKUP(A23,[143]WRDS!$A$1:$N$39,3,FALSE)</f>
        <v>UTD ILLUM CO</v>
      </c>
      <c r="D23">
        <f>VLOOKUP($A23,[143]WRDS!$A$1:$N$39,13,FALSE)</f>
        <v>3.4020000000000001</v>
      </c>
      <c r="E23">
        <f>VLOOKUP(A23,[127]WRDS!$A$1:$N$39,13,FALSE)</f>
        <v>3.5939999999999999</v>
      </c>
      <c r="F23" s="1">
        <f t="shared" si="3"/>
        <v>3.9038732481262493</v>
      </c>
      <c r="G23" s="1">
        <f t="shared" si="4"/>
        <v>3.9038732481262493</v>
      </c>
      <c r="H23" s="2">
        <f t="shared" si="0"/>
        <v>1.382020172835019E-2</v>
      </c>
      <c r="I23" s="2">
        <f>VLOOKUP($A23,[144]WRDS!$A$1:$O$34,10,FALSE)/100</f>
        <v>3.5000000000000003E-2</v>
      </c>
      <c r="J23" s="2">
        <f>VLOOKUP($A23,[144]WRDS!$A$1:$O$34,9,FALSE)/100</f>
        <v>3.5000000000000003E-2</v>
      </c>
      <c r="K23" s="2">
        <f t="shared" si="1"/>
        <v>1.5325245382057233</v>
      </c>
      <c r="L23" s="2">
        <f t="shared" si="2"/>
        <v>1.5325245382057233</v>
      </c>
      <c r="M23">
        <f>VLOOKUP($A23,[144]WRDS!$A$1:$O$34,8,FALSE)</f>
        <v>1</v>
      </c>
      <c r="N23">
        <f>VLOOKUP($A23,[144]WRDS!$A$1:$O$34,11,FALSE)</f>
        <v>0</v>
      </c>
    </row>
    <row r="24" spans="1:14" x14ac:dyDescent="0.3">
      <c r="A24" t="s">
        <v>89</v>
      </c>
      <c r="B24" t="str">
        <f>VLOOKUP(A24,[143]WRDS!$A$1:$N$39,2,FALSE)</f>
        <v>FPL</v>
      </c>
      <c r="C24" t="str">
        <f>VLOOKUP(A24,[143]WRDS!$A$1:$N$39,3,FALSE)</f>
        <v>FLA PWR &amp; LT</v>
      </c>
      <c r="D24">
        <f>VLOOKUP($A24,[143]WRDS!$A$1:$N$39,13,FALSE)</f>
        <v>0.31380000000000002</v>
      </c>
      <c r="E24">
        <f>VLOOKUP(A24,[127]WRDS!$A$1:$N$39,13,FALSE)</f>
        <v>0.38750000000000001</v>
      </c>
      <c r="F24" s="1">
        <f t="shared" si="3"/>
        <v>0.40217905663918097</v>
      </c>
      <c r="G24" s="1">
        <f t="shared" si="4"/>
        <v>0.39616527004800012</v>
      </c>
      <c r="H24" s="2">
        <f t="shared" si="0"/>
        <v>5.4155531286881331E-2</v>
      </c>
      <c r="I24" s="2">
        <f>VLOOKUP($A24,[144]WRDS!$A$1:$O$34,10,FALSE)/100</f>
        <v>6.4000000000000001E-2</v>
      </c>
      <c r="J24" s="2">
        <f>VLOOKUP($A24,[144]WRDS!$A$1:$O$34,9,FALSE)/100</f>
        <v>0.06</v>
      </c>
      <c r="K24" s="2">
        <f t="shared" si="1"/>
        <v>0.18178140771935147</v>
      </c>
      <c r="L24" s="2">
        <f t="shared" si="2"/>
        <v>0.10792006973689194</v>
      </c>
      <c r="M24">
        <f>VLOOKUP($A24,[144]WRDS!$A$1:$O$34,8,FALSE)</f>
        <v>15</v>
      </c>
      <c r="N24">
        <f>VLOOKUP($A24,[144]WRDS!$A$1:$O$34,11,FALSE)</f>
        <v>1.4</v>
      </c>
    </row>
    <row r="25" spans="1:14" x14ac:dyDescent="0.3">
      <c r="A25" t="s">
        <v>91</v>
      </c>
      <c r="B25" t="str">
        <f>VLOOKUP(A25,[143]WRDS!$A$1:$N$39,2,FALSE)</f>
        <v>PSD</v>
      </c>
      <c r="C25" t="str">
        <f>VLOOKUP(A25,[143]WRDS!$A$1:$N$39,3,FALSE)</f>
        <v>PUGET SOUND P&amp;L</v>
      </c>
      <c r="D25">
        <f>VLOOKUP($A25,[143]WRDS!$A$1:$N$39,13,FALSE)</f>
        <v>1.93</v>
      </c>
      <c r="E25">
        <f>VLOOKUP(A25,[127]WRDS!$A$1:$N$39,13,FALSE)</f>
        <v>2.13</v>
      </c>
      <c r="F25" s="1">
        <f t="shared" si="3"/>
        <v>2.2405091561524801</v>
      </c>
      <c r="G25" s="1">
        <f t="shared" si="4"/>
        <v>2.2318876782907293</v>
      </c>
      <c r="H25" s="2">
        <f t="shared" si="0"/>
        <v>2.4956829560173643E-2</v>
      </c>
      <c r="I25" s="2">
        <f>VLOOKUP($A25,[144]WRDS!$A$1:$O$34,10,FALSE)/100</f>
        <v>3.7999999999999999E-2</v>
      </c>
      <c r="J25" s="2">
        <f>VLOOKUP($A25,[144]WRDS!$A$1:$O$34,9,FALSE)/100</f>
        <v>3.7000000000000005E-2</v>
      </c>
      <c r="K25" s="2">
        <f t="shared" si="1"/>
        <v>0.52262930306823818</v>
      </c>
      <c r="L25" s="2">
        <f t="shared" si="2"/>
        <v>0.48256011088223211</v>
      </c>
      <c r="M25">
        <f>VLOOKUP($A25,[144]WRDS!$A$1:$O$34,8,FALSE)</f>
        <v>4</v>
      </c>
      <c r="N25">
        <f>VLOOKUP($A25,[144]WRDS!$A$1:$O$34,11,FALSE)</f>
        <v>1.5</v>
      </c>
    </row>
    <row r="26" spans="1:14" x14ac:dyDescent="0.3">
      <c r="A26" t="s">
        <v>88</v>
      </c>
      <c r="B26" t="str">
        <f>VLOOKUP(A26,[143]WRDS!$A$1:$N$39,2,FALSE)</f>
        <v>CIN</v>
      </c>
      <c r="C26" t="str">
        <f>VLOOKUP(A26,[143]WRDS!$A$1:$N$39,3,FALSE)</f>
        <v>CINN GAS &amp; EL</v>
      </c>
      <c r="D26">
        <f>VLOOKUP($A26,[143]WRDS!$A$1:$N$39,13,FALSE)</f>
        <v>1.96</v>
      </c>
      <c r="E26">
        <f>VLOOKUP(A26,[127]WRDS!$A$1:$N$39,13,FALSE)</f>
        <v>1.4730000000000001</v>
      </c>
      <c r="F26" s="1">
        <f t="shared" si="3"/>
        <v>2.2929227776000003</v>
      </c>
      <c r="G26" s="1">
        <f t="shared" si="4"/>
        <v>2.2929227776000003</v>
      </c>
      <c r="H26" s="2">
        <f t="shared" si="0"/>
        <v>-6.8920705434547092E-2</v>
      </c>
      <c r="I26" s="2">
        <f>VLOOKUP($A26,[144]WRDS!$A$1:$O$34,10,FALSE)/100</f>
        <v>0.04</v>
      </c>
      <c r="J26" s="2">
        <f>VLOOKUP($A26,[144]WRDS!$A$1:$O$34,9,FALSE)/100</f>
        <v>0.04</v>
      </c>
      <c r="K26" s="2">
        <f t="shared" si="1"/>
        <v>1.5803771123321912</v>
      </c>
      <c r="L26" s="2">
        <f t="shared" si="2"/>
        <v>1.5803771123321912</v>
      </c>
      <c r="M26">
        <f>VLOOKUP($A26,[144]WRDS!$A$1:$O$34,8,FALSE)</f>
        <v>13</v>
      </c>
      <c r="N26" s="5">
        <f>VLOOKUP($A26,[144]WRDS!$A$1:$O$34,11,FALSE)</f>
        <v>1</v>
      </c>
    </row>
    <row r="27" spans="1:14" x14ac:dyDescent="0.3">
      <c r="A27" t="s">
        <v>135</v>
      </c>
      <c r="B27" t="str">
        <f>VLOOKUP(A27,'[5]Ticker List'!$H$4:$I$20,2,FALSE)</f>
        <v>NI</v>
      </c>
      <c r="C27" t="str">
        <f>VLOOKUP(A27,[129]kopexrsrcfpypzx0!$B$1:$N$10,2,FALSE)</f>
        <v>NORTHN IND PUB</v>
      </c>
      <c r="D27">
        <f>VLOOKUP(A27,[145]yemkkduluqectreq!$B$2:$N$10,12,FALSE)</f>
        <v>0.86499999999999999</v>
      </c>
      <c r="E27">
        <f>VLOOKUP(A27,[129]kopexrsrcfpypzx0!$B$1:$N$10,12,FALSE)</f>
        <v>0.26500000000000001</v>
      </c>
      <c r="F27" s="1">
        <f t="shared" si="3"/>
        <v>1.1253849896102401</v>
      </c>
      <c r="G27" s="1">
        <f t="shared" si="4"/>
        <v>1.0920425704000003</v>
      </c>
      <c r="H27" s="2">
        <f t="shared" si="0"/>
        <v>-0.25602654253553292</v>
      </c>
      <c r="I27" s="2">
        <f>VLOOKUP(A27,[146]vrkpxlkalu4tnnje!$B$2:$K$10,9,FALSE)/100</f>
        <v>6.8000000000000005E-2</v>
      </c>
      <c r="J27" s="2">
        <f>VLOOKUP(A27,[146]vrkpxlkalu4tnnje!$B$2:$K$10,8,FALSE)/100</f>
        <v>0.06</v>
      </c>
      <c r="K27" s="2">
        <f t="shared" si="1"/>
        <v>1.2655974623824893</v>
      </c>
      <c r="L27" s="2">
        <f t="shared" si="2"/>
        <v>1.2343507021021964</v>
      </c>
      <c r="M27">
        <f>VLOOKUP(A27,[146]vrkpxlkalu4tnnje!$B$2:$K$10,7,FALSE)</f>
        <v>11</v>
      </c>
      <c r="N27">
        <f>VLOOKUP(A27,[146]vrkpxlkalu4tnnje!$B$2:$K$10,10,FALSE)</f>
        <v>3.9</v>
      </c>
    </row>
    <row r="28" spans="1:14" x14ac:dyDescent="0.3">
      <c r="A28" t="s">
        <v>138</v>
      </c>
      <c r="B28" t="str">
        <f>VLOOKUP(A28,'[5]Ticker List'!$H$4:$I$20,2,FALSE)</f>
        <v>SJI</v>
      </c>
      <c r="C28" t="str">
        <f>VLOOKUP(A28,[129]kopexrsrcfpypzx0!$B$1:$N$10,2,FALSE)</f>
        <v>SO JERSEY INDS</v>
      </c>
      <c r="D28">
        <f>VLOOKUP(A28,[145]yemkkduluqectreq!$B$2:$N$10,12,FALSE)</f>
        <v>0.35170000000000001</v>
      </c>
      <c r="E28">
        <f>VLOOKUP(A28,[129]kopexrsrcfpypzx0!$B$1:$N$10,12,FALSE)</f>
        <v>0.39219999999999999</v>
      </c>
      <c r="F28" s="1">
        <f t="shared" si="3"/>
        <v>0.45245021551481235</v>
      </c>
      <c r="G28" s="1">
        <f t="shared" si="4"/>
        <v>0.45245021551481235</v>
      </c>
      <c r="H28" s="2">
        <f t="shared" si="0"/>
        <v>2.7622974635759245E-2</v>
      </c>
      <c r="I28" s="2">
        <f>VLOOKUP(A28,[146]vrkpxlkalu4tnnje!$B$2:$K$10,9,FALSE)/100</f>
        <v>6.5000000000000002E-2</v>
      </c>
      <c r="J28" s="2">
        <f>VLOOKUP(A28,[146]vrkpxlkalu4tnnje!$B$2:$K$10,8,FALSE)/100</f>
        <v>6.5000000000000002E-2</v>
      </c>
      <c r="K28" s="2">
        <f t="shared" si="1"/>
        <v>1.3531136981842076</v>
      </c>
      <c r="L28" s="2">
        <f t="shared" si="2"/>
        <v>1.3531136981842076</v>
      </c>
      <c r="M28">
        <f>VLOOKUP(A28,[146]vrkpxlkalu4tnnje!$B$2:$K$10,7,FALSE)</f>
        <v>2</v>
      </c>
      <c r="N28">
        <f>VLOOKUP(A28,[146]vrkpxlkalu4tnnje!$B$2:$K$10,10,FALSE)</f>
        <v>2.12</v>
      </c>
    </row>
    <row r="29" spans="1:14" x14ac:dyDescent="0.3">
      <c r="A29" t="s">
        <v>143</v>
      </c>
      <c r="B29" t="str">
        <f>VLOOKUP(A29,'[5]Ticker List'!$H$4:$I$20,2,FALSE)</f>
        <v>LG</v>
      </c>
      <c r="C29" t="str">
        <f>VLOOKUP(A29,[129]kopexrsrcfpypzx0!$B$1:$N$10,2,FALSE)</f>
        <v>LACLEDE GAS</v>
      </c>
      <c r="D29">
        <f>VLOOKUP(A29,[145]yemkkduluqectreq!$B$2:$N$10,12,FALSE)</f>
        <v>1.6950000000000001</v>
      </c>
      <c r="E29">
        <f>VLOOKUP(A29,[129]kopexrsrcfpypzx0!$B$1:$N$10,12,FALSE)</f>
        <v>1.57</v>
      </c>
      <c r="F29" s="1">
        <f t="shared" si="3"/>
        <v>2.2217992369499999</v>
      </c>
      <c r="G29" s="1">
        <f t="shared" si="4"/>
        <v>2.2217992369499999</v>
      </c>
      <c r="H29" s="2">
        <f t="shared" si="0"/>
        <v>-1.8969550220637399E-2</v>
      </c>
      <c r="I29" s="2">
        <f>VLOOKUP(A29,[146]vrkpxlkalu4tnnje!$B$2:$K$10,9,FALSE)/100</f>
        <v>7.0000000000000007E-2</v>
      </c>
      <c r="J29" s="2">
        <f>VLOOKUP(A29,[146]vrkpxlkalu4tnnje!$B$2:$K$10,8,FALSE)/100</f>
        <v>7.0000000000000007E-2</v>
      </c>
      <c r="K29" s="2">
        <f t="shared" si="1"/>
        <v>4.6901243933472623</v>
      </c>
      <c r="L29" s="2">
        <f t="shared" si="2"/>
        <v>4.6901243933472623</v>
      </c>
      <c r="M29">
        <f>VLOOKUP(A29,[146]vrkpxlkalu4tnnje!$B$2:$K$10,7,FALSE)</f>
        <v>1</v>
      </c>
      <c r="N29">
        <f>VLOOKUP(A29,[146]vrkpxlkalu4tnnje!$B$2:$K$10,10,FALSE)</f>
        <v>0</v>
      </c>
    </row>
    <row r="30" spans="1:14" x14ac:dyDescent="0.3">
      <c r="A30" t="s">
        <v>144</v>
      </c>
      <c r="B30" t="str">
        <f>VLOOKUP(A30,'[5]Ticker List'!$H$4:$I$20,2,FALSE)</f>
        <v>GAS</v>
      </c>
      <c r="C30" t="str">
        <f>VLOOKUP(A30,[129]kopexrsrcfpypzx0!$B$1:$N$10,2,FALSE)</f>
        <v>NICOR INC</v>
      </c>
      <c r="D30">
        <f>VLOOKUP(A30,[145]yemkkduluqectreq!$B$2:$N$10,12,FALSE)</f>
        <v>0.83</v>
      </c>
      <c r="E30">
        <f>VLOOKUP(A30,[129]kopexrsrcfpypzx0!$B$1:$N$10,12,FALSE)</f>
        <v>1.34</v>
      </c>
      <c r="F30" s="1">
        <f t="shared" si="3"/>
        <v>1.03604362224083</v>
      </c>
      <c r="G30" s="1">
        <f t="shared" si="4"/>
        <v>1.0439072956896298</v>
      </c>
      <c r="H30" s="2">
        <f t="shared" si="0"/>
        <v>0.12721478494389804</v>
      </c>
      <c r="I30" s="2">
        <f>VLOOKUP(A30,[146]vrkpxlkalu4tnnje!$B$2:$K$10,9,FALSE)/100</f>
        <v>5.7000000000000002E-2</v>
      </c>
      <c r="J30" s="2">
        <f>VLOOKUP(A30,[146]vrkpxlkalu4tnnje!$B$2:$K$10,8,FALSE)/100</f>
        <v>5.9000000000000004E-2</v>
      </c>
      <c r="K30" s="2">
        <f t="shared" si="1"/>
        <v>-0.55193887231631844</v>
      </c>
      <c r="L30" s="2">
        <f t="shared" si="2"/>
        <v>-0.53621742923969795</v>
      </c>
      <c r="M30">
        <f>VLOOKUP(A30,[146]vrkpxlkalu4tnnje!$B$2:$K$10,7,FALSE)</f>
        <v>4</v>
      </c>
      <c r="N30">
        <f>VLOOKUP(A30,[146]vrkpxlkalu4tnnje!$B$2:$K$10,10,FALSE)</f>
        <v>3.8</v>
      </c>
    </row>
    <row r="31" spans="1:14" x14ac:dyDescent="0.3">
      <c r="A31" t="s">
        <v>146</v>
      </c>
      <c r="B31" t="str">
        <f>VLOOKUP(A31,'[5]Ticker List'!$H$4:$I$20,2,FALSE)</f>
        <v>PNY</v>
      </c>
      <c r="C31" t="str">
        <f>VLOOKUP(A31,[129]kopexrsrcfpypzx0!$B$1:$N$10,2,FALSE)</f>
        <v>PIEDMONT NAT GAS</v>
      </c>
      <c r="D31">
        <f>VLOOKUP(A31,[145]yemkkduluqectreq!$B$2:$N$10,12,FALSE)</f>
        <v>0.51749999999999996</v>
      </c>
      <c r="E31">
        <f>VLOOKUP(A31,[129]kopexrsrcfpypzx0!$B$1:$N$10,12,FALSE)</f>
        <v>0.59250000000000003</v>
      </c>
      <c r="F31" s="1">
        <f t="shared" si="3"/>
        <v>0.67327945910208009</v>
      </c>
      <c r="G31" s="1">
        <f t="shared" si="4"/>
        <v>0.69110528027343743</v>
      </c>
      <c r="H31" s="2">
        <f t="shared" si="0"/>
        <v>3.4414262914384208E-2</v>
      </c>
      <c r="I31" s="2">
        <f>VLOOKUP(A31,[146]vrkpxlkalu4tnnje!$B$2:$K$10,9,FALSE)/100</f>
        <v>6.8000000000000005E-2</v>
      </c>
      <c r="J31" s="2">
        <f>VLOOKUP(A31,[146]vrkpxlkalu4tnnje!$B$2:$K$10,8,FALSE)/100</f>
        <v>7.4999999999999997E-2</v>
      </c>
      <c r="K31" s="2">
        <f t="shared" si="1"/>
        <v>0.97592492883460502</v>
      </c>
      <c r="L31" s="2">
        <f t="shared" si="2"/>
        <v>1.1793289656264023</v>
      </c>
      <c r="M31">
        <f>VLOOKUP(A31,[146]vrkpxlkalu4tnnje!$B$2:$K$10,7,FALSE)</f>
        <v>3</v>
      </c>
      <c r="N31">
        <f>VLOOKUP(A31,[146]vrkpxlkalu4tnnje!$B$2:$K$10,10,FALSE)</f>
        <v>1.6</v>
      </c>
    </row>
    <row r="32" spans="1:14" x14ac:dyDescent="0.3">
      <c r="A32" t="s">
        <v>145</v>
      </c>
      <c r="B32" t="str">
        <f>VLOOKUP(A32,'[5]Ticker List'!$H$4:$I$20,2,FALSE)</f>
        <v>WGL</v>
      </c>
      <c r="C32" t="str">
        <f>VLOOKUP(A32,[129]kopexrsrcfpypzx0!$B$1:$N$10,2,FALSE)</f>
        <v>WASH GAS LT</v>
      </c>
      <c r="D32">
        <f>VLOOKUP(A32,[145]yemkkduluqectreq!$B$2:$N$10,12,FALSE)</f>
        <v>1.0649999999999999</v>
      </c>
      <c r="E32">
        <f>VLOOKUP(A32,[129]kopexrsrcfpypzx0!$B$1:$N$10,12,FALSE)</f>
        <v>1.135</v>
      </c>
      <c r="F32" s="1">
        <f t="shared" si="3"/>
        <v>1.4489207424000003</v>
      </c>
      <c r="G32" s="1">
        <f t="shared" si="4"/>
        <v>1.4489207424000003</v>
      </c>
      <c r="H32" s="2">
        <f t="shared" si="0"/>
        <v>1.6041772465997806E-2</v>
      </c>
      <c r="I32" s="2">
        <f>VLOOKUP(A32,[146]vrkpxlkalu4tnnje!$B$2:$K$10,9,FALSE)/100</f>
        <v>0.08</v>
      </c>
      <c r="J32" s="2">
        <f>VLOOKUP(A32,[146]vrkpxlkalu4tnnje!$B$2:$K$10,8,FALSE)/100</f>
        <v>0.08</v>
      </c>
      <c r="K32" s="2">
        <f t="shared" si="1"/>
        <v>3.9869800964680349</v>
      </c>
      <c r="L32" s="2">
        <f t="shared" si="2"/>
        <v>3.9869800964680349</v>
      </c>
      <c r="M32">
        <f>VLOOKUP(A32,[146]vrkpxlkalu4tnnje!$B$2:$K$10,7,FALSE)</f>
        <v>2</v>
      </c>
      <c r="N32">
        <f>VLOOKUP(A32,[146]vrkpxlkalu4tnnje!$B$2:$K$10,10,FALSE)</f>
        <v>0</v>
      </c>
    </row>
    <row r="33" spans="1:14" x14ac:dyDescent="0.3">
      <c r="A33" t="s">
        <v>149</v>
      </c>
      <c r="B33" t="str">
        <f>VLOOKUP(A33,'[5]Ticker List'!$H$4:$I$20,2,FALSE)</f>
        <v>CGC</v>
      </c>
      <c r="C33" t="str">
        <f>VLOOKUP(A33,[129]kopexrsrcfpypzx0!$B$1:$N$10,2,FALSE)</f>
        <v>CASCADE NAT GAS</v>
      </c>
      <c r="D33">
        <f>VLOOKUP(A33,[145]yemkkduluqectreq!$B$2:$N$10,12,FALSE)</f>
        <v>0.40670000000000001</v>
      </c>
      <c r="E33">
        <f>VLOOKUP(A33,[129]kopexrsrcfpypzx0!$B$1:$N$10,12,FALSE)</f>
        <v>0.64</v>
      </c>
      <c r="F33" s="1">
        <f t="shared" si="3"/>
        <v>0.53810047551807427</v>
      </c>
      <c r="G33" s="1">
        <f t="shared" si="4"/>
        <v>0.53810047551807427</v>
      </c>
      <c r="H33" s="2">
        <f t="shared" si="0"/>
        <v>0.12002173443039088</v>
      </c>
      <c r="I33" s="2">
        <f>VLOOKUP(A33,[146]vrkpxlkalu4tnnje!$B$2:$K$10,9,FALSE)/100</f>
        <v>7.2499999999999995E-2</v>
      </c>
      <c r="J33" s="2">
        <f>VLOOKUP(A33,[146]vrkpxlkalu4tnnje!$B$2:$K$10,8,FALSE)/100</f>
        <v>7.2499999999999995E-2</v>
      </c>
      <c r="K33" s="2">
        <f t="shared" si="1"/>
        <v>-0.39594274033718546</v>
      </c>
      <c r="L33" s="2">
        <f t="shared" si="2"/>
        <v>-0.39594274033718546</v>
      </c>
      <c r="M33">
        <f>VLOOKUP(A33,[146]vrkpxlkalu4tnnje!$B$2:$K$10,7,FALSE)</f>
        <v>2</v>
      </c>
      <c r="N33">
        <f>VLOOKUP(A33,[146]vrkpxlkalu4tnnje!$B$2:$K$10,10,FALSE)</f>
        <v>5.3</v>
      </c>
    </row>
  </sheetData>
  <mergeCells count="3">
    <mergeCell ref="P1:Q1"/>
    <mergeCell ref="P7:Q7"/>
    <mergeCell ref="P13:Q13"/>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1983EE-A03C-4F07-A351-6743E578FDCE}">
  <dimension ref="A1:Q36"/>
  <sheetViews>
    <sheetView workbookViewId="0">
      <selection activeCell="A29" sqref="A29"/>
    </sheetView>
  </sheetViews>
  <sheetFormatPr defaultRowHeight="14.4" x14ac:dyDescent="0.3"/>
  <cols>
    <col min="1" max="1" width="13.33203125" bestFit="1" customWidth="1"/>
    <col min="2" max="2" width="10.44140625" bestFit="1" customWidth="1"/>
    <col min="3" max="3" width="15.109375" bestFit="1" customWidth="1"/>
    <col min="4" max="5" width="15.44140625" bestFit="1" customWidth="1"/>
    <col min="6" max="6" width="14.33203125" bestFit="1" customWidth="1"/>
    <col min="7" max="7" width="16" bestFit="1" customWidth="1"/>
    <col min="8" max="8" width="18.33203125" bestFit="1" customWidth="1"/>
    <col min="9" max="9" width="21.44140625" bestFit="1" customWidth="1"/>
    <col min="10" max="10" width="23.109375" bestFit="1" customWidth="1"/>
    <col min="11" max="11" width="22" bestFit="1" customWidth="1"/>
    <col min="12" max="12" width="24.109375" bestFit="1" customWidth="1"/>
    <col min="13" max="13" width="19.88671875" bestFit="1" customWidth="1"/>
    <col min="16" max="16" width="51.88671875" bestFit="1" customWidth="1"/>
    <col min="17" max="17" width="11" bestFit="1" customWidth="1"/>
  </cols>
  <sheetData>
    <row r="1" spans="1:17" x14ac:dyDescent="0.3">
      <c r="A1" t="s">
        <v>0</v>
      </c>
      <c r="B1" t="s">
        <v>1</v>
      </c>
      <c r="C1" t="s">
        <v>2</v>
      </c>
      <c r="D1" t="s">
        <v>115</v>
      </c>
      <c r="E1" t="s">
        <v>111</v>
      </c>
      <c r="F1" t="s">
        <v>5</v>
      </c>
      <c r="G1" t="s">
        <v>6</v>
      </c>
      <c r="H1" t="s">
        <v>7</v>
      </c>
      <c r="I1" t="s">
        <v>8</v>
      </c>
      <c r="J1" t="s">
        <v>9</v>
      </c>
      <c r="K1" t="s">
        <v>10</v>
      </c>
      <c r="L1" t="s">
        <v>11</v>
      </c>
      <c r="M1" t="s">
        <v>12</v>
      </c>
      <c r="N1" t="s">
        <v>13</v>
      </c>
      <c r="P1" s="111" t="s">
        <v>14</v>
      </c>
      <c r="Q1" s="111"/>
    </row>
    <row r="2" spans="1:17" x14ac:dyDescent="0.3">
      <c r="A2" t="s">
        <v>19</v>
      </c>
      <c r="B2" t="str">
        <f>VLOOKUP(A2,[147]WRDS!$A$1:$N$140,2,FALSE)</f>
        <v>BHP</v>
      </c>
      <c r="C2" t="str">
        <f>VLOOKUP(A2,[147]WRDS!$A$1:$N$140,3,FALSE)</f>
        <v>BLACK HILLS CORP</v>
      </c>
      <c r="D2">
        <f>VLOOKUP(A2,[147]WRDS!$A$1:$N$140,13,FALSE)</f>
        <v>0.60219999999999996</v>
      </c>
      <c r="E2">
        <f>VLOOKUP(A2,[131]WRDS!$A$2:$N$48,13,FALSE)</f>
        <v>0.73780000000000001</v>
      </c>
      <c r="F2" s="1">
        <f>D2*(1+I2)^4</f>
        <v>0.78936135722199996</v>
      </c>
      <c r="G2" s="1">
        <f>D2*(1+J2)^4</f>
        <v>0.78936135722199996</v>
      </c>
      <c r="H2" s="2">
        <f t="shared" ref="H2:H29" si="0">((E2/D2)^(1/4)-1)</f>
        <v>5.2081720391200292E-2</v>
      </c>
      <c r="I2" s="2">
        <f>VLOOKUP(A2,[148]WRDS!$A$1:$O$34,10,FALSE)/100</f>
        <v>7.0000000000000007E-2</v>
      </c>
      <c r="J2" s="2">
        <f>VLOOKUP(A2,[148]WRDS!$A$1:$O$34,9,FALSE)/100</f>
        <v>7.0000000000000007E-2</v>
      </c>
      <c r="K2" s="2">
        <f t="shared" ref="K2:K29" si="1">(I2-H2)/(ABS(H2))</f>
        <v>0.34404162293815432</v>
      </c>
      <c r="L2" s="2">
        <f t="shared" ref="L2:L29" si="2">(J2-H2)/(ABS(H2))</f>
        <v>0.34404162293815432</v>
      </c>
      <c r="M2">
        <f>VLOOKUP(A2,[148]WRDS!$A$1:$O$34,8,FALSE)</f>
        <v>1</v>
      </c>
      <c r="N2">
        <f>VLOOKUP(A2,[148]WRDS!$A$1:$O$34,11,FALSE)</f>
        <v>0</v>
      </c>
      <c r="P2" t="s">
        <v>16</v>
      </c>
      <c r="Q2" s="3">
        <f>AVERAGE(H2:H999)</f>
        <v>3.0584013885024752E-2</v>
      </c>
    </row>
    <row r="3" spans="1:17" x14ac:dyDescent="0.3">
      <c r="A3" t="s">
        <v>21</v>
      </c>
      <c r="B3" t="str">
        <f>VLOOKUP(A3,[147]WRDS!$A$1:$N$140,2,FALSE)</f>
        <v>CMS</v>
      </c>
      <c r="C3" t="str">
        <f>VLOOKUP(A3,[147]WRDS!$A$1:$N$140,3,FALSE)</f>
        <v>CONSUMERS PWR</v>
      </c>
      <c r="D3">
        <f>VLOOKUP(A3,[147]WRDS!$A$1:$N$140,13,FALSE)</f>
        <v>3.16</v>
      </c>
      <c r="E3">
        <f>VLOOKUP(A3,[131]WRDS!$A$2:$N$48,13,FALSE)</f>
        <v>0.74</v>
      </c>
      <c r="F3" s="1">
        <f t="shared" ref="F3:F29" si="3">D3*(1+I3)^4</f>
        <v>3.6683984111097607</v>
      </c>
      <c r="G3" s="1">
        <f t="shared" ref="G3:G29" si="4">D3*(1+J3)^4</f>
        <v>3.6967530496000007</v>
      </c>
      <c r="H3" s="2">
        <f t="shared" si="0"/>
        <v>-0.30435741656437221</v>
      </c>
      <c r="I3" s="2">
        <f>VLOOKUP(A3,[148]WRDS!$A$1:$O$34,10,FALSE)/100</f>
        <v>3.7999999999999999E-2</v>
      </c>
      <c r="J3" s="2">
        <f>VLOOKUP(A3,[148]WRDS!$A$1:$O$34,9,FALSE)/100</f>
        <v>0.04</v>
      </c>
      <c r="K3" s="2">
        <f t="shared" si="1"/>
        <v>1.1248532085366907</v>
      </c>
      <c r="L3" s="2">
        <f t="shared" si="2"/>
        <v>1.1314244300386218</v>
      </c>
      <c r="M3">
        <f>VLOOKUP(A3,[148]WRDS!$A$1:$O$34,8,FALSE)</f>
        <v>10</v>
      </c>
      <c r="N3">
        <f>VLOOKUP(A3,[148]WRDS!$A$1:$O$34,11,FALSE)</f>
        <v>1.5</v>
      </c>
      <c r="P3" t="s">
        <v>18</v>
      </c>
      <c r="Q3" s="3">
        <f>AVERAGE(I2:I999)</f>
        <v>5.5828571428571436E-2</v>
      </c>
    </row>
    <row r="4" spans="1:17" x14ac:dyDescent="0.3">
      <c r="A4" t="s">
        <v>31</v>
      </c>
      <c r="B4" t="str">
        <f>VLOOKUP(A4,[147]WRDS!$A$1:$N$140,2,FALSE)</f>
        <v>ED</v>
      </c>
      <c r="C4" t="str">
        <f>VLOOKUP(A4,[147]WRDS!$A$1:$N$140,3,FALSE)</f>
        <v>CONSOL EDISON</v>
      </c>
      <c r="D4">
        <f>VLOOKUP(A4,[147]WRDS!$A$1:$N$140,13,FALSE)</f>
        <v>1.7749999999999999</v>
      </c>
      <c r="E4">
        <f>VLOOKUP(A4,[131]WRDS!$A$2:$N$48,13,FALSE)</f>
        <v>2.13</v>
      </c>
      <c r="F4" s="1">
        <f t="shared" si="3"/>
        <v>2.2834777723593742</v>
      </c>
      <c r="G4" s="1">
        <f t="shared" si="4"/>
        <v>2.2920663017564005</v>
      </c>
      <c r="H4" s="2">
        <f t="shared" si="0"/>
        <v>4.6635139392105618E-2</v>
      </c>
      <c r="I4" s="2">
        <f>VLOOKUP(A4,[148]WRDS!$A$1:$O$34,10,FALSE)/100</f>
        <v>6.5000000000000002E-2</v>
      </c>
      <c r="J4" s="2">
        <f>VLOOKUP(A4,[148]WRDS!$A$1:$O$34,9,FALSE)/100</f>
        <v>6.6000000000000003E-2</v>
      </c>
      <c r="K4" s="2">
        <f t="shared" si="1"/>
        <v>0.39379877164049354</v>
      </c>
      <c r="L4" s="2">
        <f t="shared" si="2"/>
        <v>0.41524182966573192</v>
      </c>
      <c r="M4">
        <f>VLOOKUP(A4,[148]WRDS!$A$1:$O$34,8,FALSE)</f>
        <v>12</v>
      </c>
      <c r="N4">
        <f>VLOOKUP(A4,[148]WRDS!$A$1:$O$34,11,FALSE)</f>
        <v>1.7</v>
      </c>
      <c r="P4" t="s">
        <v>20</v>
      </c>
      <c r="Q4" s="3">
        <f>(Q3-Q2)/ABS(Q2)</f>
        <v>0.82541675655946212</v>
      </c>
    </row>
    <row r="5" spans="1:17" x14ac:dyDescent="0.3">
      <c r="A5" t="s">
        <v>25</v>
      </c>
      <c r="B5" t="str">
        <f>VLOOKUP(A5,[147]WRDS!$A$1:$N$140,2,FALSE)</f>
        <v>D</v>
      </c>
      <c r="C5" t="str">
        <f>VLOOKUP(A5,[147]WRDS!$A$1:$N$140,3,FALSE)</f>
        <v>DOMINION RES INC</v>
      </c>
      <c r="D5">
        <f>VLOOKUP(A5,[147]WRDS!$A$1:$N$140,13,FALSE)</f>
        <v>0.97</v>
      </c>
      <c r="E5">
        <f>VLOOKUP(A5,[131]WRDS!$A$2:$N$48,13,FALSE)</f>
        <v>1.3232999999999999</v>
      </c>
      <c r="F5" s="1">
        <f t="shared" si="3"/>
        <v>1.1790410625000001</v>
      </c>
      <c r="G5" s="1">
        <f t="shared" si="4"/>
        <v>1.1790410625000001</v>
      </c>
      <c r="H5" s="2">
        <f t="shared" si="0"/>
        <v>8.074104224592471E-2</v>
      </c>
      <c r="I5" s="2">
        <f>VLOOKUP(A5,[148]WRDS!$A$1:$O$34,10,FALSE)/100</f>
        <v>0.05</v>
      </c>
      <c r="J5" s="2">
        <f>VLOOKUP(A5,[148]WRDS!$A$1:$O$34,9,FALSE)/100</f>
        <v>0.05</v>
      </c>
      <c r="K5" s="2">
        <f t="shared" si="1"/>
        <v>-0.38073625743264811</v>
      </c>
      <c r="L5" s="2">
        <f t="shared" si="2"/>
        <v>-0.38073625743264811</v>
      </c>
      <c r="M5">
        <f>VLOOKUP(A5,[148]WRDS!$A$1:$O$34,8,FALSE)</f>
        <v>2</v>
      </c>
      <c r="N5">
        <f>VLOOKUP(A5,[148]WRDS!$A$1:$O$34,11,FALSE)</f>
        <v>0</v>
      </c>
      <c r="P5" t="s">
        <v>22</v>
      </c>
      <c r="Q5" s="3">
        <f>AVERAGE(J2:J999)</f>
        <v>5.574285714285715E-2</v>
      </c>
    </row>
    <row r="6" spans="1:17" x14ac:dyDescent="0.3">
      <c r="A6" t="s">
        <v>27</v>
      </c>
      <c r="B6" t="str">
        <f>VLOOKUP(A6,[147]WRDS!$A$1:$N$140,2,FALSE)</f>
        <v>DTE</v>
      </c>
      <c r="C6" t="str">
        <f>VLOOKUP(A6,[147]WRDS!$A$1:$N$140,3,FALSE)</f>
        <v>DETROIT EDISON</v>
      </c>
      <c r="D6">
        <f>VLOOKUP(A6,[147]WRDS!$A$1:$N$140,13,FALSE)</f>
        <v>1.75</v>
      </c>
      <c r="E6">
        <f>VLOOKUP(A6,[131]WRDS!$A$2:$N$48,13,FALSE)</f>
        <v>2.58</v>
      </c>
      <c r="F6" s="1">
        <f t="shared" si="3"/>
        <v>1.9467932110217494</v>
      </c>
      <c r="G6" s="1">
        <f t="shared" si="4"/>
        <v>1.9696404175</v>
      </c>
      <c r="H6" s="2">
        <f t="shared" si="0"/>
        <v>0.10190819842867582</v>
      </c>
      <c r="I6" s="2">
        <f>VLOOKUP(A6,[148]WRDS!$A$1:$O$34,10,FALSE)/100</f>
        <v>2.7000000000000003E-2</v>
      </c>
      <c r="J6" s="2">
        <f>VLOOKUP(A6,[148]WRDS!$A$1:$O$34,9,FALSE)/100</f>
        <v>0.03</v>
      </c>
      <c r="K6" s="2">
        <f t="shared" si="1"/>
        <v>-0.73505566366285113</v>
      </c>
      <c r="L6" s="2">
        <f t="shared" si="2"/>
        <v>-0.70561740406983453</v>
      </c>
      <c r="M6">
        <f>VLOOKUP(A6,[148]WRDS!$A$1:$O$34,8,FALSE)</f>
        <v>10</v>
      </c>
      <c r="N6">
        <f>VLOOKUP(A6,[148]WRDS!$A$1:$O$34,11,FALSE)</f>
        <v>1.8</v>
      </c>
      <c r="P6" t="s">
        <v>24</v>
      </c>
      <c r="Q6" s="3">
        <f>(Q5-Q2)/ABS(Q2)</f>
        <v>0.82261417197927866</v>
      </c>
    </row>
    <row r="7" spans="1:17" x14ac:dyDescent="0.3">
      <c r="A7" t="s">
        <v>29</v>
      </c>
      <c r="B7" t="str">
        <f>VLOOKUP(A7,[147]WRDS!$A$1:$N$140,2,FALSE)</f>
        <v>DUK</v>
      </c>
      <c r="C7" t="str">
        <f>VLOOKUP(A7,[147]WRDS!$A$1:$N$140,3,FALSE)</f>
        <v>DUKE POWER CO</v>
      </c>
      <c r="D7">
        <f>VLOOKUP(A7,[147]WRDS!$A$1:$N$140,13,FALSE)</f>
        <v>2.3025000000000002</v>
      </c>
      <c r="E7">
        <f>VLOOKUP(A7,[131]WRDS!$A$2:$N$48,13,FALSE)</f>
        <v>3.03</v>
      </c>
      <c r="F7" s="1">
        <f t="shared" si="3"/>
        <v>2.9844019601861018</v>
      </c>
      <c r="G7" s="1">
        <f t="shared" si="4"/>
        <v>2.9844019601861018</v>
      </c>
      <c r="H7" s="2">
        <f t="shared" si="0"/>
        <v>7.1052470783246724E-2</v>
      </c>
      <c r="I7" s="2">
        <f>VLOOKUP(A7,[148]WRDS!$A$1:$O$34,10,FALSE)/100</f>
        <v>6.7000000000000004E-2</v>
      </c>
      <c r="J7" s="2">
        <f>VLOOKUP(A7,[148]WRDS!$A$1:$O$34,9,FALSE)/100</f>
        <v>6.7000000000000004E-2</v>
      </c>
      <c r="K7" s="2">
        <f t="shared" si="1"/>
        <v>-5.7034903059307002E-2</v>
      </c>
      <c r="L7" s="2">
        <f t="shared" si="2"/>
        <v>-5.7034903059307002E-2</v>
      </c>
      <c r="M7">
        <f>VLOOKUP(A7,[148]WRDS!$A$1:$O$34,8,FALSE)</f>
        <v>12</v>
      </c>
      <c r="N7">
        <f>VLOOKUP(A7,[148]WRDS!$A$1:$O$34,11,FALSE)</f>
        <v>1.4</v>
      </c>
      <c r="P7" s="111" t="s">
        <v>26</v>
      </c>
      <c r="Q7" s="111"/>
    </row>
    <row r="8" spans="1:17" x14ac:dyDescent="0.3">
      <c r="A8" t="s">
        <v>36</v>
      </c>
      <c r="B8" t="str">
        <f>VLOOKUP(A8,[147]WRDS!$A$1:$N$140,2,FALSE)</f>
        <v>HE</v>
      </c>
      <c r="C8" t="str">
        <f>VLOOKUP(A8,[147]WRDS!$A$1:$N$140,3,FALSE)</f>
        <v>HAWAIIAN ELEC</v>
      </c>
      <c r="D8">
        <f>VLOOKUP(A8,[147]WRDS!$A$1:$N$140,13,FALSE)</f>
        <v>0.58499999999999996</v>
      </c>
      <c r="E8">
        <f>VLOOKUP(A8,[131]WRDS!$A$2:$N$48,13,FALSE)</f>
        <v>1.2849999999999999</v>
      </c>
      <c r="F8" s="1">
        <f t="shared" si="3"/>
        <v>0.74133994535698489</v>
      </c>
      <c r="G8" s="1">
        <f t="shared" si="4"/>
        <v>0.76681566584999994</v>
      </c>
      <c r="H8" s="2">
        <f t="shared" si="0"/>
        <v>0.21740986152372832</v>
      </c>
      <c r="I8" s="2">
        <f>VLOOKUP(A8,[148]WRDS!$A$1:$O$34,10,FALSE)/100</f>
        <v>6.0999999999999999E-2</v>
      </c>
      <c r="J8" s="2">
        <f>VLOOKUP(A8,[148]WRDS!$A$1:$O$34,9,FALSE)/100</f>
        <v>7.0000000000000007E-2</v>
      </c>
      <c r="K8" s="2">
        <f t="shared" si="1"/>
        <v>-0.71942395081585386</v>
      </c>
      <c r="L8" s="2">
        <f t="shared" si="2"/>
        <v>-0.67802748454278305</v>
      </c>
      <c r="M8">
        <f>VLOOKUP(A8,[148]WRDS!$A$1:$O$34,8,FALSE)</f>
        <v>7</v>
      </c>
      <c r="N8">
        <f>VLOOKUP(A8,[148]WRDS!$A$1:$O$34,11,FALSE)</f>
        <v>1.1000000000000001</v>
      </c>
      <c r="P8" t="s">
        <v>28</v>
      </c>
      <c r="Q8" s="2">
        <f>MEDIAN(H2:H99)</f>
        <v>5.2081720391200292E-2</v>
      </c>
    </row>
    <row r="9" spans="1:17" x14ac:dyDescent="0.3">
      <c r="A9" t="s">
        <v>38</v>
      </c>
      <c r="B9" t="str">
        <f>VLOOKUP(A9,[147]WRDS!$A$1:$N$140,2,FALSE)</f>
        <v>IDA</v>
      </c>
      <c r="C9" t="str">
        <f>VLOOKUP(A9,[147]WRDS!$A$1:$N$140,3,FALSE)</f>
        <v>IDAHO POWER CO</v>
      </c>
      <c r="D9">
        <f>VLOOKUP(A9,[147]WRDS!$A$1:$N$140,13,FALSE)</f>
        <v>2.355</v>
      </c>
      <c r="E9">
        <f>VLOOKUP(A9,[131]WRDS!$A$2:$N$48,13,FALSE)</f>
        <v>2</v>
      </c>
      <c r="F9" s="1">
        <f t="shared" si="3"/>
        <v>2.928509142958081</v>
      </c>
      <c r="G9" s="1">
        <f t="shared" si="4"/>
        <v>2.8625172187499999</v>
      </c>
      <c r="H9" s="2">
        <f t="shared" si="0"/>
        <v>-4.0025336184239313E-2</v>
      </c>
      <c r="I9" s="2">
        <f>VLOOKUP(A9,[148]WRDS!$A$1:$O$34,10,FALSE)/100</f>
        <v>5.5999999999999994E-2</v>
      </c>
      <c r="J9" s="2">
        <f>VLOOKUP(A9,[148]WRDS!$A$1:$O$34,9,FALSE)/100</f>
        <v>0.05</v>
      </c>
      <c r="K9" s="2">
        <f t="shared" si="1"/>
        <v>2.3991137948780299</v>
      </c>
      <c r="L9" s="2">
        <f t="shared" si="2"/>
        <v>2.2492087454268126</v>
      </c>
      <c r="M9">
        <f>VLOOKUP(A9,[148]WRDS!$A$1:$O$34,8,FALSE)</f>
        <v>6</v>
      </c>
      <c r="N9">
        <f>VLOOKUP(A9,[148]WRDS!$A$1:$O$34,11,FALSE)</f>
        <v>2.4</v>
      </c>
      <c r="P9" t="s">
        <v>30</v>
      </c>
      <c r="Q9" s="2">
        <f>MEDIAN(I2:I100)</f>
        <v>5.5E-2</v>
      </c>
    </row>
    <row r="10" spans="1:17" x14ac:dyDescent="0.3">
      <c r="A10" t="s">
        <v>44</v>
      </c>
      <c r="B10" t="str">
        <f>VLOOKUP(A10,[147]WRDS!$A$1:$N$140,2,FALSE)</f>
        <v>OGE</v>
      </c>
      <c r="C10" t="str">
        <f>VLOOKUP(A10,[147]WRDS!$A$1:$N$140,3,FALSE)</f>
        <v>OKLAHOMA G&amp;E</v>
      </c>
      <c r="D10">
        <f>VLOOKUP(A10,[147]WRDS!$A$1:$N$140,13,FALSE)</f>
        <v>0.64249999999999996</v>
      </c>
      <c r="E10">
        <f>VLOOKUP(A10,[131]WRDS!$A$2:$N$48,13,FALSE)</f>
        <v>0.6875</v>
      </c>
      <c r="F10" s="1">
        <f t="shared" si="3"/>
        <v>0.77799191681464241</v>
      </c>
      <c r="G10" s="1">
        <f t="shared" si="4"/>
        <v>0.76619320090156207</v>
      </c>
      <c r="H10" s="2">
        <f t="shared" si="0"/>
        <v>1.7067771198544079E-2</v>
      </c>
      <c r="I10" s="2">
        <f>VLOOKUP(A10,[148]WRDS!$A$1:$O$34,10,FALSE)/100</f>
        <v>4.9000000000000002E-2</v>
      </c>
      <c r="J10" s="2">
        <f>VLOOKUP(A10,[148]WRDS!$A$1:$O$34,9,FALSE)/100</f>
        <v>4.4999999999999998E-2</v>
      </c>
      <c r="K10" s="2">
        <f t="shared" si="1"/>
        <v>1.870907948671108</v>
      </c>
      <c r="L10" s="2">
        <f t="shared" si="2"/>
        <v>1.6365481161265276</v>
      </c>
      <c r="M10">
        <f>VLOOKUP(A10,[148]WRDS!$A$1:$O$34,8,FALSE)</f>
        <v>10</v>
      </c>
      <c r="N10">
        <f>VLOOKUP(A10,[148]WRDS!$A$1:$O$34,11,FALSE)</f>
        <v>1.4</v>
      </c>
      <c r="P10" t="s">
        <v>32</v>
      </c>
      <c r="Q10" s="2">
        <f>(Q9-Q8)/ABS(Q8)</f>
        <v>5.6032703737121159E-2</v>
      </c>
    </row>
    <row r="11" spans="1:17" x14ac:dyDescent="0.3">
      <c r="A11" t="s">
        <v>69</v>
      </c>
      <c r="B11" t="str">
        <f>VLOOKUP(A11,[147]WRDS!$A$1:$N$140,2,FALSE)</f>
        <v>OTTR</v>
      </c>
      <c r="C11" t="str">
        <f>VLOOKUP(A11,[147]WRDS!$A$1:$N$140,3,FALSE)</f>
        <v>OTTER TAIL PWR</v>
      </c>
      <c r="D11">
        <f>VLOOKUP(A11,[147]WRDS!$A$1:$N$140,13,FALSE)</f>
        <v>0.73</v>
      </c>
      <c r="E11">
        <f>VLOOKUP(A11,[131]WRDS!$A$2:$N$48,13,FALSE)</f>
        <v>0.89249999999999996</v>
      </c>
      <c r="F11" s="1">
        <f t="shared" si="3"/>
        <v>0.84744646838928006</v>
      </c>
      <c r="G11" s="1">
        <f t="shared" si="4"/>
        <v>0.82162143129999987</v>
      </c>
      <c r="H11" s="2">
        <f t="shared" si="0"/>
        <v>5.1529209726861369E-2</v>
      </c>
      <c r="I11" s="2">
        <f>VLOOKUP(A11,[148]WRDS!$A$1:$O$34,10,FALSE)/100</f>
        <v>3.7999999999999999E-2</v>
      </c>
      <c r="J11" s="2">
        <f>VLOOKUP(A11,[148]WRDS!$A$1:$O$34,9,FALSE)/100</f>
        <v>0.03</v>
      </c>
      <c r="K11" s="2">
        <f t="shared" si="1"/>
        <v>-0.26255418622903515</v>
      </c>
      <c r="L11" s="2">
        <f t="shared" si="2"/>
        <v>-0.41780593649660669</v>
      </c>
      <c r="M11">
        <f>VLOOKUP(A11,[148]WRDS!$A$1:$O$34,8,FALSE)</f>
        <v>3</v>
      </c>
      <c r="N11">
        <f>VLOOKUP(A11,[148]WRDS!$A$1:$O$34,11,FALSE)</f>
        <v>1.4</v>
      </c>
      <c r="P11" t="s">
        <v>34</v>
      </c>
      <c r="Q11" s="2">
        <f>MEDIAN(J2:J99)</f>
        <v>0.05</v>
      </c>
    </row>
    <row r="12" spans="1:17" x14ac:dyDescent="0.3">
      <c r="A12" t="s">
        <v>47</v>
      </c>
      <c r="B12" t="str">
        <f>VLOOKUP(A12,[147]WRDS!$A$1:$N$140,2,FALSE)</f>
        <v>PNM</v>
      </c>
      <c r="C12" t="str">
        <f>VLOOKUP(A12,[147]WRDS!$A$1:$N$140,3,FALSE)</f>
        <v>PUB SVC N MEX</v>
      </c>
      <c r="D12">
        <f>VLOOKUP(A12,[147]WRDS!$A$1:$N$140,13,FALSE)</f>
        <v>2.1467000000000001</v>
      </c>
      <c r="E12">
        <f>VLOOKUP(A12,[131]WRDS!$A$2:$N$48,13,FALSE)</f>
        <v>2.1932999999999998</v>
      </c>
      <c r="F12" s="1">
        <f t="shared" si="3"/>
        <v>2.5599796799616863</v>
      </c>
      <c r="G12" s="1">
        <f t="shared" si="4"/>
        <v>2.6093272668750003</v>
      </c>
      <c r="H12" s="2">
        <f t="shared" si="0"/>
        <v>5.3833081363716673E-3</v>
      </c>
      <c r="I12" s="2">
        <f>VLOOKUP(A12,[148]WRDS!$A$1:$O$34,10,FALSE)/100</f>
        <v>4.4999999999999998E-2</v>
      </c>
      <c r="J12" s="2">
        <f>VLOOKUP(A12,[148]WRDS!$A$1:$O$34,9,FALSE)/100</f>
        <v>0.05</v>
      </c>
      <c r="K12" s="2">
        <f t="shared" si="1"/>
        <v>7.3591722524599632</v>
      </c>
      <c r="L12" s="2">
        <f t="shared" si="2"/>
        <v>8.2879691693999611</v>
      </c>
      <c r="M12">
        <f>VLOOKUP(A12,[148]WRDS!$A$1:$O$34,8,FALSE)</f>
        <v>6</v>
      </c>
      <c r="N12">
        <f>VLOOKUP(A12,[148]WRDS!$A$1:$O$34,11,FALSE)</f>
        <v>1.7</v>
      </c>
      <c r="P12" t="s">
        <v>32</v>
      </c>
      <c r="Q12" s="2">
        <f>(Q11-Q8)/ABS(Q8)</f>
        <v>-3.9970269329889806E-2</v>
      </c>
    </row>
    <row r="13" spans="1:17" x14ac:dyDescent="0.3">
      <c r="A13" t="s">
        <v>50</v>
      </c>
      <c r="B13" t="str">
        <f>VLOOKUP(A13,[147]WRDS!$A$1:$N$140,2,FALSE)</f>
        <v>POR</v>
      </c>
      <c r="C13" t="str">
        <f>VLOOKUP(A13,[147]WRDS!$A$1:$N$140,3,FALSE)</f>
        <v>PORTEC INC</v>
      </c>
      <c r="D13">
        <f>VLOOKUP(A13,[147]WRDS!$A$1:$N$140,13,FALSE)</f>
        <v>0.2404</v>
      </c>
      <c r="E13">
        <f>VLOOKUP(A13,[131]WRDS!$A$2:$N$48,13,FALSE)</f>
        <v>0.40570000000000001</v>
      </c>
      <c r="F13" s="1">
        <f t="shared" si="3"/>
        <v>0.34561369253024998</v>
      </c>
      <c r="G13" s="1">
        <f t="shared" si="4"/>
        <v>0.34561369253024998</v>
      </c>
      <c r="H13" s="2">
        <f t="shared" si="0"/>
        <v>0.13977108759475709</v>
      </c>
      <c r="I13" s="2">
        <f>VLOOKUP(A13,[148]WRDS!$A$1:$O$34,10,FALSE)/100</f>
        <v>9.5000000000000001E-2</v>
      </c>
      <c r="J13" s="2">
        <f>VLOOKUP(A13,[148]WRDS!$A$1:$O$34,9,FALSE)/100</f>
        <v>9.5000000000000001E-2</v>
      </c>
      <c r="K13" s="2">
        <f t="shared" si="1"/>
        <v>-0.32031722987348699</v>
      </c>
      <c r="L13" s="2">
        <f t="shared" si="2"/>
        <v>-0.32031722987348699</v>
      </c>
      <c r="M13">
        <f>VLOOKUP(A13,[148]WRDS!$A$1:$O$34,8,FALSE)</f>
        <v>1</v>
      </c>
      <c r="N13">
        <f>VLOOKUP(A13,[148]WRDS!$A$1:$O$34,11,FALSE)</f>
        <v>0</v>
      </c>
      <c r="P13" s="111" t="s">
        <v>37</v>
      </c>
      <c r="Q13" s="111"/>
    </row>
    <row r="14" spans="1:17" x14ac:dyDescent="0.3">
      <c r="A14" t="s">
        <v>51</v>
      </c>
      <c r="B14" t="str">
        <f>VLOOKUP(A14,[147]WRDS!$A$1:$N$140,2,FALSE)</f>
        <v>PPL</v>
      </c>
      <c r="C14" t="str">
        <f>VLOOKUP(A14,[147]WRDS!$A$1:$N$140,3,FALSE)</f>
        <v>PENNA P&amp;L</v>
      </c>
      <c r="D14">
        <f>VLOOKUP(A14,[147]WRDS!$A$1:$N$140,13,FALSE)</f>
        <v>0.83750000000000002</v>
      </c>
      <c r="E14">
        <f>VLOOKUP(A14,[131]WRDS!$A$2:$N$48,13,FALSE)</f>
        <v>0.77500000000000002</v>
      </c>
      <c r="F14" s="1">
        <f t="shared" si="3"/>
        <v>0.98353027692483741</v>
      </c>
      <c r="G14" s="1">
        <f t="shared" si="4"/>
        <v>0.9873149008454003</v>
      </c>
      <c r="H14" s="2">
        <f t="shared" si="0"/>
        <v>-1.9202790162413219E-2</v>
      </c>
      <c r="I14" s="2">
        <f>VLOOKUP(A14,[148]WRDS!$A$1:$O$34,10,FALSE)/100</f>
        <v>4.0999999999999995E-2</v>
      </c>
      <c r="J14" s="2">
        <f>VLOOKUP(A14,[148]WRDS!$A$1:$O$34,9,FALSE)/100</f>
        <v>4.2000000000000003E-2</v>
      </c>
      <c r="K14" s="2">
        <f t="shared" si="1"/>
        <v>3.1351063909583186</v>
      </c>
      <c r="L14" s="2">
        <f t="shared" si="2"/>
        <v>3.1871821565914487</v>
      </c>
      <c r="M14">
        <f>VLOOKUP(A14,[148]WRDS!$A$1:$O$34,8,FALSE)</f>
        <v>10</v>
      </c>
      <c r="N14">
        <f>VLOOKUP(A14,[148]WRDS!$A$1:$O$34,11,FALSE)</f>
        <v>0.8</v>
      </c>
      <c r="P14" t="s">
        <v>39</v>
      </c>
      <c r="Q14">
        <f>AVERAGE(M2:M1002)</f>
        <v>6.628571428571429</v>
      </c>
    </row>
    <row r="15" spans="1:17" x14ac:dyDescent="0.3">
      <c r="A15" t="s">
        <v>46</v>
      </c>
      <c r="B15" t="str">
        <f>VLOOKUP(A15,[147]WRDS!$A$1:$N$140,2,FALSE)</f>
        <v>PEG</v>
      </c>
      <c r="C15" t="str">
        <f>VLOOKUP(A15,[147]WRDS!$A$1:$N$140,3,FALSE)</f>
        <v>PUB SVC E&amp;G</v>
      </c>
      <c r="D15">
        <f>VLOOKUP(A15,[147]WRDS!$A$1:$N$140,13,FALSE)</f>
        <v>1.08</v>
      </c>
      <c r="E15">
        <f>VLOOKUP(A15,[131]WRDS!$A$2:$N$48,13,FALSE)</f>
        <v>1.405</v>
      </c>
      <c r="F15" s="1">
        <f t="shared" si="3"/>
        <v>1.3328651077804803</v>
      </c>
      <c r="G15" s="1">
        <f t="shared" si="4"/>
        <v>1.3127467500000001</v>
      </c>
      <c r="H15" s="2">
        <f t="shared" si="0"/>
        <v>6.7980055152087493E-2</v>
      </c>
      <c r="I15" s="2">
        <f>VLOOKUP(A15,[148]WRDS!$A$1:$O$34,10,FALSE)/100</f>
        <v>5.4000000000000006E-2</v>
      </c>
      <c r="J15" s="2">
        <f>VLOOKUP(A15,[148]WRDS!$A$1:$O$34,9,FALSE)/100</f>
        <v>0.05</v>
      </c>
      <c r="K15" s="2">
        <f t="shared" si="1"/>
        <v>-0.20564936466748651</v>
      </c>
      <c r="L15" s="2">
        <f t="shared" si="2"/>
        <v>-0.26449015246989499</v>
      </c>
      <c r="M15">
        <f>VLOOKUP(A15,[148]WRDS!$A$1:$O$34,8,FALSE)</f>
        <v>12</v>
      </c>
      <c r="N15">
        <f>VLOOKUP(A15,[148]WRDS!$A$1:$O$34,11,FALSE)</f>
        <v>2.1</v>
      </c>
      <c r="P15" t="s">
        <v>41</v>
      </c>
      <c r="Q15">
        <f>COUNT(N2:N1002)</f>
        <v>35</v>
      </c>
    </row>
    <row r="16" spans="1:17" x14ac:dyDescent="0.3">
      <c r="A16" t="s">
        <v>53</v>
      </c>
      <c r="B16" t="str">
        <f>VLOOKUP(A16,[147]WRDS!$A$1:$N$140,2,FALSE)</f>
        <v>SO</v>
      </c>
      <c r="C16" t="str">
        <f>VLOOKUP(A16,[147]WRDS!$A$1:$N$140,3,FALSE)</f>
        <v>SOUTHN CO</v>
      </c>
      <c r="D16">
        <f>VLOOKUP(A16,[147]WRDS!$A$1:$N$140,13,FALSE)</f>
        <v>1.1299999999999999</v>
      </c>
      <c r="E16">
        <f>VLOOKUP(A16,[131]WRDS!$A$2:$N$48,13,FALSE)</f>
        <v>1.585</v>
      </c>
      <c r="F16" s="1">
        <f t="shared" si="3"/>
        <v>1.3321383139764804</v>
      </c>
      <c r="G16" s="1">
        <f t="shared" si="4"/>
        <v>1.3735220625</v>
      </c>
      <c r="H16" s="2">
        <f t="shared" si="0"/>
        <v>8.8272627347950605E-2</v>
      </c>
      <c r="I16" s="2">
        <f>VLOOKUP(A16,[148]WRDS!$A$1:$O$34,10,FALSE)/100</f>
        <v>4.2000000000000003E-2</v>
      </c>
      <c r="J16" s="2">
        <f>VLOOKUP(A16,[148]WRDS!$A$1:$O$34,9,FALSE)/100</f>
        <v>0.05</v>
      </c>
      <c r="K16" s="2">
        <f t="shared" si="1"/>
        <v>-0.52420131515463386</v>
      </c>
      <c r="L16" s="2">
        <f t="shared" si="2"/>
        <v>-0.43357299423170692</v>
      </c>
      <c r="M16">
        <f>VLOOKUP(A16,[148]WRDS!$A$1:$O$34,8,FALSE)</f>
        <v>13</v>
      </c>
      <c r="N16">
        <f>VLOOKUP(A16,[148]WRDS!$A$1:$O$34,11,FALSE)</f>
        <v>2.2999999999999998</v>
      </c>
    </row>
    <row r="17" spans="1:14" x14ac:dyDescent="0.3">
      <c r="A17" t="s">
        <v>71</v>
      </c>
      <c r="B17" t="str">
        <f>VLOOKUP(A17,[147]WRDS!$A$1:$N$140,2,FALSE)</f>
        <v>CNL</v>
      </c>
      <c r="C17" t="str">
        <f>VLOOKUP(A17,[147]WRDS!$A$1:$N$140,3,FALSE)</f>
        <v>CENT LA ELEC INC</v>
      </c>
      <c r="D17">
        <f>VLOOKUP(A17,[147]WRDS!$A$1:$N$140,13,FALSE)</f>
        <v>0.61750000000000005</v>
      </c>
      <c r="E17">
        <f>VLOOKUP(A17,[131]WRDS!$A$2:$N$48,13,FALSE)</f>
        <v>0.80500000000000005</v>
      </c>
      <c r="F17" s="1">
        <f t="shared" si="3"/>
        <v>0.72935878196162107</v>
      </c>
      <c r="G17" s="1">
        <f t="shared" si="4"/>
        <v>0.72935878196162107</v>
      </c>
      <c r="H17" s="2">
        <f t="shared" si="0"/>
        <v>6.8537405048712641E-2</v>
      </c>
      <c r="I17" s="2">
        <f>VLOOKUP(A17,[148]WRDS!$A$1:$O$34,10,FALSE)/100</f>
        <v>4.2500000000000003E-2</v>
      </c>
      <c r="J17" s="2">
        <f>VLOOKUP(A17,[148]WRDS!$A$1:$O$34,9,FALSE)/100</f>
        <v>4.2500000000000003E-2</v>
      </c>
      <c r="K17" s="2">
        <f t="shared" si="1"/>
        <v>-0.37990065468931417</v>
      </c>
      <c r="L17" s="2">
        <f t="shared" si="2"/>
        <v>-0.37990065468931417</v>
      </c>
      <c r="M17">
        <f>VLOOKUP(A17,[148]WRDS!$A$1:$O$34,8,FALSE)</f>
        <v>2</v>
      </c>
      <c r="N17">
        <f>VLOOKUP(A17,[148]WRDS!$A$1:$O$34,11,FALSE)</f>
        <v>0</v>
      </c>
    </row>
    <row r="18" spans="1:14" x14ac:dyDescent="0.3">
      <c r="A18" t="s">
        <v>72</v>
      </c>
      <c r="B18" t="str">
        <f>VLOOKUP(A18,[147]WRDS!$A$1:$N$140,2,FALSE)</f>
        <v>EDE</v>
      </c>
      <c r="C18" t="str">
        <f>VLOOKUP(A18,[147]WRDS!$A$1:$N$140,3,FALSE)</f>
        <v>EMPIRE DIST ELEC</v>
      </c>
      <c r="D18">
        <f>VLOOKUP(A18,[147]WRDS!$A$1:$N$140,13,FALSE)</f>
        <v>1.0549999999999999</v>
      </c>
      <c r="E18">
        <f>VLOOKUP(A18,[131]WRDS!$A$2:$N$48,13,FALSE)</f>
        <v>1.43</v>
      </c>
      <c r="F18" s="1">
        <f t="shared" si="3"/>
        <v>1.2106367656593746</v>
      </c>
      <c r="G18" s="1">
        <f t="shared" si="4"/>
        <v>1.2106367656593746</v>
      </c>
      <c r="H18" s="2">
        <f t="shared" si="0"/>
        <v>7.8998632972550942E-2</v>
      </c>
      <c r="I18" s="2">
        <f>VLOOKUP(A18,[148]WRDS!$A$1:$O$34,10,FALSE)/100</f>
        <v>3.5000000000000003E-2</v>
      </c>
      <c r="J18" s="2">
        <f>VLOOKUP(A18,[148]WRDS!$A$1:$O$34,9,FALSE)/100</f>
        <v>3.5000000000000003E-2</v>
      </c>
      <c r="K18" s="2">
        <f t="shared" si="1"/>
        <v>-0.55695435879047184</v>
      </c>
      <c r="L18" s="2">
        <f t="shared" si="2"/>
        <v>-0.55695435879047184</v>
      </c>
      <c r="M18">
        <f>VLOOKUP(A18,[148]WRDS!$A$1:$O$34,8,FALSE)</f>
        <v>1</v>
      </c>
      <c r="N18">
        <f>VLOOKUP(A18,[148]WRDS!$A$1:$O$34,11,FALSE)</f>
        <v>0</v>
      </c>
    </row>
    <row r="19" spans="1:14" x14ac:dyDescent="0.3">
      <c r="A19" t="s">
        <v>52</v>
      </c>
      <c r="B19" t="str">
        <f>VLOOKUP(A19,[147]WRDS!$A$1:$N$140,2,FALSE)</f>
        <v>SCG</v>
      </c>
      <c r="C19" t="str">
        <f>VLOOKUP(A19,[147]WRDS!$A$1:$N$140,3,FALSE)</f>
        <v>SO CAROLINA EG</v>
      </c>
      <c r="D19">
        <f>VLOOKUP(A19,[147]WRDS!$A$1:$N$140,13,FALSE)</f>
        <v>1.1599999999999999</v>
      </c>
      <c r="E19">
        <f>VLOOKUP(A19,[131]WRDS!$A$2:$N$48,13,FALSE)</f>
        <v>1.5149999999999999</v>
      </c>
      <c r="F19" s="1">
        <f t="shared" si="3"/>
        <v>1.4207607425945603</v>
      </c>
      <c r="G19" s="1">
        <f t="shared" si="4"/>
        <v>1.4099872499999999</v>
      </c>
      <c r="H19" s="2">
        <f t="shared" si="0"/>
        <v>6.9026967380832582E-2</v>
      </c>
      <c r="I19" s="2">
        <f>VLOOKUP(A19,[148]WRDS!$A$1:$O$34,10,FALSE)/100</f>
        <v>5.2000000000000005E-2</v>
      </c>
      <c r="J19" s="2">
        <f>VLOOKUP(A19,[148]WRDS!$A$1:$O$34,9,FALSE)/100</f>
        <v>0.05</v>
      </c>
      <c r="K19" s="2">
        <f t="shared" si="1"/>
        <v>-0.24667123628497445</v>
      </c>
      <c r="L19" s="2">
        <f t="shared" si="2"/>
        <v>-0.27564541950478316</v>
      </c>
      <c r="M19">
        <f>VLOOKUP(A19,[148]WRDS!$A$1:$O$34,8,FALSE)</f>
        <v>9</v>
      </c>
      <c r="N19">
        <f>VLOOKUP(A19,[148]WRDS!$A$1:$O$34,11,FALSE)</f>
        <v>1.3</v>
      </c>
    </row>
    <row r="20" spans="1:14" x14ac:dyDescent="0.3">
      <c r="A20" t="s">
        <v>49</v>
      </c>
      <c r="B20" t="str">
        <f>VLOOKUP(A20,[147]WRDS!$A$1:$N$140,2,FALSE)</f>
        <v>POM</v>
      </c>
      <c r="C20" t="str">
        <f>VLOOKUP(A20,[147]WRDS!$A$1:$N$140,3,FALSE)</f>
        <v>POTOMAC ELEC</v>
      </c>
      <c r="D20">
        <f>VLOOKUP(A20,[147]WRDS!$A$1:$N$140,13,FALSE)</f>
        <v>1.1399999999999999</v>
      </c>
      <c r="E20">
        <f>VLOOKUP(A20,[131]WRDS!$A$2:$N$48,13,FALSE)</f>
        <v>2.06</v>
      </c>
      <c r="F20" s="1">
        <f t="shared" si="3"/>
        <v>1.4176222602854402</v>
      </c>
      <c r="G20" s="1">
        <f t="shared" si="4"/>
        <v>1.4229996739211399</v>
      </c>
      <c r="H20" s="2">
        <f t="shared" si="0"/>
        <v>0.15941947828683389</v>
      </c>
      <c r="I20" s="2">
        <f>VLOOKUP(A20,[148]WRDS!$A$1:$O$34,10,FALSE)/100</f>
        <v>5.5999999999999994E-2</v>
      </c>
      <c r="J20" s="2">
        <f>VLOOKUP(A20,[148]WRDS!$A$1:$O$34,9,FALSE)/100</f>
        <v>5.7000000000000002E-2</v>
      </c>
      <c r="K20" s="2">
        <f t="shared" si="1"/>
        <v>-0.64872548447785938</v>
      </c>
      <c r="L20" s="2">
        <f t="shared" si="2"/>
        <v>-0.64245272527210684</v>
      </c>
      <c r="M20">
        <f>VLOOKUP(A20,[148]WRDS!$A$1:$O$34,8,FALSE)</f>
        <v>12</v>
      </c>
      <c r="N20">
        <f>VLOOKUP(A20,[148]WRDS!$A$1:$O$34,11,FALSE)</f>
        <v>0.8</v>
      </c>
    </row>
    <row r="21" spans="1:14" x14ac:dyDescent="0.3">
      <c r="A21" t="s">
        <v>75</v>
      </c>
      <c r="B21" t="str">
        <f>VLOOKUP(A21,[147]WRDS!$A$1:$N$140,2,FALSE)</f>
        <v>TE</v>
      </c>
      <c r="C21" t="str">
        <f>VLOOKUP(A21,[147]WRDS!$A$1:$N$140,3,FALSE)</f>
        <v>TECO ENERGY INC</v>
      </c>
      <c r="D21">
        <f>VLOOKUP(A21,[147]WRDS!$A$1:$N$140,13,FALSE)</f>
        <v>0.62250000000000005</v>
      </c>
      <c r="E21">
        <f>VLOOKUP(A21,[131]WRDS!$A$2:$N$48,13,FALSE)</f>
        <v>0.86250000000000004</v>
      </c>
      <c r="F21" s="1">
        <f t="shared" si="3"/>
        <v>0.82208835649536038</v>
      </c>
      <c r="G21" s="1">
        <f t="shared" si="4"/>
        <v>0.81597051622500005</v>
      </c>
      <c r="H21" s="2">
        <f t="shared" si="0"/>
        <v>8.4938040836088691E-2</v>
      </c>
      <c r="I21" s="2">
        <f>VLOOKUP(A21,[148]WRDS!$A$1:$O$34,10,FALSE)/100</f>
        <v>7.2000000000000008E-2</v>
      </c>
      <c r="J21" s="2">
        <f>VLOOKUP(A21,[148]WRDS!$A$1:$O$34,9,FALSE)/100</f>
        <v>7.0000000000000007E-2</v>
      </c>
      <c r="K21" s="2">
        <f t="shared" si="1"/>
        <v>-0.15232327834187029</v>
      </c>
      <c r="L21" s="2">
        <f t="shared" si="2"/>
        <v>-0.175869853943485</v>
      </c>
      <c r="M21">
        <f>VLOOKUP(A21,[148]WRDS!$A$1:$O$34,8,FALSE)</f>
        <v>10</v>
      </c>
      <c r="N21">
        <f>VLOOKUP(A21,[148]WRDS!$A$1:$O$34,11,FALSE)</f>
        <v>1.5</v>
      </c>
    </row>
    <row r="22" spans="1:14" x14ac:dyDescent="0.3">
      <c r="A22" t="s">
        <v>78</v>
      </c>
      <c r="B22" t="str">
        <f>VLOOKUP(A22,[147]WRDS!$A$1:$N$140,2,FALSE)</f>
        <v>NU</v>
      </c>
      <c r="C22" t="str">
        <f>VLOOKUP(A22,[147]WRDS!$A$1:$N$140,3,FALSE)</f>
        <v>NORTHEAST UTILS</v>
      </c>
      <c r="D22">
        <f>VLOOKUP(A22,[147]WRDS!$A$1:$N$140,13,FALSE)</f>
        <v>1.76</v>
      </c>
      <c r="E22">
        <f>VLOOKUP(A22,[131]WRDS!$A$2:$N$48,13,FALSE)</f>
        <v>2.48</v>
      </c>
      <c r="F22" s="1">
        <f t="shared" si="3"/>
        <v>2.2052373455129599</v>
      </c>
      <c r="G22" s="1">
        <f t="shared" si="4"/>
        <v>2.1803313850999997</v>
      </c>
      <c r="H22" s="2">
        <f t="shared" si="0"/>
        <v>8.9518862000378396E-2</v>
      </c>
      <c r="I22" s="2">
        <f>VLOOKUP(A22,[148]WRDS!$A$1:$O$34,10,FALSE)/100</f>
        <v>5.7999999999999996E-2</v>
      </c>
      <c r="J22" s="2">
        <f>VLOOKUP(A22,[148]WRDS!$A$1:$O$34,9,FALSE)/100</f>
        <v>5.5E-2</v>
      </c>
      <c r="K22" s="2">
        <f t="shared" si="1"/>
        <v>-0.35209185300238927</v>
      </c>
      <c r="L22" s="2">
        <f t="shared" si="2"/>
        <v>-0.38560434336433458</v>
      </c>
      <c r="M22">
        <f>VLOOKUP(A22,[148]WRDS!$A$1:$O$34,8,FALSE)</f>
        <v>10</v>
      </c>
      <c r="N22">
        <f>VLOOKUP(A22,[148]WRDS!$A$1:$O$34,11,FALSE)</f>
        <v>2.5</v>
      </c>
    </row>
    <row r="23" spans="1:14" x14ac:dyDescent="0.3">
      <c r="A23" t="s">
        <v>74</v>
      </c>
      <c r="B23" t="str">
        <f>VLOOKUP(A23,[147]WRDS!$A$1:$N$140,2,FALSE)</f>
        <v>PGN</v>
      </c>
      <c r="C23" t="str">
        <f>VLOOKUP(A23,[147]WRDS!$A$1:$N$140,3,FALSE)</f>
        <v>PORTLD GEN ELEC</v>
      </c>
      <c r="D23">
        <f>VLOOKUP(A23,[147]WRDS!$A$1:$N$140,13,FALSE)</f>
        <v>3.02</v>
      </c>
      <c r="E23">
        <f>VLOOKUP(A23,[131]WRDS!$A$2:$N$48,13,FALSE)</f>
        <v>1.97</v>
      </c>
      <c r="F23" s="1">
        <f t="shared" si="3"/>
        <v>3.5194040801118178</v>
      </c>
      <c r="G23" s="1">
        <f t="shared" si="4"/>
        <v>3.3990366061999997</v>
      </c>
      <c r="H23" s="2">
        <f t="shared" si="0"/>
        <v>-0.10129983629406114</v>
      </c>
      <c r="I23" s="2">
        <f>VLOOKUP(A23,[148]WRDS!$A$1:$O$34,10,FALSE)/100</f>
        <v>3.9E-2</v>
      </c>
      <c r="J23" s="2">
        <f>VLOOKUP(A23,[148]WRDS!$A$1:$O$34,9,FALSE)/100</f>
        <v>0.03</v>
      </c>
      <c r="K23" s="2">
        <f t="shared" si="1"/>
        <v>1.3849956863384036</v>
      </c>
      <c r="L23" s="2">
        <f t="shared" si="2"/>
        <v>1.2961505279526182</v>
      </c>
      <c r="M23">
        <f>VLOOKUP(A23,[148]WRDS!$A$1:$O$34,8,FALSE)</f>
        <v>5</v>
      </c>
      <c r="N23">
        <f>VLOOKUP(A23,[148]WRDS!$A$1:$O$34,11,FALSE)</f>
        <v>2.4</v>
      </c>
    </row>
    <row r="24" spans="1:14" x14ac:dyDescent="0.3">
      <c r="A24" t="s">
        <v>86</v>
      </c>
      <c r="B24" t="str">
        <f>VLOOKUP(A24,[147]WRDS!$A$1:$N$140,2,FALSE)</f>
        <v>DPL</v>
      </c>
      <c r="C24" t="str">
        <f>VLOOKUP(A24,[147]WRDS!$A$1:$N$140,3,FALSE)</f>
        <v>DAYTON P &amp; L</v>
      </c>
      <c r="D24">
        <f>VLOOKUP(A24,[147]WRDS!$A$1:$N$140,13,FALSE)</f>
        <v>0.78520000000000001</v>
      </c>
      <c r="E24">
        <f>VLOOKUP(A24,[131]WRDS!$A$2:$N$48,13,FALSE)</f>
        <v>0.90359999999999996</v>
      </c>
      <c r="F24" s="1">
        <f t="shared" si="3"/>
        <v>0.95441550750000004</v>
      </c>
      <c r="G24" s="1">
        <f t="shared" si="4"/>
        <v>0.95441550750000004</v>
      </c>
      <c r="H24" s="2">
        <f t="shared" si="0"/>
        <v>3.5735788128982371E-2</v>
      </c>
      <c r="I24" s="2">
        <f>VLOOKUP(A24,[148]WRDS!$A$1:$O$34,10,FALSE)/100</f>
        <v>0.05</v>
      </c>
      <c r="J24" s="2">
        <f>VLOOKUP(A24,[148]WRDS!$A$1:$O$34,9,FALSE)/100</f>
        <v>0.05</v>
      </c>
      <c r="K24" s="2">
        <f t="shared" si="1"/>
        <v>0.39915761251811033</v>
      </c>
      <c r="L24" s="2">
        <f t="shared" si="2"/>
        <v>0.39915761251811033</v>
      </c>
      <c r="M24">
        <f>VLOOKUP(A24,[148]WRDS!$A$1:$O$34,8,FALSE)</f>
        <v>7</v>
      </c>
      <c r="N24">
        <f>VLOOKUP(A24,[148]WRDS!$A$1:$O$34,11,FALSE)</f>
        <v>1.6</v>
      </c>
    </row>
    <row r="25" spans="1:14" x14ac:dyDescent="0.3">
      <c r="A25" t="s">
        <v>79</v>
      </c>
      <c r="B25" t="str">
        <f>VLOOKUP(A25,[147]WRDS!$A$1:$N$140,2,FALSE)</f>
        <v>UIL</v>
      </c>
      <c r="C25" t="str">
        <f>VLOOKUP(A25,[147]WRDS!$A$1:$N$140,3,FALSE)</f>
        <v>UTD ILLUM CO</v>
      </c>
      <c r="D25">
        <f>VLOOKUP(A25,[147]WRDS!$A$1:$N$140,13,FALSE)</f>
        <v>3.234</v>
      </c>
      <c r="E25">
        <f>VLOOKUP(A25,[131]WRDS!$A$2:$N$48,13,FALSE)</f>
        <v>3.5819999999999999</v>
      </c>
      <c r="F25" s="1">
        <f t="shared" si="3"/>
        <v>3.6398954915399999</v>
      </c>
      <c r="G25" s="1">
        <f t="shared" si="4"/>
        <v>3.6398954915399999</v>
      </c>
      <c r="H25" s="2">
        <f t="shared" si="0"/>
        <v>2.5879594548601892E-2</v>
      </c>
      <c r="I25" s="2">
        <f>VLOOKUP(A25,[148]WRDS!$A$1:$O$34,10,FALSE)/100</f>
        <v>0.03</v>
      </c>
      <c r="J25" s="2">
        <f>VLOOKUP(A25,[148]WRDS!$A$1:$O$34,9,FALSE)/100</f>
        <v>0.03</v>
      </c>
      <c r="K25" s="2">
        <f t="shared" si="1"/>
        <v>0.15921445151159472</v>
      </c>
      <c r="L25" s="2">
        <f t="shared" si="2"/>
        <v>0.15921445151159472</v>
      </c>
      <c r="M25">
        <f>VLOOKUP(A25,[148]WRDS!$A$1:$O$34,8,FALSE)</f>
        <v>2</v>
      </c>
      <c r="N25">
        <f>VLOOKUP(A25,[148]WRDS!$A$1:$O$34,11,FALSE)</f>
        <v>1.41</v>
      </c>
    </row>
    <row r="26" spans="1:14" x14ac:dyDescent="0.3">
      <c r="A26" t="s">
        <v>89</v>
      </c>
      <c r="B26" t="str">
        <f>VLOOKUP(A26,[147]WRDS!$A$1:$N$140,2,FALSE)</f>
        <v>FPL</v>
      </c>
      <c r="C26" t="str">
        <f>VLOOKUP(A26,[147]WRDS!$A$1:$N$140,3,FALSE)</f>
        <v>FLA PWR &amp; LT</v>
      </c>
      <c r="D26">
        <f>VLOOKUP(A26,[147]WRDS!$A$1:$N$140,13,FALSE)</f>
        <v>0.29809999999999998</v>
      </c>
      <c r="E26">
        <f>VLOOKUP(A26,[131]WRDS!$A$2:$N$48,13,FALSE)</f>
        <v>0.36249999999999999</v>
      </c>
      <c r="F26" s="1">
        <f t="shared" si="3"/>
        <v>0.38783498890498563</v>
      </c>
      <c r="G26" s="1">
        <f t="shared" si="4"/>
        <v>0.39810335082031245</v>
      </c>
      <c r="H26" s="2">
        <f t="shared" si="0"/>
        <v>5.0114145648851416E-2</v>
      </c>
      <c r="I26" s="2">
        <f>VLOOKUP(A26,[148]WRDS!$A$1:$O$34,10,FALSE)/100</f>
        <v>6.8000000000000005E-2</v>
      </c>
      <c r="J26" s="2">
        <f>VLOOKUP(A26,[148]WRDS!$A$1:$O$34,9,FALSE)/100</f>
        <v>7.4999999999999997E-2</v>
      </c>
      <c r="K26" s="2">
        <f t="shared" si="1"/>
        <v>0.35690231010769552</v>
      </c>
      <c r="L26" s="2">
        <f t="shared" si="2"/>
        <v>0.49658343026584051</v>
      </c>
      <c r="M26">
        <f>VLOOKUP(A26,[148]WRDS!$A$1:$O$34,8,FALSE)</f>
        <v>13</v>
      </c>
      <c r="N26">
        <f>VLOOKUP(A26,[148]WRDS!$A$1:$O$34,11,FALSE)</f>
        <v>1.5</v>
      </c>
    </row>
    <row r="27" spans="1:14" x14ac:dyDescent="0.3">
      <c r="A27" t="s">
        <v>91</v>
      </c>
      <c r="B27" t="str">
        <f>VLOOKUP(A27,[147]WRDS!$A$1:$N$140,2,FALSE)</f>
        <v>PSD</v>
      </c>
      <c r="C27" t="str">
        <f>VLOOKUP(A27,[147]WRDS!$A$1:$N$140,3,FALSE)</f>
        <v>PUGET SOUND P&amp;L</v>
      </c>
      <c r="D27">
        <f>VLOOKUP(A27,[147]WRDS!$A$1:$N$140,13,FALSE)</f>
        <v>2.29</v>
      </c>
      <c r="E27">
        <f>VLOOKUP(A27,[131]WRDS!$A$2:$N$48,13,FALSE)</f>
        <v>1.72</v>
      </c>
      <c r="F27" s="1">
        <f t="shared" si="3"/>
        <v>2.5874391404230894</v>
      </c>
      <c r="G27" s="1">
        <f t="shared" si="4"/>
        <v>2.4982682321262399</v>
      </c>
      <c r="H27" s="2">
        <f t="shared" si="0"/>
        <v>-6.9056677536216804E-2</v>
      </c>
      <c r="I27" s="2">
        <f>VLOOKUP(A27,[148]WRDS!$A$1:$O$34,10,FALSE)/100</f>
        <v>3.1E-2</v>
      </c>
      <c r="J27" s="2">
        <f>VLOOKUP(A27,[148]WRDS!$A$1:$O$34,9,FALSE)/100</f>
        <v>2.2000000000000002E-2</v>
      </c>
      <c r="K27" s="2">
        <f t="shared" si="1"/>
        <v>1.4489066243266921</v>
      </c>
      <c r="L27" s="2">
        <f t="shared" si="2"/>
        <v>1.3185788946834591</v>
      </c>
      <c r="M27">
        <f>VLOOKUP(A27,[148]WRDS!$A$1:$O$34,8,FALSE)</f>
        <v>4</v>
      </c>
      <c r="N27">
        <f>VLOOKUP(A27,[148]WRDS!$A$1:$O$34,11,FALSE)</f>
        <v>2.9</v>
      </c>
    </row>
    <row r="28" spans="1:14" x14ac:dyDescent="0.3">
      <c r="A28" t="s">
        <v>95</v>
      </c>
      <c r="B28" t="str">
        <f>VLOOKUP(A28,[147]WRDS!$A$1:$N$140,2,FALSE)</f>
        <v>WPS</v>
      </c>
      <c r="C28" t="str">
        <f>VLOOKUP(A28,[147]WRDS!$A$1:$N$140,3,FALSE)</f>
        <v>WISC PUB SVC</v>
      </c>
      <c r="D28">
        <f>VLOOKUP(A28,[147]WRDS!$A$1:$N$140,13,FALSE)</f>
        <v>1.57</v>
      </c>
      <c r="E28">
        <f>VLOOKUP(A28,[131]WRDS!$A$2:$N$48,13,FALSE)</f>
        <v>2.0299999999999998</v>
      </c>
      <c r="F28" s="1">
        <f t="shared" si="3"/>
        <v>1.9895789986503698</v>
      </c>
      <c r="G28" s="1">
        <f t="shared" si="4"/>
        <v>1.9449547014812498</v>
      </c>
      <c r="H28" s="2">
        <f t="shared" si="0"/>
        <v>6.6348337947562674E-2</v>
      </c>
      <c r="I28" s="2">
        <f>VLOOKUP(A28,[148]WRDS!$A$1:$O$34,10,FALSE)/100</f>
        <v>6.0999999999999999E-2</v>
      </c>
      <c r="J28" s="2">
        <f>VLOOKUP(A28,[148]WRDS!$A$1:$O$34,9,FALSE)/100</f>
        <v>5.5E-2</v>
      </c>
      <c r="K28" s="2">
        <f t="shared" si="1"/>
        <v>-8.0609976270839628E-2</v>
      </c>
      <c r="L28" s="2">
        <f t="shared" si="2"/>
        <v>-0.17104178188354391</v>
      </c>
      <c r="M28">
        <f>VLOOKUP(A28,[148]WRDS!$A$1:$O$34,8,FALSE)</f>
        <v>9</v>
      </c>
      <c r="N28">
        <f>VLOOKUP(A28,[148]WRDS!$A$1:$O$34,11,FALSE)</f>
        <v>1.1000000000000001</v>
      </c>
    </row>
    <row r="29" spans="1:14" x14ac:dyDescent="0.3">
      <c r="A29" t="s">
        <v>88</v>
      </c>
      <c r="B29" t="str">
        <f>VLOOKUP(A29,[147]WRDS!$A$1:$N$140,2,FALSE)</f>
        <v>CIN</v>
      </c>
      <c r="C29" t="str">
        <f>VLOOKUP(A29,[147]WRDS!$A$1:$N$140,3,FALSE)</f>
        <v>CINN GAS &amp; EL</v>
      </c>
      <c r="D29">
        <f>VLOOKUP(A29,[147]WRDS!$A$1:$N$140,13,FALSE)</f>
        <v>1.8332999999999999</v>
      </c>
      <c r="E29">
        <f>VLOOKUP(A29,[131]WRDS!$A$2:$N$48,13,FALSE)</f>
        <v>2.2532999999999999</v>
      </c>
      <c r="F29" s="1">
        <f t="shared" si="3"/>
        <v>2.1862443505258113</v>
      </c>
      <c r="G29" s="1">
        <f t="shared" si="4"/>
        <v>2.1612470539938773</v>
      </c>
      <c r="H29" s="2">
        <f t="shared" si="0"/>
        <v>5.29224110225337E-2</v>
      </c>
      <c r="I29" s="2">
        <f>VLOOKUP(A29,[148]WRDS!$A$1:$O$34,10,FALSE)/100</f>
        <v>4.4999999999999998E-2</v>
      </c>
      <c r="J29" s="2">
        <f>VLOOKUP(A29,[148]WRDS!$A$1:$O$34,9,FALSE)/100</f>
        <v>4.2000000000000003E-2</v>
      </c>
      <c r="K29" s="2">
        <f t="shared" si="1"/>
        <v>-0.14969860347368599</v>
      </c>
      <c r="L29" s="2">
        <f t="shared" si="2"/>
        <v>-0.20638536324210685</v>
      </c>
      <c r="M29">
        <f>VLOOKUP(A29,[148]WRDS!$A$1:$O$34,8,FALSE)</f>
        <v>10</v>
      </c>
      <c r="N29">
        <f>VLOOKUP(A29,[148]WRDS!$A$1:$O$34,11,FALSE)</f>
        <v>1</v>
      </c>
    </row>
    <row r="30" spans="1:14" x14ac:dyDescent="0.3">
      <c r="A30" t="s">
        <v>135</v>
      </c>
      <c r="B30" t="str">
        <f>VLOOKUP(A30,'[5]Ticker List'!$H$4:$I$20,2,FALSE)</f>
        <v>NI</v>
      </c>
      <c r="C30" t="str">
        <f>VLOOKUP(A30,[149]wgfdpjtsbuksxica!$B$1:$N$100,2,FALSE)</f>
        <v>NORTHN IND PUB</v>
      </c>
      <c r="D30">
        <f>VLOOKUP(A30,[149]wgfdpjtsbuksxica!$B$1:$N$100,12,FALSE)</f>
        <v>0.45</v>
      </c>
      <c r="E30">
        <f>VLOOKUP(A30,[133]flhyxourx89ghhy7!$B$1:$N$9,12,FALSE)</f>
        <v>0.4</v>
      </c>
      <c r="F30" s="1">
        <f>D30*(1+I30)^4</f>
        <v>0.57673860894720019</v>
      </c>
      <c r="G30" s="1">
        <f>D30*(1+J30)^4</f>
        <v>0.56811463200000012</v>
      </c>
      <c r="H30" s="2">
        <f>((E30/D30)^(1/4)-1)</f>
        <v>-2.9016456585353123E-2</v>
      </c>
      <c r="I30" s="2">
        <f>VLOOKUP(A30,[150]r8avu7ghnjr5mqgc!$B$1:$N$100,9,FALSE)/100</f>
        <v>6.4000000000000001E-2</v>
      </c>
      <c r="J30" s="2">
        <f>VLOOKUP(A30,[150]r8avu7ghnjr5mqgc!$B$1:$N$100,8,FALSE)/100</f>
        <v>0.06</v>
      </c>
      <c r="K30" s="2">
        <f>(I30-H30)/(ABS(H30))</f>
        <v>3.2056449177983302</v>
      </c>
      <c r="L30" s="2">
        <f>(J30-H30)/(ABS(H30))</f>
        <v>3.0677921104359345</v>
      </c>
      <c r="M30">
        <f>VLOOKUP(A30,[150]r8avu7ghnjr5mqgc!$B$1:$N$100,7,FALSE)</f>
        <v>11</v>
      </c>
      <c r="N30">
        <f>VLOOKUP(A30,[150]r8avu7ghnjr5mqgc!$B$1:$N$100,10,FALSE)</f>
        <v>4.0999999999999996</v>
      </c>
    </row>
    <row r="31" spans="1:14" x14ac:dyDescent="0.3">
      <c r="A31" t="s">
        <v>138</v>
      </c>
      <c r="B31" t="str">
        <f>VLOOKUP(A31,'[5]Ticker List'!$H$4:$I$20,2,FALSE)</f>
        <v>SJI</v>
      </c>
      <c r="C31" t="str">
        <f>VLOOKUP(A31,[149]wgfdpjtsbuksxica!$B$1:$N$100,2,FALSE)</f>
        <v>SO JERSEY INDS</v>
      </c>
      <c r="D31">
        <f>VLOOKUP(A31,[149]wgfdpjtsbuksxica!$B$1:$N$100,12,FALSE)</f>
        <v>0.29289999999999999</v>
      </c>
      <c r="E31">
        <f>VLOOKUP(A31,[133]flhyxourx89ghhy7!$B$1:$N$9,12,FALSE)</f>
        <v>0.3211</v>
      </c>
      <c r="F31" s="1">
        <f t="shared" ref="F31:F36" si="5">D31*(1+I31)^4</f>
        <v>0.40967214347900371</v>
      </c>
      <c r="G31" s="1">
        <f t="shared" ref="G31:G36" si="6">D31*(1+J31)^4</f>
        <v>0.40967214347900371</v>
      </c>
      <c r="H31" s="2">
        <f t="shared" ref="H31:H36" si="7">((E31/D31)^(1/4)-1)</f>
        <v>2.3246419066218493E-2</v>
      </c>
      <c r="I31" s="2">
        <f>VLOOKUP(A31,[150]r8avu7ghnjr5mqgc!$B$1:$N$100,9,FALSE)/100</f>
        <v>8.7499999999999994E-2</v>
      </c>
      <c r="J31" s="2">
        <f>VLOOKUP(A31,[150]r8avu7ghnjr5mqgc!$B$1:$N$100,8,FALSE)/100</f>
        <v>8.7499999999999994E-2</v>
      </c>
      <c r="K31" s="2">
        <f t="shared" ref="K31:K36" si="8">(I31-H31)/(ABS(H31))</f>
        <v>2.764020589612199</v>
      </c>
      <c r="L31" s="2">
        <f t="shared" ref="L31:L36" si="9">(J31-H31)/(ABS(H31))</f>
        <v>2.764020589612199</v>
      </c>
      <c r="M31">
        <f>VLOOKUP(A31,[150]r8avu7ghnjr5mqgc!$B$1:$N$100,7,FALSE)</f>
        <v>2</v>
      </c>
      <c r="N31">
        <f>VLOOKUP(A31,[150]r8avu7ghnjr5mqgc!$B$1:$N$100,10,FALSE)</f>
        <v>1.77</v>
      </c>
    </row>
    <row r="32" spans="1:14" x14ac:dyDescent="0.3">
      <c r="A32" t="s">
        <v>143</v>
      </c>
      <c r="B32" t="str">
        <f>VLOOKUP(A32,'[5]Ticker List'!$H$4:$I$20,2,FALSE)</f>
        <v>LG</v>
      </c>
      <c r="C32" t="str">
        <f>VLOOKUP(A32,[149]wgfdpjtsbuksxica!$B$1:$N$100,2,FALSE)</f>
        <v>LACLEDE GAS</v>
      </c>
      <c r="D32">
        <f>VLOOKUP(A32,[149]wgfdpjtsbuksxica!$B$1:$N$100,12,FALSE)</f>
        <v>0.96</v>
      </c>
      <c r="E32">
        <f>VLOOKUP(A32,[133]flhyxourx89ghhy7!$B$1:$N$9,12,FALSE)</f>
        <v>1.44</v>
      </c>
      <c r="F32" s="1">
        <f t="shared" si="5"/>
        <v>1.3801545125999999</v>
      </c>
      <c r="G32" s="1">
        <f t="shared" si="6"/>
        <v>1.3801545125999999</v>
      </c>
      <c r="H32" s="2">
        <f t="shared" si="7"/>
        <v>0.1066819197003217</v>
      </c>
      <c r="I32" s="2">
        <f>VLOOKUP(A32,[150]r8avu7ghnjr5mqgc!$B$1:$N$100,9,FALSE)/100</f>
        <v>9.5000000000000001E-2</v>
      </c>
      <c r="J32" s="2">
        <f>VLOOKUP(A32,[150]r8avu7ghnjr5mqgc!$B$1:$N$100,8,FALSE)/100</f>
        <v>9.5000000000000001E-2</v>
      </c>
      <c r="K32" s="2">
        <f t="shared" si="8"/>
        <v>-0.10950233866373212</v>
      </c>
      <c r="L32" s="2">
        <f t="shared" si="9"/>
        <v>-0.10950233866373212</v>
      </c>
      <c r="M32">
        <f>VLOOKUP(A32,[150]r8avu7ghnjr5mqgc!$B$1:$N$100,7,FALSE)</f>
        <v>1</v>
      </c>
      <c r="N32">
        <f>VLOOKUP(A32,[150]r8avu7ghnjr5mqgc!$B$1:$N$100,10,FALSE)</f>
        <v>0</v>
      </c>
    </row>
    <row r="33" spans="1:14" x14ac:dyDescent="0.3">
      <c r="A33" t="s">
        <v>144</v>
      </c>
      <c r="B33" t="str">
        <f>VLOOKUP(A33,'[5]Ticker List'!$H$4:$I$20,2,FALSE)</f>
        <v>GAS</v>
      </c>
      <c r="C33" t="str">
        <f>VLOOKUP(A33,[149]wgfdpjtsbuksxica!$B$1:$N$100,2,FALSE)</f>
        <v>NICOR INC</v>
      </c>
      <c r="D33">
        <f>VLOOKUP(A33,[149]wgfdpjtsbuksxica!$B$1:$N$100,12,FALSE)</f>
        <v>1.65</v>
      </c>
      <c r="E33">
        <f>VLOOKUP(A33,[133]flhyxourx89ghhy7!$B$1:$N$9,12,FALSE)</f>
        <v>1.48</v>
      </c>
      <c r="F33" s="1">
        <f t="shared" si="5"/>
        <v>2.2448067840000006</v>
      </c>
      <c r="G33" s="1">
        <f t="shared" si="6"/>
        <v>2.4157650000000004</v>
      </c>
      <c r="H33" s="2">
        <f t="shared" si="7"/>
        <v>-2.6817159273506475E-2</v>
      </c>
      <c r="I33" s="2">
        <f>VLOOKUP(A33,[150]r8avu7ghnjr5mqgc!$B$1:$N$100,9,FALSE)/100</f>
        <v>0.08</v>
      </c>
      <c r="J33" s="2">
        <f>VLOOKUP(A33,[150]r8avu7ghnjr5mqgc!$B$1:$N$100,8,FALSE)/100</f>
        <v>0.1</v>
      </c>
      <c r="K33" s="2">
        <f t="shared" si="8"/>
        <v>3.9831645918974927</v>
      </c>
      <c r="L33" s="2">
        <f t="shared" si="9"/>
        <v>4.728955739871866</v>
      </c>
      <c r="M33">
        <f>VLOOKUP(A33,[150]r8avu7ghnjr5mqgc!$B$1:$N$100,7,FALSE)</f>
        <v>3</v>
      </c>
      <c r="N33">
        <f>VLOOKUP(A33,[150]r8avu7ghnjr5mqgc!$B$1:$N$100,10,FALSE)</f>
        <v>3.4</v>
      </c>
    </row>
    <row r="34" spans="1:14" x14ac:dyDescent="0.3">
      <c r="A34" t="s">
        <v>146</v>
      </c>
      <c r="B34" t="str">
        <f>VLOOKUP(A34,'[5]Ticker List'!$H$4:$I$20,2,FALSE)</f>
        <v>PNY</v>
      </c>
      <c r="C34" t="str">
        <f>VLOOKUP(A34,[149]wgfdpjtsbuksxica!$B$1:$N$100,2,FALSE)</f>
        <v>PIEDMONT NAT GAS</v>
      </c>
      <c r="D34">
        <f>VLOOKUP(A34,[149]wgfdpjtsbuksxica!$B$1:$N$100,12,FALSE)</f>
        <v>0.45250000000000001</v>
      </c>
      <c r="E34">
        <f>VLOOKUP(A34,[133]flhyxourx89ghhy7!$B$1:$N$9,12,FALSE)</f>
        <v>0.45750000000000002</v>
      </c>
      <c r="F34" s="1">
        <f t="shared" si="5"/>
        <v>0.56056815440781238</v>
      </c>
      <c r="G34" s="1">
        <f t="shared" si="6"/>
        <v>0.56056815440781238</v>
      </c>
      <c r="H34" s="2">
        <f t="shared" si="7"/>
        <v>2.7510576269274001E-3</v>
      </c>
      <c r="I34" s="2">
        <f>VLOOKUP(A34,[150]r8avu7ghnjr5mqgc!$B$1:$N$100,9,FALSE)/100</f>
        <v>5.5E-2</v>
      </c>
      <c r="J34" s="2">
        <f>VLOOKUP(A34,[150]r8avu7ghnjr5mqgc!$B$1:$N$100,8,FALSE)/100</f>
        <v>5.5E-2</v>
      </c>
      <c r="K34" s="2">
        <f t="shared" si="8"/>
        <v>18.992311124877588</v>
      </c>
      <c r="L34" s="2">
        <f t="shared" si="9"/>
        <v>18.992311124877588</v>
      </c>
      <c r="M34">
        <f>VLOOKUP(A34,[150]r8avu7ghnjr5mqgc!$B$1:$N$100,7,FALSE)</f>
        <v>2</v>
      </c>
      <c r="N34">
        <f>VLOOKUP(A34,[150]r8avu7ghnjr5mqgc!$B$1:$N$100,10,FALSE)</f>
        <v>0.71</v>
      </c>
    </row>
    <row r="35" spans="1:14" x14ac:dyDescent="0.3">
      <c r="A35" t="s">
        <v>145</v>
      </c>
      <c r="B35" t="str">
        <f>VLOOKUP(A35,'[5]Ticker List'!$H$4:$I$20,2,FALSE)</f>
        <v>WGL</v>
      </c>
      <c r="C35" t="str">
        <f>VLOOKUP(A35,[149]wgfdpjtsbuksxica!$B$1:$N$100,2,FALSE)</f>
        <v>WASH GAS LT</v>
      </c>
      <c r="D35">
        <f>VLOOKUP(A35,[149]wgfdpjtsbuksxica!$B$1:$N$100,12,FALSE)</f>
        <v>0.85</v>
      </c>
      <c r="E35">
        <f>VLOOKUP(A35,[133]flhyxourx89ghhy7!$B$1:$N$9,12,FALSE)</f>
        <v>1.145</v>
      </c>
      <c r="F35" s="1">
        <f t="shared" si="5"/>
        <v>1.1457451856582026</v>
      </c>
      <c r="G35" s="1">
        <f t="shared" si="6"/>
        <v>1.1457451856582026</v>
      </c>
      <c r="H35" s="2">
        <f t="shared" si="7"/>
        <v>7.7324757401182165E-2</v>
      </c>
      <c r="I35" s="2">
        <f>VLOOKUP(A35,[150]r8avu7ghnjr5mqgc!$B$1:$N$100,9,FALSE)/100</f>
        <v>7.7499999999999999E-2</v>
      </c>
      <c r="J35" s="2">
        <f>VLOOKUP(A35,[150]r8avu7ghnjr5mqgc!$B$1:$N$100,8,FALSE)/100</f>
        <v>7.7499999999999999E-2</v>
      </c>
      <c r="K35" s="2">
        <f t="shared" si="8"/>
        <v>2.2663194131813144E-3</v>
      </c>
      <c r="L35" s="2">
        <f t="shared" si="9"/>
        <v>2.2663194131813144E-3</v>
      </c>
      <c r="M35">
        <f>VLOOKUP(A35,[150]r8avu7ghnjr5mqgc!$B$1:$N$100,7,FALSE)</f>
        <v>2</v>
      </c>
      <c r="N35">
        <f>VLOOKUP(A35,[150]r8avu7ghnjr5mqgc!$B$1:$N$100,10,FALSE)</f>
        <v>3.18</v>
      </c>
    </row>
    <row r="36" spans="1:14" x14ac:dyDescent="0.3">
      <c r="A36" t="s">
        <v>149</v>
      </c>
      <c r="B36" t="str">
        <f>VLOOKUP(A36,'[5]Ticker List'!$H$4:$I$20,2,FALSE)</f>
        <v>CGC</v>
      </c>
      <c r="C36" t="str">
        <f>VLOOKUP(A36,[149]wgfdpjtsbuksxica!$B$1:$N$100,2,FALSE)</f>
        <v>CASCADE NAT GAS</v>
      </c>
      <c r="D36">
        <f>VLOOKUP(A36,[149]wgfdpjtsbuksxica!$B$1:$N$100,12,FALSE)</f>
        <v>0.56669999999999998</v>
      </c>
      <c r="E36">
        <f>VLOOKUP(A36,[133]flhyxourx89ghhy7!$B$1:$N$9,12,FALSE)</f>
        <v>0.16</v>
      </c>
      <c r="F36" s="1">
        <f t="shared" si="5"/>
        <v>0.70872004594276206</v>
      </c>
      <c r="G36" s="1">
        <f t="shared" si="6"/>
        <v>0.70872004594276206</v>
      </c>
      <c r="H36" s="2">
        <f t="shared" si="7"/>
        <v>-0.27106015096200442</v>
      </c>
      <c r="I36" s="2">
        <f>VLOOKUP(A36,[150]r8avu7ghnjr5mqgc!$B$1:$N$100,9,FALSE)/100</f>
        <v>5.7500000000000002E-2</v>
      </c>
      <c r="J36" s="2">
        <f>VLOOKUP(A36,[150]r8avu7ghnjr5mqgc!$B$1:$N$100,8,FALSE)/100</f>
        <v>5.7500000000000002E-2</v>
      </c>
      <c r="K36" s="2">
        <f t="shared" si="8"/>
        <v>1.2121300375430692</v>
      </c>
      <c r="L36" s="2">
        <f t="shared" si="9"/>
        <v>1.2121300375430692</v>
      </c>
      <c r="M36">
        <f>VLOOKUP(A36,[150]r8avu7ghnjr5mqgc!$B$1:$N$100,7,FALSE)</f>
        <v>2</v>
      </c>
      <c r="N36">
        <f>VLOOKUP(A36,[150]r8avu7ghnjr5mqgc!$B$1:$N$100,10,FALSE)</f>
        <v>3.18</v>
      </c>
    </row>
  </sheetData>
  <mergeCells count="3">
    <mergeCell ref="P1:Q1"/>
    <mergeCell ref="P7:Q7"/>
    <mergeCell ref="P13:Q13"/>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3F02A6-1BB9-414F-9E4A-E586D567DFCF}">
  <dimension ref="A1:Q33"/>
  <sheetViews>
    <sheetView topLeftCell="J1" workbookViewId="0">
      <selection activeCell="Q15" sqref="Q15"/>
    </sheetView>
  </sheetViews>
  <sheetFormatPr defaultRowHeight="14.4" x14ac:dyDescent="0.3"/>
  <cols>
    <col min="1" max="1" width="13.33203125" bestFit="1" customWidth="1"/>
    <col min="2" max="2" width="10.44140625" bestFit="1" customWidth="1"/>
    <col min="3" max="3" width="15.109375" bestFit="1" customWidth="1"/>
    <col min="4" max="5" width="15.44140625" bestFit="1" customWidth="1"/>
    <col min="6" max="6" width="14.33203125" bestFit="1" customWidth="1"/>
    <col min="7" max="7" width="16" bestFit="1" customWidth="1"/>
    <col min="8" max="10" width="16" customWidth="1"/>
    <col min="12" max="12" width="13.5546875" customWidth="1"/>
    <col min="16" max="16" width="50" bestFit="1" customWidth="1"/>
  </cols>
  <sheetData>
    <row r="1" spans="1:17" x14ac:dyDescent="0.3">
      <c r="A1" t="s">
        <v>0</v>
      </c>
      <c r="B1" t="s">
        <v>1</v>
      </c>
      <c r="C1" t="s">
        <v>2</v>
      </c>
      <c r="D1" t="s">
        <v>116</v>
      </c>
      <c r="E1" t="s">
        <v>112</v>
      </c>
      <c r="F1" t="s">
        <v>5</v>
      </c>
      <c r="G1" t="s">
        <v>6</v>
      </c>
      <c r="H1" t="s">
        <v>7</v>
      </c>
      <c r="I1" t="s">
        <v>8</v>
      </c>
      <c r="J1" t="s">
        <v>9</v>
      </c>
      <c r="K1" t="s">
        <v>10</v>
      </c>
      <c r="L1" t="s">
        <v>11</v>
      </c>
      <c r="M1" t="s">
        <v>12</v>
      </c>
      <c r="P1" s="111" t="s">
        <v>14</v>
      </c>
      <c r="Q1" s="111"/>
    </row>
    <row r="2" spans="1:17" x14ac:dyDescent="0.3">
      <c r="A2" t="s">
        <v>31</v>
      </c>
      <c r="B2" t="str">
        <f>VLOOKUP(A2,[151]WRDS!$A$2:$K$27, 2,FALSE)</f>
        <v>ED</v>
      </c>
      <c r="C2" t="str">
        <f>VLOOKUP(A2,[151]WRDS!$A$2:$K$27, 3,FALSE)</f>
        <v>CONSOL EDISON</v>
      </c>
      <c r="D2">
        <f>VLOOKUP(A2,[152]WRDS!$A$2:$M$32,13,FALSE)</f>
        <v>1.61</v>
      </c>
      <c r="E2">
        <f>VLOOKUP(A2,[135]WRDS!$A$2:$N$36,13,FALSE)</f>
        <v>2.13</v>
      </c>
      <c r="F2" s="1">
        <f>D2*(1+I2)^4</f>
        <v>1.8885482904551032</v>
      </c>
      <c r="G2" s="1">
        <f>D2*(1+J2)^4</f>
        <v>1.8834722816000005</v>
      </c>
      <c r="H2" s="2">
        <f t="shared" ref="H2:H33" si="0">((E2/D2)^(1/4)-1)</f>
        <v>7.247809801603089E-2</v>
      </c>
      <c r="I2" s="2">
        <f>VLOOKUP(A2,[151]WRDS!$A$2:$K$27,10,FALSE)/100</f>
        <v>4.07E-2</v>
      </c>
      <c r="J2" s="2">
        <f>VLOOKUP(A2,[151]WRDS!$A$2:$K$27,9,FALSE)/100</f>
        <v>0.04</v>
      </c>
      <c r="K2" s="2">
        <f t="shared" ref="K2:K33" si="1">(I2-H2)/(ABS(H2))</f>
        <v>-0.43845104777724891</v>
      </c>
      <c r="L2" s="2">
        <f>(J2-H2)/(ABS(H2))</f>
        <v>-0.44810913786461809</v>
      </c>
      <c r="M2">
        <f>VLOOKUP(A2,[151]WRDS!$A$2:$K$27,8,FALSE)</f>
        <v>7</v>
      </c>
      <c r="P2" t="s">
        <v>16</v>
      </c>
      <c r="Q2" s="3">
        <f>AVERAGE(H2:H999)</f>
        <v>4.7727980554729259E-2</v>
      </c>
    </row>
    <row r="3" spans="1:17" x14ac:dyDescent="0.3">
      <c r="A3" t="s">
        <v>27</v>
      </c>
      <c r="B3" t="str">
        <f>VLOOKUP(A3,[151]WRDS!$A$2:$K$27, 2,FALSE)</f>
        <v>DTE</v>
      </c>
      <c r="C3" t="str">
        <f>VLOOKUP(A3,[151]WRDS!$A$2:$K$27, 3,FALSE)</f>
        <v>DETROIT EDISON</v>
      </c>
      <c r="D3">
        <f>VLOOKUP(A3,[152]WRDS!$A$2:$M$32,13,FALSE)</f>
        <v>2</v>
      </c>
      <c r="E3">
        <f>VLOOKUP(A3,[135]WRDS!$A$2:$N$36,13,FALSE)</f>
        <v>2.33</v>
      </c>
      <c r="F3" s="1">
        <f t="shared" ref="F3:F33" si="2">D3*(1+I3)^4</f>
        <v>2.233584845312</v>
      </c>
      <c r="G3" s="1">
        <f t="shared" ref="G3:G33" si="3">D3*(1+J3)^4</f>
        <v>2.2510176199999998</v>
      </c>
      <c r="H3" s="2">
        <f t="shared" si="0"/>
        <v>3.8918503659524317E-2</v>
      </c>
      <c r="I3" s="2">
        <f>VLOOKUP(A3,[151]WRDS!$A$2:$K$27,10,FALSE)/100</f>
        <v>2.7999999999999997E-2</v>
      </c>
      <c r="J3" s="2">
        <f>VLOOKUP(A3,[151]WRDS!$A$2:$K$27,9,FALSE)/100</f>
        <v>0.03</v>
      </c>
      <c r="K3" s="2">
        <f t="shared" si="1"/>
        <v>-0.28054787910254853</v>
      </c>
      <c r="L3" s="2">
        <f t="shared" ref="L3:L33" si="4">(J3-H3)/(ABS(H3))</f>
        <v>-0.22915844189558765</v>
      </c>
      <c r="M3">
        <f>VLOOKUP(A3,[151]WRDS!$A$2:$K$27,8,FALSE)</f>
        <v>5</v>
      </c>
      <c r="P3" t="s">
        <v>18</v>
      </c>
      <c r="Q3" s="3">
        <f>AVERAGE(I2:I999)</f>
        <v>5.4278124999999997E-2</v>
      </c>
    </row>
    <row r="4" spans="1:17" x14ac:dyDescent="0.3">
      <c r="A4" t="s">
        <v>29</v>
      </c>
      <c r="B4" t="str">
        <f>VLOOKUP(A4,[151]WRDS!$A$2:$K$27, 2,FALSE)</f>
        <v>DUK</v>
      </c>
      <c r="C4" t="str">
        <f>VLOOKUP(A4,[151]WRDS!$A$2:$K$27, 3,FALSE)</f>
        <v>DUKE POWER CO</v>
      </c>
      <c r="D4">
        <f>VLOOKUP(A4,[152]WRDS!$A$2:$M$32,13,FALSE)</f>
        <v>2.3849999999999998</v>
      </c>
      <c r="E4">
        <f>VLOOKUP(A4,[135]WRDS!$A$2:$N$36,13,FALSE)</f>
        <v>2.79</v>
      </c>
      <c r="F4" s="1">
        <f t="shared" si="2"/>
        <v>2.9111496262338679</v>
      </c>
      <c r="G4" s="1">
        <f t="shared" si="3"/>
        <v>2.9545967917406242</v>
      </c>
      <c r="H4" s="2">
        <f t="shared" si="0"/>
        <v>3.998950096175502E-2</v>
      </c>
      <c r="I4" s="2">
        <f>VLOOKUP(A4,[151]WRDS!$A$2:$K$27,10,FALSE)/100</f>
        <v>5.1100000000000007E-2</v>
      </c>
      <c r="J4" s="2">
        <f>VLOOKUP(A4,[151]WRDS!$A$2:$K$27,9,FALSE)/100</f>
        <v>5.5E-2</v>
      </c>
      <c r="K4" s="2">
        <f t="shared" si="1"/>
        <v>0.27783540106866539</v>
      </c>
      <c r="L4" s="2">
        <f t="shared" si="4"/>
        <v>0.37536099919327959</v>
      </c>
      <c r="M4">
        <f>VLOOKUP(A4,[151]WRDS!$A$2:$K$27,8,FALSE)</f>
        <v>8</v>
      </c>
      <c r="P4" t="s">
        <v>20</v>
      </c>
      <c r="Q4" s="3">
        <f>(Q3-Q2)/ABS(Q2)</f>
        <v>0.1372390863627625</v>
      </c>
    </row>
    <row r="5" spans="1:17" x14ac:dyDescent="0.3">
      <c r="A5" t="s">
        <v>36</v>
      </c>
      <c r="B5" t="str">
        <f>VLOOKUP(A5,[151]WRDS!$A$2:$K$27, 2,FALSE)</f>
        <v>HE</v>
      </c>
      <c r="C5" t="str">
        <f>VLOOKUP(A5,[151]WRDS!$A$2:$K$27, 3,FALSE)</f>
        <v>HAWAIIAN ELEC</v>
      </c>
      <c r="D5">
        <f>VLOOKUP(A5,[152]WRDS!$A$2:$M$32,13,FALSE)</f>
        <v>0.94499999999999995</v>
      </c>
      <c r="E5">
        <f>VLOOKUP(A5,[135]WRDS!$A$2:$N$36,13,FALSE)</f>
        <v>1.2</v>
      </c>
      <c r="F5" s="1">
        <f t="shared" si="2"/>
        <v>1.1609548056475729</v>
      </c>
      <c r="G5" s="1">
        <f t="shared" si="3"/>
        <v>1.1840620974487199</v>
      </c>
      <c r="H5" s="2">
        <f t="shared" si="0"/>
        <v>6.1542434214488795E-2</v>
      </c>
      <c r="I5" s="2">
        <f>VLOOKUP(A5,[151]WRDS!$A$2:$K$27,10,FALSE)/100</f>
        <v>5.28E-2</v>
      </c>
      <c r="J5" s="2">
        <f>VLOOKUP(A5,[151]WRDS!$A$2:$K$27,9,FALSE)/100</f>
        <v>5.7999999999999996E-2</v>
      </c>
      <c r="K5" s="2">
        <f t="shared" si="1"/>
        <v>-0.14205538546004706</v>
      </c>
      <c r="L5" s="2">
        <f t="shared" si="4"/>
        <v>-5.7560840088688135E-2</v>
      </c>
      <c r="M5">
        <f>VLOOKUP(A5,[151]WRDS!$A$2:$K$27,8,FALSE)</f>
        <v>4</v>
      </c>
      <c r="P5" t="s">
        <v>22</v>
      </c>
      <c r="Q5" s="3">
        <f>AVERAGE(J2:J999)</f>
        <v>5.3687500000000013E-2</v>
      </c>
    </row>
    <row r="6" spans="1:17" x14ac:dyDescent="0.3">
      <c r="A6" t="s">
        <v>38</v>
      </c>
      <c r="B6" t="str">
        <f>VLOOKUP(A6,[151]WRDS!$A$2:$K$27, 2,FALSE)</f>
        <v>IDA</v>
      </c>
      <c r="C6" t="str">
        <f>VLOOKUP(A6,[151]WRDS!$A$2:$K$27, 3,FALSE)</f>
        <v>IDAHO POWER CO</v>
      </c>
      <c r="D6">
        <f>VLOOKUP(A6,[152]WRDS!$A$2:$M$32,13,FALSE)</f>
        <v>1.52</v>
      </c>
      <c r="E6">
        <f>VLOOKUP(A6,[135]WRDS!$A$2:$N$36,13,FALSE)</f>
        <v>2.16</v>
      </c>
      <c r="F6" s="1">
        <f t="shared" si="2"/>
        <v>1.7543684707528946</v>
      </c>
      <c r="G6" s="1">
        <f t="shared" si="3"/>
        <v>1.7307919795599194</v>
      </c>
      <c r="H6" s="2">
        <f t="shared" si="0"/>
        <v>9.1823759293842899E-2</v>
      </c>
      <c r="I6" s="2">
        <f>VLOOKUP(A6,[151]WRDS!$A$2:$K$27,10,FALSE)/100</f>
        <v>3.6499999999999998E-2</v>
      </c>
      <c r="J6" s="2">
        <f>VLOOKUP(A6,[151]WRDS!$A$2:$K$27,9,FALSE)/100</f>
        <v>3.3000000000000002E-2</v>
      </c>
      <c r="K6" s="2">
        <f t="shared" si="1"/>
        <v>-0.60249939361339733</v>
      </c>
      <c r="L6" s="2">
        <f t="shared" si="4"/>
        <v>-0.64061589011622222</v>
      </c>
      <c r="M6">
        <f>VLOOKUP(A6,[151]WRDS!$A$2:$K$27,8,FALSE)</f>
        <v>4</v>
      </c>
      <c r="P6" t="s">
        <v>24</v>
      </c>
      <c r="Q6" s="3">
        <f>(Q5-Q2)/ABS(Q2)</f>
        <v>0.12486426988958867</v>
      </c>
    </row>
    <row r="7" spans="1:17" x14ac:dyDescent="0.3">
      <c r="A7" t="s">
        <v>44</v>
      </c>
      <c r="B7" t="str">
        <f>VLOOKUP(A7,[151]WRDS!$A$2:$K$27, 2,FALSE)</f>
        <v>OGE</v>
      </c>
      <c r="C7" t="str">
        <f>VLOOKUP(A7,[151]WRDS!$A$2:$K$27, 3,FALSE)</f>
        <v>OKLAHOMA G&amp;E</v>
      </c>
      <c r="D7">
        <f>VLOOKUP(A7,[152]WRDS!$A$2:$M$32,13,FALSE)</f>
        <v>0.51249999999999996</v>
      </c>
      <c r="E7">
        <f>VLOOKUP(A7,[135]WRDS!$A$2:$N$36,13,FALSE)</f>
        <v>0.57499999999999996</v>
      </c>
      <c r="F7" s="1">
        <f t="shared" si="2"/>
        <v>0.62057720991051246</v>
      </c>
      <c r="G7" s="1">
        <f t="shared" si="3"/>
        <v>0.6111657828203122</v>
      </c>
      <c r="H7" s="2">
        <f t="shared" si="0"/>
        <v>2.9185108634282253E-2</v>
      </c>
      <c r="I7" s="2">
        <f>VLOOKUP(A7,[151]WRDS!$A$2:$K$27,10,FALSE)/100</f>
        <v>4.9000000000000002E-2</v>
      </c>
      <c r="J7" s="2">
        <f>VLOOKUP(A7,[151]WRDS!$A$2:$K$27,9,FALSE)/100</f>
        <v>4.4999999999999998E-2</v>
      </c>
      <c r="K7" s="2">
        <f t="shared" si="1"/>
        <v>0.67893841390202025</v>
      </c>
      <c r="L7" s="2">
        <f t="shared" si="4"/>
        <v>0.54188221684879401</v>
      </c>
      <c r="M7">
        <f>VLOOKUP(A7,[151]WRDS!$A$2:$K$27,8,FALSE)</f>
        <v>7</v>
      </c>
      <c r="P7" s="111" t="s">
        <v>26</v>
      </c>
      <c r="Q7" s="111"/>
    </row>
    <row r="8" spans="1:17" x14ac:dyDescent="0.3">
      <c r="A8" t="s">
        <v>69</v>
      </c>
      <c r="B8" t="str">
        <f>VLOOKUP(A8,[151]WRDS!$A$2:$K$27, 2,FALSE)</f>
        <v>OTTR</v>
      </c>
      <c r="C8" t="str">
        <f>VLOOKUP(A8,[151]WRDS!$A$2:$K$27, 3,FALSE)</f>
        <v>OTTER TAIL PWR</v>
      </c>
      <c r="D8">
        <f>VLOOKUP(A8,[152]WRDS!$A$2:$M$32,13,FALSE)</f>
        <v>0.43</v>
      </c>
      <c r="E8">
        <f>VLOOKUP(A8,[135]WRDS!$A$2:$N$36,13,FALSE)</f>
        <v>0.88749999999999996</v>
      </c>
      <c r="F8" s="1">
        <f t="shared" si="2"/>
        <v>0.46544582879999996</v>
      </c>
      <c r="G8" s="1">
        <f t="shared" si="3"/>
        <v>0.46544582879999996</v>
      </c>
      <c r="H8" s="2">
        <f t="shared" si="0"/>
        <v>0.19860194068304948</v>
      </c>
      <c r="I8" s="2">
        <f>VLOOKUP(A8,[151]WRDS!$A$2:$K$27,10,FALSE)/100</f>
        <v>0.02</v>
      </c>
      <c r="J8" s="2">
        <f>VLOOKUP(A8,[151]WRDS!$A$2:$K$27,9,FALSE)/100</f>
        <v>0.02</v>
      </c>
      <c r="K8" s="2">
        <f t="shared" si="1"/>
        <v>-0.89929604951888076</v>
      </c>
      <c r="L8" s="2">
        <f t="shared" si="4"/>
        <v>-0.89929604951888076</v>
      </c>
      <c r="M8">
        <f>VLOOKUP(A8,[151]WRDS!$A$2:$K$27,8,FALSE)</f>
        <v>1</v>
      </c>
      <c r="P8" t="s">
        <v>28</v>
      </c>
      <c r="Q8" s="2">
        <f>MEDIAN(H2:H99)</f>
        <v>7.3768959121047084E-2</v>
      </c>
    </row>
    <row r="9" spans="1:17" x14ac:dyDescent="0.3">
      <c r="A9" t="s">
        <v>45</v>
      </c>
      <c r="B9" t="str">
        <f>VLOOKUP(A9,[151]WRDS!$A$2:$K$27, 2,FALSE)</f>
        <v>PCG</v>
      </c>
      <c r="C9" t="str">
        <f>VLOOKUP(A9,[151]WRDS!$A$2:$K$27, 3,FALSE)</f>
        <v>PACIFIC G&amp;E</v>
      </c>
      <c r="D9">
        <f>VLOOKUP(A9,[152]WRDS!$A$2:$M$32,13,FALSE)</f>
        <v>1.7</v>
      </c>
      <c r="E9">
        <f>VLOOKUP(A9,[135]WRDS!$A$2:$N$36,13,FALSE)</f>
        <v>2.65</v>
      </c>
      <c r="F9" s="1">
        <f t="shared" si="2"/>
        <v>2.0742437276416998</v>
      </c>
      <c r="G9" s="1">
        <f t="shared" si="3"/>
        <v>2.1462108320000004</v>
      </c>
      <c r="H9" s="2">
        <f t="shared" si="0"/>
        <v>0.11737574060545786</v>
      </c>
      <c r="I9" s="2">
        <f>VLOOKUP(A9,[151]WRDS!$A$2:$K$27,10,FALSE)/100</f>
        <v>5.0999999999999997E-2</v>
      </c>
      <c r="J9" s="2">
        <f>VLOOKUP(A9,[151]WRDS!$A$2:$K$27,9,FALSE)/100</f>
        <v>0.06</v>
      </c>
      <c r="K9" s="2">
        <f t="shared" si="1"/>
        <v>-0.56549794926168462</v>
      </c>
      <c r="L9" s="2">
        <f t="shared" si="4"/>
        <v>-0.48882111677845247</v>
      </c>
      <c r="M9">
        <f>VLOOKUP(A9,[151]WRDS!$A$2:$K$27,8,FALSE)</f>
        <v>9</v>
      </c>
      <c r="P9" t="s">
        <v>30</v>
      </c>
      <c r="Q9" s="2">
        <f>MEDIAN(I2:I100)</f>
        <v>5.0500000000000003E-2</v>
      </c>
    </row>
    <row r="10" spans="1:17" x14ac:dyDescent="0.3">
      <c r="A10" t="s">
        <v>47</v>
      </c>
      <c r="B10" t="str">
        <f>VLOOKUP(A10,[151]WRDS!$A$2:$K$27, 2,FALSE)</f>
        <v>PNM</v>
      </c>
      <c r="C10" t="str">
        <f>VLOOKUP(A10,[151]WRDS!$A$2:$K$27, 3,FALSE)</f>
        <v>PUB SVC N MEX</v>
      </c>
      <c r="D10">
        <f>VLOOKUP(A10,[152]WRDS!$A$2:$M$32,13,FALSE)</f>
        <v>2.82</v>
      </c>
      <c r="E10">
        <f>VLOOKUP(A10,[135]WRDS!$A$2:$N$36,13,FALSE)</f>
        <v>2.2000000000000002</v>
      </c>
      <c r="F10" s="1">
        <f t="shared" si="2"/>
        <v>3.3500485651507201</v>
      </c>
      <c r="G10" s="1">
        <f t="shared" si="3"/>
        <v>3.3629024537624983</v>
      </c>
      <c r="H10" s="2">
        <f t="shared" si="0"/>
        <v>-6.0182791007710845E-2</v>
      </c>
      <c r="I10" s="2">
        <f>VLOOKUP(A10,[151]WRDS!$A$2:$K$27,10,FALSE)/100</f>
        <v>4.4000000000000004E-2</v>
      </c>
      <c r="J10" s="2">
        <f>VLOOKUP(A10,[151]WRDS!$A$2:$K$27,9,FALSE)/100</f>
        <v>4.4999999999999998E-2</v>
      </c>
      <c r="K10" s="2">
        <f t="shared" si="1"/>
        <v>1.7311060066051533</v>
      </c>
      <c r="L10" s="2">
        <f t="shared" si="4"/>
        <v>1.7477220522098158</v>
      </c>
      <c r="M10">
        <f>VLOOKUP(A10,[151]WRDS!$A$2:$K$27,8,FALSE)</f>
        <v>5</v>
      </c>
      <c r="P10" t="s">
        <v>32</v>
      </c>
      <c r="Q10" s="2">
        <f>(Q9-Q8)/ABS(Q8)</f>
        <v>-0.31543022157687184</v>
      </c>
    </row>
    <row r="11" spans="1:17" x14ac:dyDescent="0.3">
      <c r="A11" t="s">
        <v>50</v>
      </c>
      <c r="B11" t="str">
        <f>VLOOKUP(A11,[151]WRDS!$A$2:$K$27, 2,FALSE)</f>
        <v>POR</v>
      </c>
      <c r="C11" t="str">
        <f>VLOOKUP(A11,[151]WRDS!$A$2:$K$27, 3,FALSE)</f>
        <v>PORTEC INC</v>
      </c>
      <c r="D11">
        <f>VLOOKUP(A11,[152]WRDS!$A$2:$M$32,13,FALSE)</f>
        <v>1.5551999999999999</v>
      </c>
      <c r="E11">
        <f>VLOOKUP(A11,[135]WRDS!$A$2:$N$36,13,FALSE)</f>
        <v>0.4733</v>
      </c>
      <c r="F11" s="1">
        <f t="shared" si="2"/>
        <v>2.7200545199999988</v>
      </c>
      <c r="G11" s="1">
        <f t="shared" si="3"/>
        <v>2.7200545199999988</v>
      </c>
      <c r="H11" s="2">
        <f t="shared" si="0"/>
        <v>-0.25725871579261339</v>
      </c>
      <c r="I11" s="2">
        <f>VLOOKUP(A11,[151]WRDS!$A$2:$K$27,10,FALSE)/100</f>
        <v>0.15</v>
      </c>
      <c r="J11" s="2">
        <f>VLOOKUP(A11,[151]WRDS!$A$2:$K$27,9,FALSE)/100</f>
        <v>0.15</v>
      </c>
      <c r="K11" s="2">
        <f t="shared" si="1"/>
        <v>1.5830706242074266</v>
      </c>
      <c r="L11" s="2">
        <f t="shared" si="4"/>
        <v>1.5830706242074266</v>
      </c>
      <c r="M11">
        <f>VLOOKUP(A11,[151]WRDS!$A$2:$K$27,8,FALSE)</f>
        <v>1</v>
      </c>
      <c r="P11" t="s">
        <v>34</v>
      </c>
      <c r="Q11" s="2">
        <f>MEDIAN(J2:J99)</f>
        <v>4.7500000000000001E-2</v>
      </c>
    </row>
    <row r="12" spans="1:17" x14ac:dyDescent="0.3">
      <c r="A12" t="s">
        <v>51</v>
      </c>
      <c r="B12" t="str">
        <f>VLOOKUP(A12,[151]WRDS!$A$2:$K$27, 2,FALSE)</f>
        <v>PPL</v>
      </c>
      <c r="C12" t="str">
        <f>VLOOKUP(A12,[151]WRDS!$A$2:$K$27, 3,FALSE)</f>
        <v>PENNA P&amp;L</v>
      </c>
      <c r="D12">
        <f>VLOOKUP(A12,[152]WRDS!$A$2:$M$32,13,FALSE)</f>
        <v>0.79249999999999998</v>
      </c>
      <c r="E12">
        <f>VLOOKUP(A12,[135]WRDS!$A$2:$N$36,13,FALSE)</f>
        <v>0.67</v>
      </c>
      <c r="F12" s="1">
        <f t="shared" si="2"/>
        <v>0.90695422780620072</v>
      </c>
      <c r="G12" s="1">
        <f t="shared" si="3"/>
        <v>0.90941197799531226</v>
      </c>
      <c r="H12" s="2">
        <f t="shared" si="0"/>
        <v>-4.1109793693455132E-2</v>
      </c>
      <c r="I12" s="2">
        <f>VLOOKUP(A12,[151]WRDS!$A$2:$K$27,10,FALSE)/100</f>
        <v>3.4300000000000004E-2</v>
      </c>
      <c r="J12" s="2">
        <f>VLOOKUP(A12,[151]WRDS!$A$2:$K$27,9,FALSE)/100</f>
        <v>3.5000000000000003E-2</v>
      </c>
      <c r="K12" s="2">
        <f t="shared" si="1"/>
        <v>1.8343510613496636</v>
      </c>
      <c r="L12" s="2">
        <f t="shared" si="4"/>
        <v>1.8513786340302691</v>
      </c>
      <c r="M12">
        <f>VLOOKUP(A12,[151]WRDS!$A$2:$K$27,8,FALSE)</f>
        <v>7</v>
      </c>
      <c r="P12" t="s">
        <v>32</v>
      </c>
      <c r="Q12" s="2">
        <f>(Q11-Q8)/ABS(Q8)</f>
        <v>-0.35609773316636462</v>
      </c>
    </row>
    <row r="13" spans="1:17" x14ac:dyDescent="0.3">
      <c r="A13" t="s">
        <v>46</v>
      </c>
      <c r="B13" t="str">
        <f>VLOOKUP(A13,[151]WRDS!$A$2:$K$27, 2,FALSE)</f>
        <v>PEG</v>
      </c>
      <c r="C13" t="str">
        <f>VLOOKUP(A13,[151]WRDS!$A$2:$K$27, 3,FALSE)</f>
        <v>PUB SVC E&amp;G</v>
      </c>
      <c r="D13">
        <f>VLOOKUP(A13,[152]WRDS!$A$2:$M$32,13,FALSE)</f>
        <v>0.875</v>
      </c>
      <c r="E13">
        <f>VLOOKUP(A13,[135]WRDS!$A$2:$N$36,13,FALSE)</f>
        <v>1.32</v>
      </c>
      <c r="F13" s="1">
        <f t="shared" si="2"/>
        <v>1.0354885159508747</v>
      </c>
      <c r="G13" s="1">
        <f t="shared" si="3"/>
        <v>1.0236262400000002</v>
      </c>
      <c r="H13" s="2">
        <f t="shared" si="0"/>
        <v>0.10825951731802497</v>
      </c>
      <c r="I13" s="2">
        <f>VLOOKUP(A13,[151]WRDS!$A$2:$K$27,10,FALSE)/100</f>
        <v>4.2999999999999997E-2</v>
      </c>
      <c r="J13" s="2">
        <f>VLOOKUP(A13,[151]WRDS!$A$2:$K$27,9,FALSE)/100</f>
        <v>0.04</v>
      </c>
      <c r="K13" s="2">
        <f t="shared" si="1"/>
        <v>-0.602806283777504</v>
      </c>
      <c r="L13" s="2">
        <f t="shared" si="4"/>
        <v>-0.63051747328139895</v>
      </c>
      <c r="M13">
        <f>VLOOKUP(A13,[151]WRDS!$A$2:$K$27,8,FALSE)</f>
        <v>8</v>
      </c>
      <c r="P13" s="111" t="s">
        <v>37</v>
      </c>
      <c r="Q13" s="111"/>
    </row>
    <row r="14" spans="1:17" x14ac:dyDescent="0.3">
      <c r="A14" t="s">
        <v>53</v>
      </c>
      <c r="B14" t="str">
        <f>VLOOKUP(A14,[151]WRDS!$A$2:$K$27, 2,FALSE)</f>
        <v>SO</v>
      </c>
      <c r="C14" t="str">
        <f>VLOOKUP(A14,[151]WRDS!$A$2:$K$27, 3,FALSE)</f>
        <v>SOUTHN CO</v>
      </c>
      <c r="D14">
        <f>VLOOKUP(A14,[152]WRDS!$A$2:$M$32,13,FALSE)</f>
        <v>0.90500000000000003</v>
      </c>
      <c r="E14">
        <f>VLOOKUP(A14,[135]WRDS!$A$2:$N$36,13,FALSE)</f>
        <v>1.6</v>
      </c>
      <c r="F14" s="1">
        <f t="shared" si="2"/>
        <v>1.0213572672837568</v>
      </c>
      <c r="G14" s="1">
        <f t="shared" si="3"/>
        <v>1.0185854730499999</v>
      </c>
      <c r="H14" s="2">
        <f t="shared" si="0"/>
        <v>0.15310233311231625</v>
      </c>
      <c r="I14" s="2">
        <f>VLOOKUP(A14,[151]WRDS!$A$2:$K$27,10,FALSE)/100</f>
        <v>3.0699999999999998E-2</v>
      </c>
      <c r="J14" s="2">
        <f>VLOOKUP(A14,[151]WRDS!$A$2:$K$27,9,FALSE)/100</f>
        <v>0.03</v>
      </c>
      <c r="K14" s="2">
        <f t="shared" si="1"/>
        <v>-0.79948052145307014</v>
      </c>
      <c r="L14" s="2">
        <f t="shared" si="4"/>
        <v>-0.80405262682710443</v>
      </c>
      <c r="M14">
        <f>VLOOKUP(A14,[151]WRDS!$A$2:$K$27,8,FALSE)</f>
        <v>9</v>
      </c>
      <c r="P14" t="s">
        <v>39</v>
      </c>
      <c r="Q14">
        <f>AVERAGE(M2:M999)</f>
        <v>4.6875</v>
      </c>
    </row>
    <row r="15" spans="1:17" x14ac:dyDescent="0.3">
      <c r="A15" t="s">
        <v>72</v>
      </c>
      <c r="B15" t="str">
        <f>VLOOKUP(A15,[151]WRDS!$A$2:$K$27, 2,FALSE)</f>
        <v>EDE</v>
      </c>
      <c r="C15" t="str">
        <f>VLOOKUP(A15,[151]WRDS!$A$2:$K$27, 3,FALSE)</f>
        <v>EMPIRE DIST ELEC</v>
      </c>
      <c r="D15">
        <f>VLOOKUP(A15,[152]WRDS!$A$2:$M$32,13,FALSE)</f>
        <v>0.66500000000000004</v>
      </c>
      <c r="E15">
        <f>VLOOKUP(A15,[135]WRDS!$A$2:$N$36,13,FALSE)</f>
        <v>1.375</v>
      </c>
      <c r="F15" s="1">
        <f t="shared" si="2"/>
        <v>0.73403557226562488</v>
      </c>
      <c r="G15" s="1">
        <f t="shared" si="3"/>
        <v>0.73403557226562488</v>
      </c>
      <c r="H15" s="2">
        <f t="shared" si="0"/>
        <v>0.19914103025624375</v>
      </c>
      <c r="I15" s="2">
        <f>VLOOKUP(A15,[151]WRDS!$A$2:$K$27,10,FALSE)/100</f>
        <v>2.5000000000000001E-2</v>
      </c>
      <c r="J15" s="2">
        <f>VLOOKUP(A15,[151]WRDS!$A$2:$K$27,9,FALSE)/100</f>
        <v>2.5000000000000001E-2</v>
      </c>
      <c r="K15" s="2">
        <f t="shared" si="1"/>
        <v>-0.87446082824904858</v>
      </c>
      <c r="L15" s="2">
        <f t="shared" si="4"/>
        <v>-0.87446082824904858</v>
      </c>
      <c r="M15">
        <f>VLOOKUP(A15,[151]WRDS!$A$2:$K$27,8,FALSE)</f>
        <v>1</v>
      </c>
      <c r="P15" t="s">
        <v>41</v>
      </c>
      <c r="Q15">
        <f>COUNT(M2:M999)</f>
        <v>32</v>
      </c>
    </row>
    <row r="16" spans="1:17" x14ac:dyDescent="0.3">
      <c r="A16" t="s">
        <v>52</v>
      </c>
      <c r="B16" t="str">
        <f>VLOOKUP(A16,[151]WRDS!$A$2:$K$27, 2,FALSE)</f>
        <v>SCG</v>
      </c>
      <c r="C16" t="str">
        <f>VLOOKUP(A16,[151]WRDS!$A$2:$K$27, 3,FALSE)</f>
        <v>SO CAROLINA EG</v>
      </c>
      <c r="D16">
        <f>VLOOKUP(A16,[152]WRDS!$A$2:$M$32,13,FALSE)</f>
        <v>1.22</v>
      </c>
      <c r="E16">
        <f>VLOOKUP(A16,[135]WRDS!$A$2:$N$36,13,FALSE)</f>
        <v>1.41</v>
      </c>
      <c r="F16" s="1">
        <f t="shared" si="2"/>
        <v>1.4520902451858759</v>
      </c>
      <c r="G16" s="1">
        <f t="shared" si="3"/>
        <v>1.4548726927624993</v>
      </c>
      <c r="H16" s="2">
        <f t="shared" si="0"/>
        <v>3.6847346340846077E-2</v>
      </c>
      <c r="I16" s="2">
        <f>VLOOKUP(A16,[151]WRDS!$A$2:$K$27,10,FALSE)/100</f>
        <v>4.4500000000000005E-2</v>
      </c>
      <c r="J16" s="2">
        <f>VLOOKUP(A16,[151]WRDS!$A$2:$K$27,9,FALSE)/100</f>
        <v>4.4999999999999998E-2</v>
      </c>
      <c r="K16" s="2">
        <f t="shared" si="1"/>
        <v>0.20768534016982376</v>
      </c>
      <c r="L16" s="2">
        <f t="shared" si="4"/>
        <v>0.22125483837397891</v>
      </c>
      <c r="M16">
        <f>VLOOKUP(A16,[151]WRDS!$A$2:$K$27,8,FALSE)</f>
        <v>6</v>
      </c>
    </row>
    <row r="17" spans="1:14" x14ac:dyDescent="0.3">
      <c r="A17" t="s">
        <v>49</v>
      </c>
      <c r="B17" t="str">
        <f>VLOOKUP(A17,[151]WRDS!$A$2:$K$27, 2,FALSE)</f>
        <v>POM</v>
      </c>
      <c r="C17" t="str">
        <f>VLOOKUP(A17,[151]WRDS!$A$2:$K$27, 3,FALSE)</f>
        <v>POTOMAC ELEC</v>
      </c>
      <c r="D17">
        <f>VLOOKUP(A17,[152]WRDS!$A$2:$M$32,13,FALSE)</f>
        <v>1.06</v>
      </c>
      <c r="E17">
        <f>VLOOKUP(A17,[135]WRDS!$A$2:$N$36,13,FALSE)</f>
        <v>1.79</v>
      </c>
      <c r="F17" s="1">
        <f t="shared" si="2"/>
        <v>1.32815431036576</v>
      </c>
      <c r="G17" s="1">
        <f t="shared" si="3"/>
        <v>1.33318281136266</v>
      </c>
      <c r="H17" s="2">
        <f t="shared" si="0"/>
        <v>0.13995259468504484</v>
      </c>
      <c r="I17" s="2">
        <f>VLOOKUP(A17,[151]WRDS!$A$2:$K$27,10,FALSE)/100</f>
        <v>5.7999999999999996E-2</v>
      </c>
      <c r="J17" s="2">
        <f>VLOOKUP(A17,[151]WRDS!$A$2:$K$27,9,FALSE)/100</f>
        <v>5.9000000000000004E-2</v>
      </c>
      <c r="K17" s="2">
        <f t="shared" si="1"/>
        <v>-0.58557395716366945</v>
      </c>
      <c r="L17" s="2">
        <f t="shared" si="4"/>
        <v>-0.57842868056304308</v>
      </c>
      <c r="M17">
        <f>VLOOKUP(A17,[151]WRDS!$A$2:$K$27,8,FALSE)</f>
        <v>7</v>
      </c>
    </row>
    <row r="18" spans="1:14" x14ac:dyDescent="0.3">
      <c r="A18" t="s">
        <v>75</v>
      </c>
      <c r="B18" t="str">
        <f>VLOOKUP(A18,[151]WRDS!$A$2:$K$27, 2,FALSE)</f>
        <v>TE</v>
      </c>
      <c r="C18" t="str">
        <f>VLOOKUP(A18,[151]WRDS!$A$2:$K$27, 3,FALSE)</f>
        <v>TECO ENERGY INC</v>
      </c>
      <c r="D18">
        <f>VLOOKUP(A18,[152]WRDS!$A$2:$M$32,13,FALSE)</f>
        <v>0.745</v>
      </c>
      <c r="E18">
        <f>VLOOKUP(A18,[135]WRDS!$A$2:$N$36,13,FALSE)</f>
        <v>0.89500000000000002</v>
      </c>
      <c r="F18" s="1">
        <f t="shared" si="2"/>
        <v>0.94054533520000028</v>
      </c>
      <c r="G18" s="1">
        <f t="shared" si="3"/>
        <v>0.94054533520000028</v>
      </c>
      <c r="H18" s="2">
        <f t="shared" si="0"/>
        <v>4.6927699906878395E-2</v>
      </c>
      <c r="I18" s="2">
        <f>VLOOKUP(A18,[151]WRDS!$A$2:$K$27,10,FALSE)/100</f>
        <v>0.06</v>
      </c>
      <c r="J18" s="2">
        <f>VLOOKUP(A18,[151]WRDS!$A$2:$K$27,9,FALSE)/100</f>
        <v>0.06</v>
      </c>
      <c r="K18" s="2">
        <f t="shared" si="1"/>
        <v>0.27856255727559193</v>
      </c>
      <c r="L18" s="2">
        <f t="shared" si="4"/>
        <v>0.27856255727559193</v>
      </c>
      <c r="M18">
        <f>VLOOKUP(A18,[151]WRDS!$A$2:$K$27,8,FALSE)</f>
        <v>7</v>
      </c>
    </row>
    <row r="19" spans="1:14" x14ac:dyDescent="0.3">
      <c r="A19" t="s">
        <v>78</v>
      </c>
      <c r="B19" t="str">
        <f>VLOOKUP(A19,[151]WRDS!$A$2:$K$27, 2,FALSE)</f>
        <v>NU</v>
      </c>
      <c r="C19" t="str">
        <f>VLOOKUP(A19,[151]WRDS!$A$2:$K$27, 3,FALSE)</f>
        <v>NORTHEAST UTILS</v>
      </c>
      <c r="D19">
        <f>VLOOKUP(A19,[152]WRDS!$A$2:$M$32,13,FALSE)</f>
        <v>1.29</v>
      </c>
      <c r="E19">
        <f>VLOOKUP(A19,[135]WRDS!$A$2:$N$36,13,FALSE)</f>
        <v>2.72</v>
      </c>
      <c r="F19" s="1">
        <f t="shared" si="2"/>
        <v>1.5920333231822401</v>
      </c>
      <c r="G19" s="1">
        <f t="shared" si="3"/>
        <v>1.5680030625000001</v>
      </c>
      <c r="H19" s="2">
        <f t="shared" si="0"/>
        <v>0.20502150768380023</v>
      </c>
      <c r="I19" s="2">
        <f>VLOOKUP(A19,[151]WRDS!$A$2:$K$27,10,FALSE)/100</f>
        <v>5.4000000000000006E-2</v>
      </c>
      <c r="J19" s="2">
        <f>VLOOKUP(A19,[151]WRDS!$A$2:$K$27,9,FALSE)/100</f>
        <v>0.05</v>
      </c>
      <c r="K19" s="2">
        <f t="shared" si="1"/>
        <v>-0.73661299924063139</v>
      </c>
      <c r="L19" s="2">
        <f t="shared" si="4"/>
        <v>-0.75612314744502906</v>
      </c>
      <c r="M19">
        <f>VLOOKUP(A19,[151]WRDS!$A$2:$K$27,8,FALSE)</f>
        <v>5</v>
      </c>
    </row>
    <row r="20" spans="1:14" x14ac:dyDescent="0.3">
      <c r="A20" t="s">
        <v>74</v>
      </c>
      <c r="B20" t="str">
        <f>VLOOKUP(A20,[151]WRDS!$A$2:$K$27, 2,FALSE)</f>
        <v>PGN</v>
      </c>
      <c r="C20" t="str">
        <f>VLOOKUP(A20,[151]WRDS!$A$2:$K$27, 3,FALSE)</f>
        <v>PORTLD GEN ELEC</v>
      </c>
      <c r="D20">
        <f>VLOOKUP(A20,[152]WRDS!$A$2:$M$32,13,FALSE)</f>
        <v>2.54</v>
      </c>
      <c r="E20">
        <f>VLOOKUP(A20,[135]WRDS!$A$2:$N$36,13,FALSE)</f>
        <v>1.1399999999999999</v>
      </c>
      <c r="F20" s="1">
        <f t="shared" si="2"/>
        <v>3.1765465267242203</v>
      </c>
      <c r="G20" s="1">
        <f t="shared" si="3"/>
        <v>3.1765465267242203</v>
      </c>
      <c r="H20" s="2">
        <f t="shared" si="0"/>
        <v>-0.18150169632726609</v>
      </c>
      <c r="I20" s="2">
        <f>VLOOKUP(A20,[151]WRDS!$A$2:$K$27,10,FALSE)/100</f>
        <v>5.7500000000000002E-2</v>
      </c>
      <c r="J20" s="2">
        <f>VLOOKUP(A20,[151]WRDS!$A$2:$K$27,9,FALSE)/100</f>
        <v>5.7500000000000002E-2</v>
      </c>
      <c r="K20" s="2">
        <f t="shared" si="1"/>
        <v>1.3168014468378391</v>
      </c>
      <c r="L20" s="2">
        <f t="shared" si="4"/>
        <v>1.3168014468378391</v>
      </c>
      <c r="M20">
        <f>VLOOKUP(A20,[151]WRDS!$A$2:$K$27,8,FALSE)</f>
        <v>2</v>
      </c>
    </row>
    <row r="21" spans="1:14" x14ac:dyDescent="0.3">
      <c r="A21" t="s">
        <v>86</v>
      </c>
      <c r="B21" t="str">
        <f>VLOOKUP(A21,[151]WRDS!$A$2:$K$27, 2,FALSE)</f>
        <v>DPL</v>
      </c>
      <c r="C21" t="str">
        <f>VLOOKUP(A21,[151]WRDS!$A$2:$K$27, 3,FALSE)</f>
        <v>DAYTON P &amp; L</v>
      </c>
      <c r="D21">
        <f>VLOOKUP(A21,[152]WRDS!$A$2:$M$32,13,FALSE)</f>
        <v>0.74370000000000003</v>
      </c>
      <c r="E21">
        <f>VLOOKUP(A21,[135]WRDS!$A$2:$N$36,13,FALSE)</f>
        <v>0.94810000000000005</v>
      </c>
      <c r="F21" s="1">
        <f t="shared" si="2"/>
        <v>0.84192753014426869</v>
      </c>
      <c r="G21" s="1">
        <f t="shared" si="3"/>
        <v>0.83055852472926717</v>
      </c>
      <c r="H21" s="2">
        <f t="shared" si="0"/>
        <v>6.2586004076419455E-2</v>
      </c>
      <c r="I21" s="2">
        <f>VLOOKUP(A21,[151]WRDS!$A$2:$K$27,10,FALSE)/100</f>
        <v>3.15E-2</v>
      </c>
      <c r="J21" s="2">
        <f>VLOOKUP(A21,[151]WRDS!$A$2:$K$27,9,FALSE)/100</f>
        <v>2.7999999999999997E-2</v>
      </c>
      <c r="K21" s="2">
        <f t="shared" si="1"/>
        <v>-0.49669258383172182</v>
      </c>
      <c r="L21" s="2">
        <f t="shared" si="4"/>
        <v>-0.55261563007264169</v>
      </c>
      <c r="M21">
        <f>VLOOKUP(A21,[151]WRDS!$A$2:$K$27,8,FALSE)</f>
        <v>4</v>
      </c>
    </row>
    <row r="22" spans="1:14" x14ac:dyDescent="0.3">
      <c r="A22" t="s">
        <v>79</v>
      </c>
      <c r="B22" t="str">
        <f>VLOOKUP(A22,[151]WRDS!$A$2:$K$27, 2,FALSE)</f>
        <v>UIL</v>
      </c>
      <c r="C22" t="str">
        <f>VLOOKUP(A22,[151]WRDS!$A$2:$K$27, 3,FALSE)</f>
        <v>UTD ILLUM CO</v>
      </c>
      <c r="D22">
        <f>VLOOKUP(A22,[152]WRDS!$A$2:$M$32,13,FALSE)</f>
        <v>2.544</v>
      </c>
      <c r="E22">
        <f>VLOOKUP(A22,[135]WRDS!$A$2:$N$36,13,FALSE)</f>
        <v>3.492</v>
      </c>
      <c r="F22" s="1">
        <f t="shared" si="2"/>
        <v>2.8632944126399997</v>
      </c>
      <c r="G22" s="1">
        <f t="shared" si="3"/>
        <v>2.8632944126399997</v>
      </c>
      <c r="H22" s="2">
        <f t="shared" si="0"/>
        <v>8.2403734557506603E-2</v>
      </c>
      <c r="I22" s="2">
        <f>VLOOKUP(A22,[151]WRDS!$A$2:$K$27,10,FALSE)/100</f>
        <v>0.03</v>
      </c>
      <c r="J22" s="2">
        <f>VLOOKUP(A22,[151]WRDS!$A$2:$K$27,9,FALSE)/100</f>
        <v>0.03</v>
      </c>
      <c r="K22" s="2">
        <f t="shared" si="1"/>
        <v>-0.63593883018658481</v>
      </c>
      <c r="L22" s="2">
        <f t="shared" si="4"/>
        <v>-0.63593883018658481</v>
      </c>
      <c r="M22">
        <f>VLOOKUP(A22,[151]WRDS!$A$2:$K$27,8,FALSE)</f>
        <v>2</v>
      </c>
    </row>
    <row r="23" spans="1:14" x14ac:dyDescent="0.3">
      <c r="A23" t="s">
        <v>89</v>
      </c>
      <c r="B23" t="str">
        <f>VLOOKUP(A23,[151]WRDS!$A$2:$K$27, 2,FALSE)</f>
        <v>FPL</v>
      </c>
      <c r="C23" t="str">
        <f>VLOOKUP(A23,[151]WRDS!$A$2:$K$27, 3,FALSE)</f>
        <v>FLA PWR &amp; LT</v>
      </c>
      <c r="D23">
        <f>VLOOKUP(A23,[152]WRDS!$A$2:$M$32,13,FALSE)</f>
        <v>0.26500000000000001</v>
      </c>
      <c r="E23">
        <f>VLOOKUP(A23,[135]WRDS!$A$2:$N$36,13,FALSE)</f>
        <v>0.38879999999999998</v>
      </c>
      <c r="F23" s="1">
        <f t="shared" si="2"/>
        <v>0.33632736681521636</v>
      </c>
      <c r="G23" s="1">
        <f t="shared" si="3"/>
        <v>0.3409135829156249</v>
      </c>
      <c r="H23" s="2">
        <f t="shared" si="0"/>
        <v>0.10057614586125552</v>
      </c>
      <c r="I23" s="2">
        <f>VLOOKUP(A23,[151]WRDS!$A$2:$K$27,10,FALSE)/100</f>
        <v>6.1399999999999996E-2</v>
      </c>
      <c r="J23" s="2">
        <f>VLOOKUP(A23,[151]WRDS!$A$2:$K$27,9,FALSE)/100</f>
        <v>6.5000000000000002E-2</v>
      </c>
      <c r="K23" s="2">
        <f t="shared" si="1"/>
        <v>-0.38951727097694611</v>
      </c>
      <c r="L23" s="2">
        <f t="shared" si="4"/>
        <v>-0.35372349533390052</v>
      </c>
      <c r="M23">
        <f>VLOOKUP(A23,[151]WRDS!$A$2:$K$27,8,FALSE)</f>
        <v>9</v>
      </c>
    </row>
    <row r="24" spans="1:14" x14ac:dyDescent="0.3">
      <c r="A24" t="s">
        <v>91</v>
      </c>
      <c r="B24" t="str">
        <f>VLOOKUP(A24,[151]WRDS!$A$2:$K$27, 2,FALSE)</f>
        <v>PSD</v>
      </c>
      <c r="C24" t="str">
        <f>VLOOKUP(A24,[151]WRDS!$A$2:$K$27, 3,FALSE)</f>
        <v>PUGET SOUND P&amp;L</v>
      </c>
      <c r="D24">
        <f>VLOOKUP(A24,[152]WRDS!$A$2:$M$32,13,FALSE)</f>
        <v>2.85</v>
      </c>
      <c r="E24">
        <f>VLOOKUP(A24,[135]WRDS!$A$2:$N$36,13,FALSE)</f>
        <v>2.0699999999999998</v>
      </c>
      <c r="F24" s="1">
        <f t="shared" si="2"/>
        <v>3.5306502542812495</v>
      </c>
      <c r="G24" s="1">
        <f t="shared" si="3"/>
        <v>3.5306502542812495</v>
      </c>
      <c r="H24" s="2">
        <f t="shared" si="0"/>
        <v>-7.6830662214786183E-2</v>
      </c>
      <c r="I24" s="2">
        <f>VLOOKUP(A24,[151]WRDS!$A$2:$K$27,10,FALSE)/100</f>
        <v>5.5E-2</v>
      </c>
      <c r="J24" s="2">
        <f>VLOOKUP(A24,[151]WRDS!$A$2:$K$27,9,FALSE)/100</f>
        <v>5.5E-2</v>
      </c>
      <c r="K24" s="2">
        <f t="shared" si="1"/>
        <v>1.7158600279435723</v>
      </c>
      <c r="L24" s="2">
        <f t="shared" si="4"/>
        <v>1.7158600279435723</v>
      </c>
      <c r="M24">
        <f>VLOOKUP(A24,[151]WRDS!$A$2:$K$27,8,FALSE)</f>
        <v>2</v>
      </c>
    </row>
    <row r="25" spans="1:14" x14ac:dyDescent="0.3">
      <c r="A25" t="s">
        <v>95</v>
      </c>
      <c r="B25" t="str">
        <f>VLOOKUP(A25,[151]WRDS!$A$2:$K$27, 2,FALSE)</f>
        <v>WPS</v>
      </c>
      <c r="C25" t="str">
        <f>VLOOKUP(A25,[151]WRDS!$A$2:$K$27, 3,FALSE)</f>
        <v>WISC PUB SVC</v>
      </c>
      <c r="D25">
        <f>VLOOKUP(A25,[152]WRDS!$A$2:$M$32,13,FALSE)</f>
        <v>1.5</v>
      </c>
      <c r="E25">
        <f>VLOOKUP(A25,[135]WRDS!$A$2:$N$36,13,FALSE)</f>
        <v>2.2200000000000002</v>
      </c>
      <c r="F25" s="1">
        <f t="shared" si="2"/>
        <v>1.8232593750000001</v>
      </c>
      <c r="G25" s="1">
        <f t="shared" si="3"/>
        <v>1.8232593750000001</v>
      </c>
      <c r="H25" s="2">
        <f t="shared" si="0"/>
        <v>0.10297439048222867</v>
      </c>
      <c r="I25" s="2">
        <f>VLOOKUP(A25,[151]WRDS!$A$2:$K$27,10,FALSE)/100</f>
        <v>0.05</v>
      </c>
      <c r="J25" s="2">
        <f>VLOOKUP(A25,[151]WRDS!$A$2:$K$27,9,FALSE)/100</f>
        <v>0.05</v>
      </c>
      <c r="K25" s="2">
        <f t="shared" si="1"/>
        <v>-0.5144423796455585</v>
      </c>
      <c r="L25" s="2">
        <f t="shared" si="4"/>
        <v>-0.5144423796455585</v>
      </c>
      <c r="M25">
        <f>VLOOKUP(A25,[151]WRDS!$A$2:$K$27,8,FALSE)</f>
        <v>5</v>
      </c>
    </row>
    <row r="26" spans="1:14" x14ac:dyDescent="0.3">
      <c r="A26" t="s">
        <v>88</v>
      </c>
      <c r="B26" t="str">
        <f>VLOOKUP(A26,[151]WRDS!$A$2:$K$27, 2,FALSE)</f>
        <v>CIN</v>
      </c>
      <c r="C26" t="str">
        <f>VLOOKUP(A26,[151]WRDS!$A$2:$K$27, 3,FALSE)</f>
        <v>CINN GAS &amp; EL</v>
      </c>
      <c r="D26">
        <f>VLOOKUP(A26,[152]WRDS!$A$2:$M$32,13,FALSE)</f>
        <v>1.5333000000000001</v>
      </c>
      <c r="E26">
        <f>VLOOKUP(A26,[135]WRDS!$A$2:$N$36,13,FALSE)</f>
        <v>2.2000000000000002</v>
      </c>
      <c r="F26" s="1">
        <f t="shared" si="2"/>
        <v>1.7554205702248746</v>
      </c>
      <c r="G26" s="1">
        <f t="shared" si="3"/>
        <v>1.7594970168583122</v>
      </c>
      <c r="H26" s="2">
        <f t="shared" si="0"/>
        <v>9.4457461163588663E-2</v>
      </c>
      <c r="I26" s="2">
        <f>VLOOKUP(A26,[151]WRDS!$A$2:$K$27,10,FALSE)/100</f>
        <v>3.44E-2</v>
      </c>
      <c r="J26" s="2">
        <f>VLOOKUP(A26,[151]WRDS!$A$2:$K$27,9,FALSE)/100</f>
        <v>3.5000000000000003E-2</v>
      </c>
      <c r="K26" s="2">
        <f t="shared" si="1"/>
        <v>-0.63581489936063973</v>
      </c>
      <c r="L26" s="2">
        <f t="shared" si="4"/>
        <v>-0.62946283365181366</v>
      </c>
      <c r="M26">
        <f>VLOOKUP(A26,[151]WRDS!$A$2:$K$27,8,FALSE)</f>
        <v>8</v>
      </c>
    </row>
    <row r="27" spans="1:14" x14ac:dyDescent="0.3">
      <c r="A27" t="s">
        <v>135</v>
      </c>
      <c r="B27" t="str">
        <f>VLOOKUP(A27,'[5]Ticker List'!$H$4:$I$20,2,FALSE)</f>
        <v>NI</v>
      </c>
      <c r="C27" t="str">
        <f>VLOOKUP(A27,[153]kbqvggagtud6gwvo!$B$1:$O$100,2,FALSE)</f>
        <v>NORTHN IND PUB</v>
      </c>
      <c r="D27">
        <f>VLOOKUP(A27,[153]kbqvggagtud6gwvo!$B$1:$O$100,12,FALSE)</f>
        <v>0.68500000000000005</v>
      </c>
      <c r="E27">
        <f>VLOOKUP(A27,[137]j1hycsy2zx65yqqs!$B$1:$N$99,12,FALSE)</f>
        <v>0.55000000000000004</v>
      </c>
      <c r="F27" s="1">
        <f t="shared" si="2"/>
        <v>0.81375293160576012</v>
      </c>
      <c r="G27" s="1">
        <f t="shared" si="3"/>
        <v>0.80135311360000017</v>
      </c>
      <c r="H27" s="2">
        <f t="shared" si="0"/>
        <v>-5.3396666541225102E-2</v>
      </c>
      <c r="I27" s="2">
        <f>VLOOKUP(A27,[154]ptsxbptlqhqgtozi!$B$1:$N$100,9,FALSE)/100</f>
        <v>4.4000000000000004E-2</v>
      </c>
      <c r="J27" s="2">
        <f>VLOOKUP(A27,[154]ptsxbptlqhqgtozi!$B$1:$N$100,8,FALSE)/100</f>
        <v>0.04</v>
      </c>
      <c r="K27" s="2">
        <f t="shared" si="1"/>
        <v>1.8240214764348566</v>
      </c>
      <c r="L27" s="2">
        <f t="shared" si="4"/>
        <v>1.7491104331225968</v>
      </c>
      <c r="M27">
        <f>VLOOKUP(A27,[154]ptsxbptlqhqgtozi!$B$1:$N$100,7,FALSE)</f>
        <v>5</v>
      </c>
      <c r="N27">
        <f>VLOOKUP(A27,[154]ptsxbptlqhqgtozi!$B$1:$N$100,10,FALSE)</f>
        <v>0.89</v>
      </c>
    </row>
    <row r="28" spans="1:14" x14ac:dyDescent="0.3">
      <c r="A28" t="s">
        <v>138</v>
      </c>
      <c r="B28" t="str">
        <f>VLOOKUP(A28,'[5]Ticker List'!$H$4:$I$20,2,FALSE)</f>
        <v>SJI</v>
      </c>
      <c r="C28" t="str">
        <f>VLOOKUP(A28,[153]kbqvggagtud6gwvo!$B$1:$O$100,2,FALSE)</f>
        <v>SO JERSEY INDS</v>
      </c>
      <c r="D28">
        <f>VLOOKUP(A28,[153]kbqvggagtud6gwvo!$B$1:$O$100,12,FALSE)</f>
        <v>0.41909999999999997</v>
      </c>
      <c r="E28">
        <f>VLOOKUP(A28,[137]j1hycsy2zx65yqqs!$B$1:$N$99,12,FALSE)</f>
        <v>0.29899999999999999</v>
      </c>
      <c r="F28" s="1">
        <f t="shared" si="2"/>
        <v>0.60252370440693748</v>
      </c>
      <c r="G28" s="1">
        <f t="shared" si="3"/>
        <v>0.60252370440693748</v>
      </c>
      <c r="H28" s="2">
        <f t="shared" si="0"/>
        <v>-8.0951603044874698E-2</v>
      </c>
      <c r="I28" s="2">
        <f>VLOOKUP(A28,[154]ptsxbptlqhqgtozi!$B$1:$N$100,9,FALSE)/100</f>
        <v>9.5000000000000001E-2</v>
      </c>
      <c r="J28" s="2">
        <f>VLOOKUP(A28,[154]ptsxbptlqhqgtozi!$B$1:$N$100,8,FALSE)/100</f>
        <v>9.5000000000000001E-2</v>
      </c>
      <c r="K28" s="2">
        <f t="shared" si="1"/>
        <v>2.1735406888401916</v>
      </c>
      <c r="L28" s="2">
        <f t="shared" si="4"/>
        <v>2.1735406888401916</v>
      </c>
      <c r="M28">
        <f>VLOOKUP(A28,[154]ptsxbptlqhqgtozi!$B$1:$N$100,7,FALSE)</f>
        <v>2</v>
      </c>
      <c r="N28">
        <f>VLOOKUP(A28,[154]ptsxbptlqhqgtozi!$B$1:$N$100,10,FALSE)</f>
        <v>0.71</v>
      </c>
    </row>
    <row r="29" spans="1:14" x14ac:dyDescent="0.3">
      <c r="A29" t="s">
        <v>143</v>
      </c>
      <c r="B29" t="str">
        <f>VLOOKUP(A29,'[5]Ticker List'!$H$4:$I$20,2,FALSE)</f>
        <v>LG</v>
      </c>
      <c r="C29" t="str">
        <f>VLOOKUP(A29,[153]kbqvggagtud6gwvo!$B$1:$O$100,2,FALSE)</f>
        <v>LACLEDE GAS</v>
      </c>
      <c r="D29">
        <f>VLOOKUP(A29,[153]kbqvggagtud6gwvo!$B$1:$O$100,12,FALSE)</f>
        <v>1.075</v>
      </c>
      <c r="E29">
        <f>VLOOKUP(A29,[137]j1hycsy2zx65yqqs!$B$1:$N$99,12,FALSE)</f>
        <v>1.87</v>
      </c>
      <c r="F29" s="1">
        <f t="shared" si="2"/>
        <v>1.4897981031718748</v>
      </c>
      <c r="G29" s="1">
        <f t="shared" si="3"/>
        <v>1.4897981031718748</v>
      </c>
      <c r="H29" s="2">
        <f t="shared" si="0"/>
        <v>0.14843993407290701</v>
      </c>
      <c r="I29" s="2">
        <f>VLOOKUP(A29,[154]ptsxbptlqhqgtozi!$B$1:$N$100,9,FALSE)/100</f>
        <v>8.5000000000000006E-2</v>
      </c>
      <c r="J29" s="2">
        <f>VLOOKUP(A29,[154]ptsxbptlqhqgtozi!$B$1:$N$100,8,FALSE)/100</f>
        <v>8.5000000000000006E-2</v>
      </c>
      <c r="K29" s="2">
        <f t="shared" si="1"/>
        <v>-0.42737781089115928</v>
      </c>
      <c r="L29" s="2">
        <f t="shared" si="4"/>
        <v>-0.42737781089115928</v>
      </c>
      <c r="M29">
        <f>VLOOKUP(A29,[154]ptsxbptlqhqgtozi!$B$1:$N$100,7,FALSE)</f>
        <v>1</v>
      </c>
      <c r="N29">
        <f>VLOOKUP(A29,[154]ptsxbptlqhqgtozi!$B$1:$N$100,10,FALSE)</f>
        <v>0</v>
      </c>
    </row>
    <row r="30" spans="1:14" x14ac:dyDescent="0.3">
      <c r="A30" t="s">
        <v>144</v>
      </c>
      <c r="B30" t="str">
        <f>VLOOKUP(A30,'[5]Ticker List'!$H$4:$I$20,2,FALSE)</f>
        <v>GAS</v>
      </c>
      <c r="C30" t="str">
        <f>VLOOKUP(A30,[153]kbqvggagtud6gwvo!$B$1:$O$100,2,FALSE)</f>
        <v>NICOR INC</v>
      </c>
      <c r="D30">
        <f>VLOOKUP(A30,[153]kbqvggagtud6gwvo!$B$1:$O$100,12,FALSE)</f>
        <v>2.625</v>
      </c>
      <c r="E30">
        <f>VLOOKUP(A30,[137]j1hycsy2zx65yqqs!$B$1:$N$99,12,FALSE)</f>
        <v>1.36</v>
      </c>
      <c r="F30" s="1">
        <f t="shared" si="2"/>
        <v>3.5449029605220006</v>
      </c>
      <c r="G30" s="1">
        <f t="shared" si="3"/>
        <v>3.5712835200000006</v>
      </c>
      <c r="H30" s="2">
        <f t="shared" si="0"/>
        <v>-0.15159660026968891</v>
      </c>
      <c r="I30" s="2">
        <f>VLOOKUP(A30,[154]ptsxbptlqhqgtozi!$B$1:$N$100,9,FALSE)/100</f>
        <v>7.8E-2</v>
      </c>
      <c r="J30" s="2">
        <f>VLOOKUP(A30,[154]ptsxbptlqhqgtozi!$B$1:$N$100,8,FALSE)/100</f>
        <v>0.08</v>
      </c>
      <c r="K30" s="2">
        <f t="shared" si="1"/>
        <v>1.5145234118788862</v>
      </c>
      <c r="L30" s="2">
        <f t="shared" si="4"/>
        <v>1.5277163198757806</v>
      </c>
      <c r="M30">
        <f>VLOOKUP(A30,[154]ptsxbptlqhqgtozi!$B$1:$N$100,7,FALSE)</f>
        <v>3</v>
      </c>
      <c r="N30">
        <f>VLOOKUP(A30,[154]ptsxbptlqhqgtozi!$B$1:$N$100,10,FALSE)</f>
        <v>0.76</v>
      </c>
    </row>
    <row r="31" spans="1:14" x14ac:dyDescent="0.3">
      <c r="A31" t="s">
        <v>146</v>
      </c>
      <c r="B31" t="str">
        <f>VLOOKUP(A31,'[5]Ticker List'!$H$4:$I$20,2,FALSE)</f>
        <v>PNY</v>
      </c>
      <c r="C31" t="str">
        <f>VLOOKUP(A31,[153]kbqvggagtud6gwvo!$B$1:$O$100,2,FALSE)</f>
        <v>PIEDMONT NAT GAS</v>
      </c>
      <c r="D31">
        <f>VLOOKUP(A31,[153]kbqvggagtud6gwvo!$B$1:$O$100,12,FALSE)</f>
        <v>0.34250000000000003</v>
      </c>
      <c r="E31">
        <f>VLOOKUP(A31,[137]j1hycsy2zx65yqqs!$B$1:$N$99,12,FALSE)</f>
        <v>0.45750000000000002</v>
      </c>
      <c r="F31" s="1">
        <f t="shared" si="2"/>
        <v>0.45315813342744143</v>
      </c>
      <c r="G31" s="1">
        <f t="shared" si="3"/>
        <v>0.45315813342744143</v>
      </c>
      <c r="H31" s="2">
        <f t="shared" si="0"/>
        <v>7.5059820226063279E-2</v>
      </c>
      <c r="I31" s="2">
        <f>VLOOKUP(A31,[154]ptsxbptlqhqgtozi!$B$1:$N$100,9,FALSE)/100</f>
        <v>7.2499999999999995E-2</v>
      </c>
      <c r="J31" s="2">
        <f>VLOOKUP(A31,[154]ptsxbptlqhqgtozi!$B$1:$N$100,8,FALSE)/100</f>
        <v>7.2499999999999995E-2</v>
      </c>
      <c r="K31" s="2">
        <f t="shared" si="1"/>
        <v>-3.4103735105595528E-2</v>
      </c>
      <c r="L31" s="2">
        <f t="shared" si="4"/>
        <v>-3.4103735105595528E-2</v>
      </c>
      <c r="M31">
        <f>VLOOKUP(A31,[154]ptsxbptlqhqgtozi!$B$1:$N$100,7,FALSE)</f>
        <v>2</v>
      </c>
      <c r="N31">
        <f>VLOOKUP(A31,[154]ptsxbptlqhqgtozi!$B$1:$N$100,10,FALSE)</f>
        <v>3.18</v>
      </c>
    </row>
    <row r="32" spans="1:14" x14ac:dyDescent="0.3">
      <c r="A32" t="s">
        <v>145</v>
      </c>
      <c r="B32" t="str">
        <f>VLOOKUP(A32,'[5]Ticker List'!$H$4:$I$20,2,FALSE)</f>
        <v>WGL</v>
      </c>
      <c r="C32" t="str">
        <f>VLOOKUP(A32,[153]kbqvggagtud6gwvo!$B$1:$O$100,2,FALSE)</f>
        <v>WASH GAS LT</v>
      </c>
      <c r="D32">
        <f>VLOOKUP(A32,[153]kbqvggagtud6gwvo!$B$1:$O$100,12,FALSE)</f>
        <v>0.83</v>
      </c>
      <c r="E32">
        <f>VLOOKUP(A32,[137]j1hycsy2zx65yqqs!$B$1:$N$99,12,FALSE)</f>
        <v>1.23</v>
      </c>
      <c r="F32" s="1">
        <f t="shared" si="2"/>
        <v>1.0282244600187498</v>
      </c>
      <c r="G32" s="1">
        <f t="shared" si="3"/>
        <v>0.93417231229999986</v>
      </c>
      <c r="H32" s="2">
        <f t="shared" si="0"/>
        <v>0.10333337324431335</v>
      </c>
      <c r="I32" s="2">
        <f>VLOOKUP(A32,[154]ptsxbptlqhqgtozi!$B$1:$N$100,9,FALSE)/100</f>
        <v>5.5E-2</v>
      </c>
      <c r="J32" s="2">
        <f>VLOOKUP(A32,[154]ptsxbptlqhqgtozi!$B$1:$N$100,8,FALSE)/100</f>
        <v>0.03</v>
      </c>
      <c r="K32" s="2">
        <f t="shared" si="1"/>
        <v>-0.46774214106063972</v>
      </c>
      <c r="L32" s="2">
        <f t="shared" si="4"/>
        <v>-0.70967753148762169</v>
      </c>
      <c r="M32">
        <f>VLOOKUP(A32,[154]ptsxbptlqhqgtozi!$B$1:$N$100,7,FALSE)</f>
        <v>3</v>
      </c>
      <c r="N32">
        <f>VLOOKUP(A32,[154]ptsxbptlqhqgtozi!$B$1:$N$100,10,FALSE)</f>
        <v>5.22</v>
      </c>
    </row>
    <row r="33" spans="1:14" x14ac:dyDescent="0.3">
      <c r="A33" t="s">
        <v>149</v>
      </c>
      <c r="B33" t="str">
        <f>VLOOKUP(A33,'[5]Ticker List'!$H$4:$I$20,2,FALSE)</f>
        <v>CGC</v>
      </c>
      <c r="C33" t="str">
        <f>VLOOKUP(A33,[153]kbqvggagtud6gwvo!$B$1:$O$100,2,FALSE)</f>
        <v>CASCADE NAT GAS</v>
      </c>
      <c r="D33">
        <f>VLOOKUP(A33,[153]kbqvggagtud6gwvo!$B$1:$O$100,12,FALSE)</f>
        <v>0.79330000000000001</v>
      </c>
      <c r="E33">
        <f>VLOOKUP(A33,[137]j1hycsy2zx65yqqs!$B$1:$N$99,12,FALSE)</f>
        <v>1.2533000000000001</v>
      </c>
      <c r="F33" s="1">
        <f t="shared" si="2"/>
        <v>1.2261311442158127</v>
      </c>
      <c r="G33" s="1">
        <f t="shared" si="3"/>
        <v>1.2261311442158127</v>
      </c>
      <c r="H33" s="2">
        <f t="shared" si="0"/>
        <v>0.12112592758708818</v>
      </c>
      <c r="I33" s="2">
        <f>VLOOKUP(A33,[154]ptsxbptlqhqgtozi!$B$1:$N$100,9,FALSE)/100</f>
        <v>0.115</v>
      </c>
      <c r="J33" s="2">
        <f>VLOOKUP(A33,[154]ptsxbptlqhqgtozi!$B$1:$N$100,8,FALSE)/100</f>
        <v>0.115</v>
      </c>
      <c r="K33" s="2">
        <f t="shared" si="1"/>
        <v>-5.0574866249702817E-2</v>
      </c>
      <c r="L33" s="2">
        <f t="shared" si="4"/>
        <v>-5.0574866249702817E-2</v>
      </c>
      <c r="M33">
        <f>VLOOKUP(A33,[154]ptsxbptlqhqgtozi!$B$1:$N$100,7,FALSE)</f>
        <v>1</v>
      </c>
      <c r="N33">
        <f>VLOOKUP(A33,[154]ptsxbptlqhqgtozi!$B$1:$N$100,10,FALSE)</f>
        <v>0</v>
      </c>
    </row>
  </sheetData>
  <mergeCells count="3">
    <mergeCell ref="P1:Q1"/>
    <mergeCell ref="P7:Q7"/>
    <mergeCell ref="P13:Q1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0C9E90-A6BB-45C6-950F-CBFE48EB3F0B}">
  <dimension ref="B2:I59"/>
  <sheetViews>
    <sheetView zoomScale="70" zoomScaleNormal="70" workbookViewId="0">
      <selection activeCell="I2" sqref="I2"/>
    </sheetView>
  </sheetViews>
  <sheetFormatPr defaultRowHeight="14.4" x14ac:dyDescent="0.3"/>
  <cols>
    <col min="2" max="2" width="40.44140625" bestFit="1" customWidth="1"/>
    <col min="8" max="8" width="14.6640625" bestFit="1" customWidth="1"/>
    <col min="9" max="9" width="11" bestFit="1" customWidth="1"/>
  </cols>
  <sheetData>
    <row r="2" spans="2:9" x14ac:dyDescent="0.3">
      <c r="B2" s="23" t="s">
        <v>2</v>
      </c>
      <c r="C2" s="23" t="s">
        <v>151</v>
      </c>
      <c r="H2" s="23" t="s">
        <v>152</v>
      </c>
      <c r="I2" s="23" t="s">
        <v>153</v>
      </c>
    </row>
    <row r="3" spans="2:9" x14ac:dyDescent="0.3">
      <c r="B3" t="s">
        <v>154</v>
      </c>
      <c r="H3" t="s">
        <v>155</v>
      </c>
      <c r="I3" t="s">
        <v>153</v>
      </c>
    </row>
    <row r="4" spans="2:9" x14ac:dyDescent="0.3">
      <c r="B4" s="24" t="s">
        <v>156</v>
      </c>
      <c r="C4" t="s">
        <v>17</v>
      </c>
      <c r="H4" t="s">
        <v>15</v>
      </c>
      <c r="I4" t="s">
        <v>157</v>
      </c>
    </row>
    <row r="5" spans="2:9" x14ac:dyDescent="0.3">
      <c r="B5" s="24" t="s">
        <v>158</v>
      </c>
      <c r="C5" t="s">
        <v>40</v>
      </c>
      <c r="H5" t="s">
        <v>159</v>
      </c>
      <c r="I5" t="s">
        <v>160</v>
      </c>
    </row>
    <row r="6" spans="2:9" x14ac:dyDescent="0.3">
      <c r="B6" s="24" t="s">
        <v>161</v>
      </c>
      <c r="C6" t="s">
        <v>15</v>
      </c>
      <c r="H6" t="s">
        <v>17</v>
      </c>
      <c r="I6" t="s">
        <v>162</v>
      </c>
    </row>
    <row r="7" spans="2:9" x14ac:dyDescent="0.3">
      <c r="B7" s="24" t="s">
        <v>163</v>
      </c>
      <c r="C7" t="s">
        <v>159</v>
      </c>
      <c r="H7" t="s">
        <v>63</v>
      </c>
      <c r="I7" t="s">
        <v>164</v>
      </c>
    </row>
    <row r="8" spans="2:9" x14ac:dyDescent="0.3">
      <c r="B8" s="24" t="s">
        <v>165</v>
      </c>
      <c r="C8" t="s">
        <v>63</v>
      </c>
      <c r="H8" t="s">
        <v>19</v>
      </c>
      <c r="I8" t="s">
        <v>166</v>
      </c>
    </row>
    <row r="9" spans="2:9" x14ac:dyDescent="0.3">
      <c r="B9" s="24" t="s">
        <v>167</v>
      </c>
      <c r="C9" t="s">
        <v>19</v>
      </c>
      <c r="H9" t="s">
        <v>83</v>
      </c>
      <c r="I9" t="s">
        <v>168</v>
      </c>
    </row>
    <row r="10" spans="2:9" x14ac:dyDescent="0.3">
      <c r="B10" s="24" t="s">
        <v>169</v>
      </c>
      <c r="C10" t="s">
        <v>23</v>
      </c>
      <c r="H10" t="s">
        <v>88</v>
      </c>
      <c r="I10" t="s">
        <v>88</v>
      </c>
    </row>
    <row r="11" spans="2:9" x14ac:dyDescent="0.3">
      <c r="B11" s="24" t="s">
        <v>170</v>
      </c>
      <c r="C11" t="s">
        <v>21</v>
      </c>
      <c r="H11" t="s">
        <v>21</v>
      </c>
      <c r="I11" t="s">
        <v>21</v>
      </c>
    </row>
    <row r="12" spans="2:9" x14ac:dyDescent="0.3">
      <c r="B12" s="24" t="s">
        <v>171</v>
      </c>
      <c r="C12" t="s">
        <v>31</v>
      </c>
      <c r="H12" t="s">
        <v>71</v>
      </c>
      <c r="I12" t="s">
        <v>71</v>
      </c>
    </row>
    <row r="13" spans="2:9" x14ac:dyDescent="0.3">
      <c r="B13" s="24" t="s">
        <v>172</v>
      </c>
      <c r="C13" t="s">
        <v>25</v>
      </c>
      <c r="H13" t="s">
        <v>23</v>
      </c>
      <c r="I13" t="s">
        <v>173</v>
      </c>
    </row>
    <row r="14" spans="2:9" x14ac:dyDescent="0.3">
      <c r="B14" s="24" t="s">
        <v>174</v>
      </c>
      <c r="C14" t="s">
        <v>27</v>
      </c>
      <c r="H14" t="s">
        <v>84</v>
      </c>
      <c r="I14" t="s">
        <v>84</v>
      </c>
    </row>
    <row r="15" spans="2:9" x14ac:dyDescent="0.3">
      <c r="B15" s="24" t="s">
        <v>175</v>
      </c>
      <c r="C15" t="s">
        <v>29</v>
      </c>
      <c r="H15" t="s">
        <v>25</v>
      </c>
      <c r="I15" t="s">
        <v>25</v>
      </c>
    </row>
    <row r="16" spans="2:9" x14ac:dyDescent="0.3">
      <c r="B16" s="24" t="s">
        <v>176</v>
      </c>
      <c r="C16" t="s">
        <v>33</v>
      </c>
      <c r="H16" t="s">
        <v>86</v>
      </c>
      <c r="I16" t="s">
        <v>86</v>
      </c>
    </row>
    <row r="17" spans="2:9" x14ac:dyDescent="0.3">
      <c r="B17" s="24" t="s">
        <v>177</v>
      </c>
      <c r="C17" t="s">
        <v>59</v>
      </c>
      <c r="H17" t="s">
        <v>27</v>
      </c>
      <c r="I17" t="s">
        <v>27</v>
      </c>
    </row>
    <row r="18" spans="2:9" x14ac:dyDescent="0.3">
      <c r="B18" s="24" t="s">
        <v>178</v>
      </c>
      <c r="C18" t="s">
        <v>179</v>
      </c>
      <c r="H18" t="s">
        <v>29</v>
      </c>
      <c r="I18" t="s">
        <v>29</v>
      </c>
    </row>
    <row r="19" spans="2:9" x14ac:dyDescent="0.3">
      <c r="B19" s="24" t="s">
        <v>180</v>
      </c>
      <c r="C19" t="s">
        <v>35</v>
      </c>
      <c r="H19" t="s">
        <v>93</v>
      </c>
      <c r="I19" t="s">
        <v>181</v>
      </c>
    </row>
    <row r="20" spans="2:9" x14ac:dyDescent="0.3">
      <c r="B20" s="24" t="s">
        <v>182</v>
      </c>
      <c r="C20" t="s">
        <v>67</v>
      </c>
      <c r="H20" t="s">
        <v>31</v>
      </c>
      <c r="I20" t="s">
        <v>31</v>
      </c>
    </row>
    <row r="21" spans="2:9" x14ac:dyDescent="0.3">
      <c r="B21" s="24" t="s">
        <v>183</v>
      </c>
      <c r="C21" t="s">
        <v>36</v>
      </c>
      <c r="H21" t="s">
        <v>72</v>
      </c>
      <c r="I21" t="s">
        <v>72</v>
      </c>
    </row>
    <row r="22" spans="2:9" x14ac:dyDescent="0.3">
      <c r="B22" s="24" t="s">
        <v>184</v>
      </c>
      <c r="C22" t="s">
        <v>38</v>
      </c>
      <c r="H22" t="s">
        <v>33</v>
      </c>
      <c r="I22" t="s">
        <v>185</v>
      </c>
    </row>
    <row r="23" spans="2:9" x14ac:dyDescent="0.3">
      <c r="B23" s="24" t="s">
        <v>186</v>
      </c>
      <c r="C23" t="s">
        <v>73</v>
      </c>
      <c r="H23" t="s">
        <v>59</v>
      </c>
      <c r="I23" t="s">
        <v>187</v>
      </c>
    </row>
    <row r="24" spans="2:9" x14ac:dyDescent="0.3">
      <c r="B24" s="24" t="s">
        <v>188</v>
      </c>
      <c r="C24" t="s">
        <v>42</v>
      </c>
      <c r="H24" t="s">
        <v>179</v>
      </c>
      <c r="I24" t="s">
        <v>189</v>
      </c>
    </row>
    <row r="25" spans="2:9" x14ac:dyDescent="0.3">
      <c r="B25" s="24" t="s">
        <v>190</v>
      </c>
      <c r="C25" t="s">
        <v>43</v>
      </c>
      <c r="H25" t="s">
        <v>35</v>
      </c>
      <c r="I25" t="s">
        <v>191</v>
      </c>
    </row>
    <row r="26" spans="2:9" x14ac:dyDescent="0.3">
      <c r="B26" s="24" t="s">
        <v>192</v>
      </c>
      <c r="C26" t="s">
        <v>44</v>
      </c>
      <c r="H26" t="s">
        <v>67</v>
      </c>
      <c r="I26" t="s">
        <v>193</v>
      </c>
    </row>
    <row r="27" spans="2:9" x14ac:dyDescent="0.3">
      <c r="B27" s="24" t="s">
        <v>194</v>
      </c>
      <c r="C27" t="s">
        <v>69</v>
      </c>
      <c r="H27" t="s">
        <v>89</v>
      </c>
      <c r="I27" t="s">
        <v>89</v>
      </c>
    </row>
    <row r="28" spans="2:9" x14ac:dyDescent="0.3">
      <c r="B28" s="24" t="s">
        <v>195</v>
      </c>
      <c r="C28" t="s">
        <v>45</v>
      </c>
      <c r="H28" t="s">
        <v>68</v>
      </c>
      <c r="I28" t="s">
        <v>196</v>
      </c>
    </row>
    <row r="29" spans="2:9" x14ac:dyDescent="0.3">
      <c r="B29" s="24" t="s">
        <v>197</v>
      </c>
      <c r="C29" t="s">
        <v>48</v>
      </c>
      <c r="H29" t="s">
        <v>36</v>
      </c>
      <c r="I29" t="s">
        <v>36</v>
      </c>
    </row>
    <row r="30" spans="2:9" x14ac:dyDescent="0.3">
      <c r="B30" s="24" t="s">
        <v>198</v>
      </c>
      <c r="C30" t="s">
        <v>47</v>
      </c>
      <c r="H30" t="s">
        <v>38</v>
      </c>
      <c r="I30" t="s">
        <v>38</v>
      </c>
    </row>
    <row r="31" spans="2:9" x14ac:dyDescent="0.3">
      <c r="B31" s="24" t="s">
        <v>199</v>
      </c>
      <c r="C31" t="s">
        <v>50</v>
      </c>
      <c r="H31" t="s">
        <v>40</v>
      </c>
      <c r="I31" t="s">
        <v>200</v>
      </c>
    </row>
    <row r="32" spans="2:9" x14ac:dyDescent="0.3">
      <c r="B32" s="24" t="s">
        <v>201</v>
      </c>
      <c r="C32" t="s">
        <v>51</v>
      </c>
      <c r="H32" t="s">
        <v>73</v>
      </c>
      <c r="I32" t="s">
        <v>202</v>
      </c>
    </row>
    <row r="33" spans="2:9" x14ac:dyDescent="0.3">
      <c r="B33" s="24" t="s">
        <v>203</v>
      </c>
      <c r="C33" t="s">
        <v>46</v>
      </c>
      <c r="H33" t="s">
        <v>42</v>
      </c>
      <c r="I33" t="s">
        <v>89</v>
      </c>
    </row>
    <row r="34" spans="2:9" x14ac:dyDescent="0.3">
      <c r="B34" s="24" t="s">
        <v>204</v>
      </c>
      <c r="C34" t="s">
        <v>54</v>
      </c>
      <c r="H34" t="s">
        <v>60</v>
      </c>
      <c r="I34" t="s">
        <v>205</v>
      </c>
    </row>
    <row r="35" spans="2:9" x14ac:dyDescent="0.3">
      <c r="B35" s="24" t="s">
        <v>206</v>
      </c>
      <c r="C35" t="s">
        <v>53</v>
      </c>
      <c r="H35" t="s">
        <v>78</v>
      </c>
      <c r="I35" t="s">
        <v>78</v>
      </c>
    </row>
    <row r="36" spans="2:9" x14ac:dyDescent="0.3">
      <c r="B36" s="24" t="s">
        <v>207</v>
      </c>
      <c r="C36" t="s">
        <v>55</v>
      </c>
      <c r="H36" t="s">
        <v>43</v>
      </c>
      <c r="I36" t="s">
        <v>208</v>
      </c>
    </row>
    <row r="37" spans="2:9" x14ac:dyDescent="0.3">
      <c r="B37" s="24" t="s">
        <v>209</v>
      </c>
      <c r="C37" t="s">
        <v>56</v>
      </c>
      <c r="H37" t="s">
        <v>44</v>
      </c>
      <c r="I37" t="s">
        <v>44</v>
      </c>
    </row>
    <row r="38" spans="2:9" x14ac:dyDescent="0.3">
      <c r="B38" s="24"/>
      <c r="H38" t="s">
        <v>69</v>
      </c>
      <c r="I38" t="s">
        <v>69</v>
      </c>
    </row>
    <row r="39" spans="2:9" x14ac:dyDescent="0.3">
      <c r="B39" s="25" t="s">
        <v>210</v>
      </c>
      <c r="C39" s="23" t="s">
        <v>151</v>
      </c>
      <c r="D39" s="23" t="s">
        <v>211</v>
      </c>
      <c r="E39" s="23" t="s">
        <v>212</v>
      </c>
      <c r="H39" t="s">
        <v>45</v>
      </c>
      <c r="I39" t="s">
        <v>45</v>
      </c>
    </row>
    <row r="40" spans="2:9" x14ac:dyDescent="0.3">
      <c r="B40" s="24" t="s">
        <v>213</v>
      </c>
      <c r="C40" t="s">
        <v>71</v>
      </c>
      <c r="H40" t="s">
        <v>46</v>
      </c>
      <c r="I40" t="s">
        <v>46</v>
      </c>
    </row>
    <row r="41" spans="2:9" x14ac:dyDescent="0.3">
      <c r="B41" s="24" t="s">
        <v>214</v>
      </c>
      <c r="C41" t="s">
        <v>215</v>
      </c>
      <c r="H41" t="s">
        <v>74</v>
      </c>
      <c r="I41" t="s">
        <v>216</v>
      </c>
    </row>
    <row r="42" spans="2:9" x14ac:dyDescent="0.3">
      <c r="B42" s="24" t="s">
        <v>217</v>
      </c>
      <c r="C42" t="s">
        <v>68</v>
      </c>
      <c r="H42" t="s">
        <v>47</v>
      </c>
      <c r="I42" t="s">
        <v>47</v>
      </c>
    </row>
    <row r="43" spans="2:9" x14ac:dyDescent="0.3">
      <c r="B43" s="24" t="s">
        <v>218</v>
      </c>
      <c r="C43" t="s">
        <v>52</v>
      </c>
      <c r="H43" t="s">
        <v>48</v>
      </c>
      <c r="I43" t="s">
        <v>219</v>
      </c>
    </row>
    <row r="44" spans="2:9" x14ac:dyDescent="0.3">
      <c r="B44" s="24" t="s">
        <v>220</v>
      </c>
      <c r="C44" t="s">
        <v>64</v>
      </c>
      <c r="H44" t="s">
        <v>49</v>
      </c>
      <c r="I44" t="s">
        <v>49</v>
      </c>
    </row>
    <row r="45" spans="2:9" x14ac:dyDescent="0.3">
      <c r="B45" s="24" t="s">
        <v>221</v>
      </c>
      <c r="C45" t="s">
        <v>49</v>
      </c>
      <c r="H45" t="s">
        <v>50</v>
      </c>
      <c r="I45" t="s">
        <v>222</v>
      </c>
    </row>
    <row r="46" spans="2:9" x14ac:dyDescent="0.3">
      <c r="B46" s="24" t="s">
        <v>223</v>
      </c>
      <c r="C46" t="s">
        <v>75</v>
      </c>
      <c r="H46" t="s">
        <v>51</v>
      </c>
      <c r="I46" t="s">
        <v>51</v>
      </c>
    </row>
    <row r="47" spans="2:9" x14ac:dyDescent="0.3">
      <c r="B47" s="24" t="s">
        <v>224</v>
      </c>
      <c r="C47" t="s">
        <v>84</v>
      </c>
      <c r="H47" t="s">
        <v>91</v>
      </c>
      <c r="I47" t="s">
        <v>91</v>
      </c>
    </row>
    <row r="48" spans="2:9" x14ac:dyDescent="0.3">
      <c r="B48" s="24" t="s">
        <v>225</v>
      </c>
      <c r="C48" t="s">
        <v>78</v>
      </c>
      <c r="H48" t="s">
        <v>52</v>
      </c>
      <c r="I48" t="s">
        <v>52</v>
      </c>
    </row>
    <row r="49" spans="2:9" x14ac:dyDescent="0.3">
      <c r="B49" s="24" t="s">
        <v>226</v>
      </c>
      <c r="C49" t="s">
        <v>74</v>
      </c>
      <c r="H49" t="s">
        <v>53</v>
      </c>
      <c r="I49" t="s">
        <v>53</v>
      </c>
    </row>
    <row r="50" spans="2:9" x14ac:dyDescent="0.3">
      <c r="B50" s="24" t="s">
        <v>227</v>
      </c>
      <c r="C50" t="s">
        <v>86</v>
      </c>
      <c r="H50" t="s">
        <v>54</v>
      </c>
      <c r="I50" t="s">
        <v>228</v>
      </c>
    </row>
    <row r="51" spans="2:9" x14ac:dyDescent="0.3">
      <c r="B51" s="24" t="s">
        <v>229</v>
      </c>
      <c r="C51" t="s">
        <v>60</v>
      </c>
      <c r="D51">
        <v>2012</v>
      </c>
      <c r="E51" t="s">
        <v>284</v>
      </c>
      <c r="H51" t="s">
        <v>75</v>
      </c>
      <c r="I51" t="s">
        <v>75</v>
      </c>
    </row>
    <row r="52" spans="2:9" x14ac:dyDescent="0.3">
      <c r="B52" s="24" t="s">
        <v>230</v>
      </c>
      <c r="C52" t="s">
        <v>79</v>
      </c>
      <c r="H52" t="s">
        <v>79</v>
      </c>
      <c r="I52" t="s">
        <v>79</v>
      </c>
    </row>
    <row r="53" spans="2:9" x14ac:dyDescent="0.3">
      <c r="B53" s="24" t="s">
        <v>231</v>
      </c>
      <c r="C53" t="s">
        <v>89</v>
      </c>
      <c r="H53" t="s">
        <v>76</v>
      </c>
      <c r="I53" t="s">
        <v>232</v>
      </c>
    </row>
    <row r="54" spans="2:9" x14ac:dyDescent="0.3">
      <c r="B54" s="24" t="s">
        <v>233</v>
      </c>
      <c r="C54" t="s">
        <v>93</v>
      </c>
      <c r="H54" t="s">
        <v>55</v>
      </c>
      <c r="I54" t="s">
        <v>234</v>
      </c>
    </row>
    <row r="55" spans="2:9" x14ac:dyDescent="0.3">
      <c r="B55" s="24" t="s">
        <v>235</v>
      </c>
      <c r="C55" t="s">
        <v>91</v>
      </c>
      <c r="H55" t="s">
        <v>95</v>
      </c>
      <c r="I55" t="s">
        <v>95</v>
      </c>
    </row>
    <row r="56" spans="2:9" x14ac:dyDescent="0.3">
      <c r="B56" s="24" t="s">
        <v>236</v>
      </c>
      <c r="C56" t="s">
        <v>95</v>
      </c>
      <c r="D56" s="26">
        <v>39134</v>
      </c>
      <c r="E56" t="s">
        <v>237</v>
      </c>
      <c r="H56" t="s">
        <v>64</v>
      </c>
      <c r="I56" t="s">
        <v>189</v>
      </c>
    </row>
    <row r="57" spans="2:9" x14ac:dyDescent="0.3">
      <c r="B57" s="24" t="s">
        <v>238</v>
      </c>
      <c r="C57" t="s">
        <v>88</v>
      </c>
      <c r="D57">
        <v>2006</v>
      </c>
      <c r="E57" t="s">
        <v>239</v>
      </c>
      <c r="H57" t="s">
        <v>56</v>
      </c>
      <c r="I57" t="s">
        <v>240</v>
      </c>
    </row>
    <row r="58" spans="2:9" x14ac:dyDescent="0.3">
      <c r="B58" s="24" t="s">
        <v>241</v>
      </c>
      <c r="C58" t="s">
        <v>83</v>
      </c>
      <c r="D58">
        <v>2012</v>
      </c>
      <c r="E58" t="s">
        <v>242</v>
      </c>
    </row>
    <row r="59" spans="2:9" x14ac:dyDescent="0.3">
      <c r="B59" s="24" t="s">
        <v>243</v>
      </c>
      <c r="C59" t="s">
        <v>76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ADD08-AEFA-4AE3-A02E-51460E535126}">
  <dimension ref="B2:I59"/>
  <sheetViews>
    <sheetView workbookViewId="0">
      <selection activeCell="C20" sqref="C20"/>
    </sheetView>
  </sheetViews>
  <sheetFormatPr defaultRowHeight="14.4" x14ac:dyDescent="0.3"/>
  <cols>
    <col min="2" max="2" width="24.6640625" bestFit="1" customWidth="1"/>
    <col min="4" max="4" width="13.44140625" bestFit="1" customWidth="1"/>
    <col min="5" max="5" width="21.88671875" customWidth="1"/>
    <col min="8" max="8" width="15" bestFit="1" customWidth="1"/>
    <col min="9" max="9" width="11.33203125" bestFit="1" customWidth="1"/>
  </cols>
  <sheetData>
    <row r="2" spans="2:9" x14ac:dyDescent="0.3">
      <c r="B2" s="110" t="s">
        <v>244</v>
      </c>
      <c r="C2" s="110"/>
      <c r="D2" s="110"/>
      <c r="E2" s="110"/>
      <c r="H2" s="27" t="s">
        <v>152</v>
      </c>
      <c r="I2" s="28" t="s">
        <v>153</v>
      </c>
    </row>
    <row r="3" spans="2:9" x14ac:dyDescent="0.3">
      <c r="B3" s="23" t="s">
        <v>154</v>
      </c>
      <c r="C3" s="23" t="s">
        <v>151</v>
      </c>
      <c r="H3" s="22" t="s">
        <v>155</v>
      </c>
      <c r="I3" s="29" t="s">
        <v>153</v>
      </c>
    </row>
    <row r="4" spans="2:9" ht="15" customHeight="1" x14ac:dyDescent="0.3">
      <c r="B4" s="24" t="s">
        <v>245</v>
      </c>
      <c r="C4" t="s">
        <v>132</v>
      </c>
      <c r="H4" s="22" t="s">
        <v>132</v>
      </c>
      <c r="I4" s="29" t="s">
        <v>246</v>
      </c>
    </row>
    <row r="5" spans="2:9" ht="15" customHeight="1" x14ac:dyDescent="0.3">
      <c r="B5" s="24" t="s">
        <v>247</v>
      </c>
      <c r="C5" t="s">
        <v>133</v>
      </c>
      <c r="H5" s="22" t="s">
        <v>133</v>
      </c>
      <c r="I5" s="29" t="s">
        <v>248</v>
      </c>
    </row>
    <row r="6" spans="2:9" ht="15" customHeight="1" x14ac:dyDescent="0.3">
      <c r="B6" s="24" t="s">
        <v>249</v>
      </c>
      <c r="C6" t="s">
        <v>134</v>
      </c>
      <c r="H6" s="22" t="s">
        <v>134</v>
      </c>
      <c r="I6" s="29" t="s">
        <v>134</v>
      </c>
    </row>
    <row r="7" spans="2:9" ht="15" customHeight="1" x14ac:dyDescent="0.3">
      <c r="B7" s="24" t="s">
        <v>250</v>
      </c>
      <c r="C7" t="s">
        <v>135</v>
      </c>
      <c r="H7" s="22" t="s">
        <v>135</v>
      </c>
      <c r="I7" s="29" t="s">
        <v>135</v>
      </c>
    </row>
    <row r="8" spans="2:9" ht="15" customHeight="1" x14ac:dyDescent="0.3">
      <c r="B8" s="24" t="s">
        <v>251</v>
      </c>
      <c r="C8" t="s">
        <v>136</v>
      </c>
      <c r="H8" s="22" t="s">
        <v>136</v>
      </c>
      <c r="I8" s="29" t="s">
        <v>252</v>
      </c>
    </row>
    <row r="9" spans="2:9" ht="15" customHeight="1" x14ac:dyDescent="0.3">
      <c r="B9" s="24" t="s">
        <v>253</v>
      </c>
      <c r="C9" t="s">
        <v>137</v>
      </c>
      <c r="H9" s="22" t="s">
        <v>137</v>
      </c>
      <c r="I9" s="29" t="s">
        <v>254</v>
      </c>
    </row>
    <row r="10" spans="2:9" ht="15" customHeight="1" x14ac:dyDescent="0.3">
      <c r="B10" s="24" t="s">
        <v>255</v>
      </c>
      <c r="C10" t="s">
        <v>138</v>
      </c>
      <c r="H10" s="22" t="s">
        <v>138</v>
      </c>
      <c r="I10" s="29" t="s">
        <v>138</v>
      </c>
    </row>
    <row r="11" spans="2:9" ht="15" customHeight="1" x14ac:dyDescent="0.3">
      <c r="B11" s="24" t="s">
        <v>256</v>
      </c>
      <c r="C11" t="s">
        <v>139</v>
      </c>
      <c r="H11" s="22" t="s">
        <v>139</v>
      </c>
      <c r="I11" s="29" t="s">
        <v>139</v>
      </c>
    </row>
    <row r="12" spans="2:9" ht="15" customHeight="1" x14ac:dyDescent="0.3">
      <c r="B12" s="24" t="s">
        <v>257</v>
      </c>
      <c r="C12" t="s">
        <v>140</v>
      </c>
      <c r="H12" s="22" t="s">
        <v>140</v>
      </c>
      <c r="I12" s="29" t="s">
        <v>143</v>
      </c>
    </row>
    <row r="13" spans="2:9" ht="15" customHeight="1" x14ac:dyDescent="0.3">
      <c r="B13" s="24"/>
      <c r="H13" s="22" t="s">
        <v>148</v>
      </c>
      <c r="I13" s="29" t="s">
        <v>258</v>
      </c>
    </row>
    <row r="14" spans="2:9" ht="15" customHeight="1" x14ac:dyDescent="0.3">
      <c r="B14" s="25" t="s">
        <v>210</v>
      </c>
      <c r="C14" s="23" t="s">
        <v>151</v>
      </c>
      <c r="D14" s="23" t="s">
        <v>259</v>
      </c>
      <c r="E14" s="23"/>
      <c r="H14" s="22" t="s">
        <v>143</v>
      </c>
      <c r="I14" s="29" t="s">
        <v>143</v>
      </c>
    </row>
    <row r="15" spans="2:9" ht="15" customHeight="1" x14ac:dyDescent="0.3">
      <c r="B15" s="24" t="s">
        <v>260</v>
      </c>
      <c r="C15" t="s">
        <v>148</v>
      </c>
      <c r="D15" t="s">
        <v>261</v>
      </c>
      <c r="H15" s="22" t="s">
        <v>144</v>
      </c>
      <c r="I15" s="29" t="s">
        <v>144</v>
      </c>
    </row>
    <row r="16" spans="2:9" ht="15" customHeight="1" x14ac:dyDescent="0.3">
      <c r="B16" s="24" t="s">
        <v>262</v>
      </c>
      <c r="C16" t="s">
        <v>143</v>
      </c>
      <c r="D16" t="s">
        <v>263</v>
      </c>
      <c r="H16" s="22" t="s">
        <v>146</v>
      </c>
      <c r="I16" s="29" t="s">
        <v>146</v>
      </c>
    </row>
    <row r="17" spans="2:9" ht="15" customHeight="1" x14ac:dyDescent="0.3">
      <c r="B17" s="24" t="s">
        <v>264</v>
      </c>
      <c r="C17" t="s">
        <v>144</v>
      </c>
      <c r="D17" t="s">
        <v>265</v>
      </c>
      <c r="H17" s="22" t="s">
        <v>145</v>
      </c>
      <c r="I17" s="29" t="s">
        <v>145</v>
      </c>
    </row>
    <row r="18" spans="2:9" ht="15" customHeight="1" x14ac:dyDescent="0.3">
      <c r="B18" s="24" t="s">
        <v>266</v>
      </c>
      <c r="C18" t="s">
        <v>146</v>
      </c>
      <c r="D18" t="s">
        <v>267</v>
      </c>
      <c r="H18" s="22" t="s">
        <v>149</v>
      </c>
      <c r="I18" s="29" t="s">
        <v>149</v>
      </c>
    </row>
    <row r="19" spans="2:9" ht="15" customHeight="1" x14ac:dyDescent="0.3">
      <c r="B19" s="24" t="s">
        <v>268</v>
      </c>
      <c r="C19" t="s">
        <v>145</v>
      </c>
      <c r="D19" t="s">
        <v>269</v>
      </c>
      <c r="H19" s="22" t="s">
        <v>150</v>
      </c>
      <c r="I19" s="29" t="s">
        <v>270</v>
      </c>
    </row>
    <row r="20" spans="2:9" ht="15" customHeight="1" x14ac:dyDescent="0.3">
      <c r="B20" s="24" t="s">
        <v>271</v>
      </c>
      <c r="C20" t="s">
        <v>149</v>
      </c>
      <c r="D20" t="s">
        <v>272</v>
      </c>
      <c r="H20" s="30" t="s">
        <v>273</v>
      </c>
      <c r="I20" s="31" t="s">
        <v>273</v>
      </c>
    </row>
    <row r="21" spans="2:9" ht="15" customHeight="1" x14ac:dyDescent="0.3">
      <c r="B21" s="24" t="s">
        <v>274</v>
      </c>
      <c r="C21" t="s">
        <v>150</v>
      </c>
      <c r="D21" t="s">
        <v>275</v>
      </c>
    </row>
    <row r="22" spans="2:9" ht="15" customHeight="1" x14ac:dyDescent="0.3">
      <c r="B22" s="24" t="s">
        <v>276</v>
      </c>
      <c r="C22" t="s">
        <v>273</v>
      </c>
      <c r="D22" t="s">
        <v>277</v>
      </c>
    </row>
    <row r="23" spans="2:9" ht="15" customHeight="1" x14ac:dyDescent="0.3">
      <c r="B23" s="24"/>
    </row>
    <row r="24" spans="2:9" ht="15" customHeight="1" x14ac:dyDescent="0.3">
      <c r="B24" s="24"/>
    </row>
    <row r="25" spans="2:9" ht="15" customHeight="1" x14ac:dyDescent="0.3">
      <c r="B25" s="24"/>
    </row>
    <row r="26" spans="2:9" ht="15" customHeight="1" x14ac:dyDescent="0.3">
      <c r="B26" s="24"/>
    </row>
    <row r="27" spans="2:9" ht="15" customHeight="1" x14ac:dyDescent="0.3">
      <c r="B27" s="24"/>
    </row>
    <row r="28" spans="2:9" ht="15" customHeight="1" x14ac:dyDescent="0.3">
      <c r="B28" s="24"/>
    </row>
    <row r="29" spans="2:9" ht="15" customHeight="1" x14ac:dyDescent="0.3">
      <c r="B29" s="24"/>
    </row>
    <row r="30" spans="2:9" ht="15" customHeight="1" x14ac:dyDescent="0.3">
      <c r="B30" s="24"/>
    </row>
    <row r="31" spans="2:9" ht="15" customHeight="1" x14ac:dyDescent="0.3">
      <c r="B31" s="24"/>
    </row>
    <row r="32" spans="2:9" ht="15" customHeight="1" x14ac:dyDescent="0.3">
      <c r="B32" s="24"/>
    </row>
    <row r="33" spans="2:5" ht="15" customHeight="1" x14ac:dyDescent="0.3">
      <c r="B33" s="24"/>
    </row>
    <row r="34" spans="2:5" ht="15" customHeight="1" x14ac:dyDescent="0.3">
      <c r="B34" s="24"/>
    </row>
    <row r="35" spans="2:5" ht="15" customHeight="1" x14ac:dyDescent="0.3">
      <c r="B35" s="24"/>
    </row>
    <row r="36" spans="2:5" ht="15" customHeight="1" x14ac:dyDescent="0.3">
      <c r="B36" s="24"/>
    </row>
    <row r="37" spans="2:5" ht="15" customHeight="1" x14ac:dyDescent="0.3">
      <c r="B37" s="24"/>
    </row>
    <row r="38" spans="2:5" ht="15" customHeight="1" x14ac:dyDescent="0.3">
      <c r="B38" s="24"/>
    </row>
    <row r="39" spans="2:5" ht="15" customHeight="1" x14ac:dyDescent="0.3">
      <c r="B39" s="32"/>
      <c r="C39" s="33"/>
      <c r="D39" s="33"/>
      <c r="E39" s="33"/>
    </row>
    <row r="40" spans="2:5" x14ac:dyDescent="0.3">
      <c r="B40" s="24"/>
    </row>
    <row r="41" spans="2:5" x14ac:dyDescent="0.3">
      <c r="B41" s="24"/>
    </row>
    <row r="42" spans="2:5" x14ac:dyDescent="0.3">
      <c r="B42" s="24"/>
    </row>
    <row r="43" spans="2:5" x14ac:dyDescent="0.3">
      <c r="B43" s="24"/>
    </row>
    <row r="44" spans="2:5" x14ac:dyDescent="0.3">
      <c r="B44" s="24"/>
    </row>
    <row r="45" spans="2:5" x14ac:dyDescent="0.3">
      <c r="B45" s="24"/>
    </row>
    <row r="46" spans="2:5" x14ac:dyDescent="0.3">
      <c r="B46" s="24"/>
    </row>
    <row r="47" spans="2:5" x14ac:dyDescent="0.3">
      <c r="B47" s="24"/>
    </row>
    <row r="48" spans="2:5" x14ac:dyDescent="0.3">
      <c r="B48" s="24"/>
    </row>
    <row r="49" spans="2:4" x14ac:dyDescent="0.3">
      <c r="B49" s="24"/>
    </row>
    <row r="50" spans="2:4" x14ac:dyDescent="0.3">
      <c r="B50" s="24"/>
    </row>
    <row r="51" spans="2:4" x14ac:dyDescent="0.3">
      <c r="B51" s="24"/>
    </row>
    <row r="52" spans="2:4" x14ac:dyDescent="0.3">
      <c r="B52" s="24"/>
    </row>
    <row r="53" spans="2:4" x14ac:dyDescent="0.3">
      <c r="B53" s="24"/>
    </row>
    <row r="54" spans="2:4" x14ac:dyDescent="0.3">
      <c r="B54" s="24"/>
    </row>
    <row r="55" spans="2:4" x14ac:dyDescent="0.3">
      <c r="B55" s="24"/>
    </row>
    <row r="56" spans="2:4" x14ac:dyDescent="0.3">
      <c r="B56" s="24"/>
      <c r="D56" s="26"/>
    </row>
    <row r="57" spans="2:4" x14ac:dyDescent="0.3">
      <c r="B57" s="24"/>
    </row>
    <row r="58" spans="2:4" x14ac:dyDescent="0.3">
      <c r="B58" s="24"/>
    </row>
    <row r="59" spans="2:4" x14ac:dyDescent="0.3">
      <c r="B59" s="24"/>
    </row>
  </sheetData>
  <mergeCells count="1">
    <mergeCell ref="B2:E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8EA34-C785-450D-82A7-10EE87A39F81}">
  <dimension ref="A1:Q39"/>
  <sheetViews>
    <sheetView topLeftCell="M1" zoomScale="85" zoomScaleNormal="85" workbookViewId="0">
      <selection activeCell="P13" sqref="P13:Q13"/>
    </sheetView>
  </sheetViews>
  <sheetFormatPr defaultRowHeight="14.4" x14ac:dyDescent="0.3"/>
  <cols>
    <col min="1" max="1" width="13.33203125" bestFit="1" customWidth="1"/>
    <col min="2" max="2" width="10.44140625" bestFit="1" customWidth="1"/>
    <col min="3" max="3" width="15.109375" bestFit="1" customWidth="1"/>
    <col min="4" max="5" width="15.44140625" bestFit="1" customWidth="1"/>
    <col min="6" max="6" width="14.33203125" bestFit="1" customWidth="1"/>
    <col min="7" max="7" width="16" bestFit="1" customWidth="1"/>
    <col min="8" max="8" width="18.33203125" bestFit="1" customWidth="1"/>
    <col min="9" max="9" width="21.44140625" bestFit="1" customWidth="1"/>
    <col min="10" max="10" width="23.109375" bestFit="1" customWidth="1"/>
    <col min="11" max="11" width="22" bestFit="1" customWidth="1"/>
    <col min="12" max="12" width="24.109375" bestFit="1" customWidth="1"/>
    <col min="13" max="13" width="19.88671875" bestFit="1" customWidth="1"/>
    <col min="14" max="14" width="8.33203125" bestFit="1" customWidth="1"/>
    <col min="16" max="16" width="51.88671875" bestFit="1" customWidth="1"/>
    <col min="17" max="17" width="16.33203125" customWidth="1"/>
  </cols>
  <sheetData>
    <row r="1" spans="1:17" x14ac:dyDescent="0.3">
      <c r="A1" t="s">
        <v>0</v>
      </c>
      <c r="B1" t="s">
        <v>1</v>
      </c>
      <c r="C1" t="s">
        <v>2</v>
      </c>
      <c r="D1" t="s">
        <v>62</v>
      </c>
      <c r="E1" t="s">
        <v>310</v>
      </c>
      <c r="F1" t="s">
        <v>5</v>
      </c>
      <c r="G1" t="s">
        <v>6</v>
      </c>
      <c r="H1" t="s">
        <v>7</v>
      </c>
      <c r="I1" t="s">
        <v>8</v>
      </c>
      <c r="J1" t="s">
        <v>9</v>
      </c>
      <c r="K1" t="s">
        <v>10</v>
      </c>
      <c r="L1" t="s">
        <v>11</v>
      </c>
      <c r="M1" t="s">
        <v>12</v>
      </c>
      <c r="N1" t="s">
        <v>13</v>
      </c>
      <c r="P1" s="111" t="s">
        <v>14</v>
      </c>
      <c r="Q1" s="111"/>
    </row>
    <row r="2" spans="1:17" x14ac:dyDescent="0.3">
      <c r="A2" t="s">
        <v>48</v>
      </c>
      <c r="B2" t="s">
        <v>219</v>
      </c>
      <c r="C2" t="s">
        <v>311</v>
      </c>
      <c r="D2">
        <v>4.3499999999999996</v>
      </c>
      <c r="E2">
        <v>5.47</v>
      </c>
      <c r="F2" s="1">
        <v>5.46</v>
      </c>
      <c r="G2" s="1">
        <v>5.4298671768043496</v>
      </c>
      <c r="H2" s="2">
        <v>5.8947714451462518E-2</v>
      </c>
      <c r="I2" s="2">
        <v>5.4600000000000003E-2</v>
      </c>
      <c r="J2" s="2">
        <v>5.7000000000000002E-2</v>
      </c>
      <c r="K2" s="2">
        <v>-7.3755437202614849E-2</v>
      </c>
      <c r="L2" s="2">
        <v>-3.3041390486246283E-2</v>
      </c>
      <c r="M2">
        <v>3</v>
      </c>
      <c r="N2">
        <v>1.1599999999999999</v>
      </c>
      <c r="P2" t="s">
        <v>16</v>
      </c>
      <c r="Q2" s="3">
        <f>AVERAGE(H2:H999)</f>
        <v>2.6747169618520493E-2</v>
      </c>
    </row>
    <row r="3" spans="1:17" x14ac:dyDescent="0.3">
      <c r="A3" t="s">
        <v>19</v>
      </c>
      <c r="B3" t="s">
        <v>166</v>
      </c>
      <c r="C3" t="s">
        <v>312</v>
      </c>
      <c r="D3">
        <v>3.36</v>
      </c>
      <c r="E3">
        <v>3.74</v>
      </c>
      <c r="F3" s="1">
        <v>3.9701796572184014</v>
      </c>
      <c r="G3" s="1">
        <v>3.9701796572184014</v>
      </c>
      <c r="H3" s="2">
        <v>2.7148133265910257E-2</v>
      </c>
      <c r="I3" s="2">
        <v>4.2599999999999999E-2</v>
      </c>
      <c r="J3" s="2">
        <v>4.2599999999999999E-2</v>
      </c>
      <c r="K3" s="2">
        <v>0.56916866374354202</v>
      </c>
      <c r="L3" s="2">
        <v>0.56916866374354202</v>
      </c>
      <c r="M3">
        <v>2</v>
      </c>
      <c r="N3">
        <v>0.62</v>
      </c>
      <c r="P3" t="s">
        <v>18</v>
      </c>
      <c r="Q3" s="3">
        <f>AVERAGE(I2:I999)</f>
        <v>4.3000000000000003E-2</v>
      </c>
    </row>
    <row r="4" spans="1:17" x14ac:dyDescent="0.3">
      <c r="A4" t="s">
        <v>21</v>
      </c>
      <c r="B4" t="s">
        <v>21</v>
      </c>
      <c r="C4" t="s">
        <v>313</v>
      </c>
      <c r="D4">
        <v>2.17</v>
      </c>
      <c r="E4">
        <v>2.65</v>
      </c>
      <c r="F4" s="1">
        <v>2.8915035676615362</v>
      </c>
      <c r="G4" s="1">
        <v>2.9012043306320785</v>
      </c>
      <c r="H4" s="2">
        <v>5.1227068079120475E-2</v>
      </c>
      <c r="I4" s="2">
        <v>7.4400000000000008E-2</v>
      </c>
      <c r="J4" s="2">
        <v>7.5300000000000006E-2</v>
      </c>
      <c r="K4" s="2">
        <v>0.4523571773635145</v>
      </c>
      <c r="L4" s="2">
        <v>0.46992601418646018</v>
      </c>
      <c r="M4">
        <v>4</v>
      </c>
      <c r="N4">
        <v>0.32</v>
      </c>
      <c r="P4" t="s">
        <v>20</v>
      </c>
      <c r="Q4" s="3">
        <f>(Q3-Q2)/ABS(Q2)</f>
        <v>0.60764673845062067</v>
      </c>
    </row>
    <row r="5" spans="1:17" x14ac:dyDescent="0.3">
      <c r="A5" t="s">
        <v>25</v>
      </c>
      <c r="B5" t="s">
        <v>25</v>
      </c>
      <c r="C5" t="s">
        <v>314</v>
      </c>
      <c r="D5">
        <v>3.6</v>
      </c>
      <c r="E5">
        <v>3.86</v>
      </c>
      <c r="F5" s="1">
        <v>4.1534799469020065</v>
      </c>
      <c r="G5" s="1">
        <v>4.179188063289601</v>
      </c>
      <c r="H5" s="2">
        <v>1.7586182001605444E-2</v>
      </c>
      <c r="I5" s="2">
        <v>3.6400000000000002E-2</v>
      </c>
      <c r="J5" s="2">
        <v>3.7999999999999999E-2</v>
      </c>
      <c r="K5" s="2">
        <v>1.0698068515768258</v>
      </c>
      <c r="L5" s="2">
        <v>1.1607873725252573</v>
      </c>
      <c r="M5">
        <v>3</v>
      </c>
      <c r="N5">
        <v>0.37</v>
      </c>
      <c r="P5" t="s">
        <v>22</v>
      </c>
      <c r="Q5" s="3">
        <f>AVERAGE(J2:J999)</f>
        <v>4.3126315789473693E-2</v>
      </c>
    </row>
    <row r="6" spans="1:17" x14ac:dyDescent="0.3">
      <c r="A6" t="s">
        <v>27</v>
      </c>
      <c r="B6" t="s">
        <v>27</v>
      </c>
      <c r="C6" t="s">
        <v>315</v>
      </c>
      <c r="D6">
        <v>5.59</v>
      </c>
      <c r="E6">
        <v>5.99</v>
      </c>
      <c r="F6" s="1">
        <v>6.7688323968775901</v>
      </c>
      <c r="G6" s="1">
        <v>6.7045361778820993</v>
      </c>
      <c r="H6" s="2">
        <v>1.7428159817563404E-2</v>
      </c>
      <c r="I6" s="2">
        <v>4.9000000000000002E-2</v>
      </c>
      <c r="J6" s="2">
        <v>4.6500000000000007E-2</v>
      </c>
      <c r="K6" s="2">
        <v>1.8115418100894252</v>
      </c>
      <c r="L6" s="2">
        <v>1.6680957993705774</v>
      </c>
      <c r="M6">
        <v>3</v>
      </c>
      <c r="N6">
        <v>0.99</v>
      </c>
      <c r="P6" t="s">
        <v>24</v>
      </c>
      <c r="Q6" s="3">
        <f>(Q5-Q2)/ABS(Q2)</f>
        <v>0.61236932372881125</v>
      </c>
    </row>
    <row r="7" spans="1:17" x14ac:dyDescent="0.3">
      <c r="A7" t="s">
        <v>29</v>
      </c>
      <c r="B7" t="s">
        <v>29</v>
      </c>
      <c r="C7" t="s">
        <v>316</v>
      </c>
      <c r="D7">
        <v>4.57</v>
      </c>
      <c r="E7">
        <v>5.24</v>
      </c>
      <c r="F7" s="1">
        <v>5.1896719903556496</v>
      </c>
      <c r="G7" s="1">
        <v>5.109701654729661</v>
      </c>
      <c r="H7" s="2">
        <v>3.4793689836750685E-2</v>
      </c>
      <c r="I7" s="2">
        <v>3.2300000000000002E-2</v>
      </c>
      <c r="J7" s="2">
        <v>2.8300000000000002E-2</v>
      </c>
      <c r="K7" s="2">
        <v>-7.1670749737980752E-2</v>
      </c>
      <c r="L7" s="2">
        <v>-0.18663412438343205</v>
      </c>
      <c r="M7">
        <v>3</v>
      </c>
      <c r="N7">
        <v>0.75</v>
      </c>
      <c r="P7" s="111" t="s">
        <v>26</v>
      </c>
      <c r="Q7" s="111"/>
    </row>
    <row r="8" spans="1:17" x14ac:dyDescent="0.3">
      <c r="A8" t="s">
        <v>31</v>
      </c>
      <c r="B8" t="s">
        <v>31</v>
      </c>
      <c r="C8" t="s">
        <v>317</v>
      </c>
      <c r="D8">
        <v>4.12</v>
      </c>
      <c r="E8">
        <v>4.3899999999999997</v>
      </c>
      <c r="F8" s="1">
        <v>4.6786539606707391</v>
      </c>
      <c r="G8" s="1">
        <v>4.7846919292466392</v>
      </c>
      <c r="H8" s="2">
        <v>1.5995597453061672E-2</v>
      </c>
      <c r="I8" s="2">
        <v>3.2300000000000002E-2</v>
      </c>
      <c r="J8" s="2">
        <v>3.8100000000000002E-2</v>
      </c>
      <c r="K8" s="2">
        <v>1.0193056304888162</v>
      </c>
      <c r="L8" s="2">
        <v>1.3819054031462508</v>
      </c>
      <c r="M8">
        <v>3</v>
      </c>
      <c r="N8">
        <v>1.07</v>
      </c>
      <c r="P8" t="s">
        <v>28</v>
      </c>
      <c r="Q8" s="2">
        <f>MEDIAN(H2:H99)</f>
        <v>3.5402993861689436E-2</v>
      </c>
    </row>
    <row r="9" spans="1:17" x14ac:dyDescent="0.3">
      <c r="A9" t="s">
        <v>42</v>
      </c>
      <c r="B9" t="s">
        <v>89</v>
      </c>
      <c r="C9" t="s">
        <v>318</v>
      </c>
      <c r="D9">
        <v>1.675</v>
      </c>
      <c r="E9">
        <v>2.5499999999999998</v>
      </c>
      <c r="F9" s="1">
        <v>2.2821969121943471</v>
      </c>
      <c r="G9" s="1">
        <v>2.2881172790807676</v>
      </c>
      <c r="H9" s="2">
        <v>0.1107884166633426</v>
      </c>
      <c r="I9" s="2">
        <v>8.0399999999999985E-2</v>
      </c>
      <c r="J9" s="2">
        <v>8.1099999999999992E-2</v>
      </c>
      <c r="K9" s="2">
        <v>-0.27429236357520276</v>
      </c>
      <c r="L9" s="2">
        <v>-0.26797401350682759</v>
      </c>
      <c r="M9">
        <v>4</v>
      </c>
      <c r="N9">
        <v>0.25</v>
      </c>
      <c r="P9" t="s">
        <v>30</v>
      </c>
      <c r="Q9" s="2">
        <f>MEDIAN(I2:I100)</f>
        <v>4.7100000000000003E-2</v>
      </c>
    </row>
    <row r="10" spans="1:17" x14ac:dyDescent="0.3">
      <c r="A10" t="s">
        <v>36</v>
      </c>
      <c r="B10" t="s">
        <v>36</v>
      </c>
      <c r="C10" t="s">
        <v>319</v>
      </c>
      <c r="D10">
        <v>1.65</v>
      </c>
      <c r="E10">
        <v>2.25</v>
      </c>
      <c r="F10" s="1">
        <v>1.967655691031249</v>
      </c>
      <c r="G10" s="1">
        <v>1.967655691031249</v>
      </c>
      <c r="H10" s="2">
        <v>8.0624086462209421E-2</v>
      </c>
      <c r="I10" s="2">
        <v>4.4999999999999998E-2</v>
      </c>
      <c r="J10" s="2">
        <v>4.4999999999999998E-2</v>
      </c>
      <c r="K10" s="2">
        <v>-0.44185414093228015</v>
      </c>
      <c r="L10" s="2">
        <v>-0.44185414093228015</v>
      </c>
      <c r="M10">
        <v>1</v>
      </c>
      <c r="N10">
        <v>0</v>
      </c>
      <c r="P10" t="s">
        <v>32</v>
      </c>
      <c r="Q10" s="2">
        <f>(Q9-Q8)/ABS(Q8)</f>
        <v>0.33039595984474701</v>
      </c>
    </row>
    <row r="11" spans="1:17" x14ac:dyDescent="0.3">
      <c r="A11" t="s">
        <v>23</v>
      </c>
      <c r="B11" t="s">
        <v>173</v>
      </c>
      <c r="C11" t="s">
        <v>320</v>
      </c>
      <c r="D11">
        <v>1.37</v>
      </c>
      <c r="E11">
        <v>1.64</v>
      </c>
      <c r="F11" s="1">
        <v>1.835045034685004</v>
      </c>
      <c r="G11" s="1">
        <v>1.8687068304882601</v>
      </c>
      <c r="H11" s="2">
        <v>4.5997918311747821E-2</v>
      </c>
      <c r="I11" s="2">
        <v>7.5800000000000006E-2</v>
      </c>
      <c r="J11" s="2">
        <v>8.0700000000000008E-2</v>
      </c>
      <c r="K11" s="2">
        <v>0.64790066120537382</v>
      </c>
      <c r="L11" s="2">
        <v>0.75442722109859728</v>
      </c>
      <c r="M11">
        <v>4</v>
      </c>
      <c r="N11">
        <v>1.8</v>
      </c>
      <c r="P11" t="s">
        <v>34</v>
      </c>
      <c r="Q11" s="2">
        <f>MEDIAN(J2:J99)</f>
        <v>4.5850000000000002E-2</v>
      </c>
    </row>
    <row r="12" spans="1:17" x14ac:dyDescent="0.3">
      <c r="A12" t="s">
        <v>38</v>
      </c>
      <c r="B12" t="s">
        <v>38</v>
      </c>
      <c r="C12" t="s">
        <v>321</v>
      </c>
      <c r="D12">
        <v>4.21</v>
      </c>
      <c r="E12">
        <v>4.8499999999999996</v>
      </c>
      <c r="F12" s="1">
        <v>4.9251045376000011</v>
      </c>
      <c r="G12" s="1">
        <v>4.9251045376000011</v>
      </c>
      <c r="H12" s="2">
        <v>3.6012297886628186E-2</v>
      </c>
      <c r="I12" s="2">
        <v>0.04</v>
      </c>
      <c r="J12" s="2">
        <v>0.04</v>
      </c>
      <c r="K12" s="2">
        <v>0.11073167632694991</v>
      </c>
      <c r="L12" s="2">
        <v>0.11073167632694991</v>
      </c>
      <c r="M12">
        <v>2</v>
      </c>
      <c r="N12">
        <v>0</v>
      </c>
      <c r="P12" t="s">
        <v>32</v>
      </c>
      <c r="Q12" s="2">
        <f>(Q11-Q8)/ABS(Q8)</f>
        <v>0.29508821144122394</v>
      </c>
    </row>
    <row r="13" spans="1:17" x14ac:dyDescent="0.3">
      <c r="A13" t="s">
        <v>17</v>
      </c>
      <c r="B13" t="s">
        <v>162</v>
      </c>
      <c r="C13" t="s">
        <v>322</v>
      </c>
      <c r="D13">
        <v>3.19</v>
      </c>
      <c r="E13">
        <v>3.23</v>
      </c>
      <c r="F13" s="1">
        <v>3.8774649375000001</v>
      </c>
      <c r="G13" s="1">
        <v>3.8774649375000001</v>
      </c>
      <c r="H13" s="2">
        <v>3.1201627154138212E-3</v>
      </c>
      <c r="I13" s="2">
        <v>0.05</v>
      </c>
      <c r="J13" s="2">
        <v>0.05</v>
      </c>
      <c r="K13" s="2">
        <v>15.024805293966407</v>
      </c>
      <c r="L13" s="2">
        <v>15.024805293966407</v>
      </c>
      <c r="M13">
        <v>1</v>
      </c>
      <c r="N13">
        <v>0</v>
      </c>
      <c r="P13" s="111" t="s">
        <v>37</v>
      </c>
      <c r="Q13" s="111"/>
    </row>
    <row r="14" spans="1:17" x14ac:dyDescent="0.3">
      <c r="A14" t="s">
        <v>59</v>
      </c>
      <c r="B14" t="s">
        <v>187</v>
      </c>
      <c r="C14" t="s">
        <v>323</v>
      </c>
      <c r="D14">
        <v>7.2</v>
      </c>
      <c r="E14">
        <v>6.02</v>
      </c>
      <c r="F14" s="1">
        <v>5.7711753669233783</v>
      </c>
      <c r="G14" s="1">
        <v>5.7711753669233783</v>
      </c>
      <c r="H14" s="2">
        <v>-4.376199879091458E-2</v>
      </c>
      <c r="I14" s="2">
        <v>-5.3800000000000001E-2</v>
      </c>
      <c r="J14" s="2">
        <v>-5.3800000000000001E-2</v>
      </c>
      <c r="K14" s="2">
        <v>-0.22937711910840342</v>
      </c>
      <c r="L14" s="2">
        <v>-0.22937711910840342</v>
      </c>
      <c r="M14">
        <v>2</v>
      </c>
      <c r="N14">
        <v>3.22</v>
      </c>
      <c r="P14" t="s">
        <v>39</v>
      </c>
      <c r="Q14" s="1">
        <f>AVERAGE(M2:M1002)</f>
        <v>2.0526315789473686</v>
      </c>
    </row>
    <row r="15" spans="1:17" x14ac:dyDescent="0.3">
      <c r="A15" t="s">
        <v>56</v>
      </c>
      <c r="B15" t="s">
        <v>240</v>
      </c>
      <c r="C15" t="s">
        <v>324</v>
      </c>
      <c r="D15">
        <v>2.2999999999999998</v>
      </c>
      <c r="E15">
        <v>2.96</v>
      </c>
      <c r="F15" s="1">
        <v>2.9026014283270491</v>
      </c>
      <c r="G15" s="1">
        <v>2.9026014283270491</v>
      </c>
      <c r="H15" s="2">
        <v>6.5101432436095008E-2</v>
      </c>
      <c r="I15" s="2">
        <v>5.9900000000000002E-2</v>
      </c>
      <c r="J15" s="2">
        <v>5.9900000000000002E-2</v>
      </c>
      <c r="K15" s="2">
        <v>-7.9897357730198126E-2</v>
      </c>
      <c r="L15" s="2">
        <v>-7.9897357730198126E-2</v>
      </c>
      <c r="M15">
        <v>2</v>
      </c>
      <c r="N15">
        <v>0.59</v>
      </c>
      <c r="P15" t="s">
        <v>41</v>
      </c>
      <c r="Q15" s="1">
        <f>COUNT(N2:N1002)</f>
        <v>38</v>
      </c>
    </row>
    <row r="16" spans="1:17" x14ac:dyDescent="0.3">
      <c r="A16" t="s">
        <v>43</v>
      </c>
      <c r="B16" t="s">
        <v>208</v>
      </c>
      <c r="C16" t="s">
        <v>325</v>
      </c>
      <c r="D16">
        <v>3.3</v>
      </c>
      <c r="E16">
        <v>3.51</v>
      </c>
      <c r="F16" s="1">
        <v>3.6071749520039051</v>
      </c>
      <c r="G16" s="1">
        <v>3.6071749520039051</v>
      </c>
      <c r="H16" s="2">
        <v>1.5542946619439224E-2</v>
      </c>
      <c r="I16" s="2">
        <v>2.2499999999999999E-2</v>
      </c>
      <c r="J16" s="2">
        <v>2.2499999999999999E-2</v>
      </c>
      <c r="K16" s="2">
        <v>0.44760196061277985</v>
      </c>
      <c r="L16" s="2">
        <v>0.44760196061277985</v>
      </c>
      <c r="M16">
        <v>2</v>
      </c>
      <c r="N16">
        <v>7.0000000000000007E-2</v>
      </c>
    </row>
    <row r="17" spans="1:14" x14ac:dyDescent="0.3">
      <c r="A17" t="s">
        <v>67</v>
      </c>
      <c r="B17" t="s">
        <v>193</v>
      </c>
      <c r="C17" t="s">
        <v>326</v>
      </c>
      <c r="D17">
        <v>3.07</v>
      </c>
      <c r="E17">
        <v>2.6</v>
      </c>
      <c r="F17" s="1">
        <v>2.2680086144627798</v>
      </c>
      <c r="G17" s="1">
        <v>2.2680086144627798</v>
      </c>
      <c r="H17" s="2">
        <v>-4.0690504786913828E-2</v>
      </c>
      <c r="I17" s="2">
        <v>-7.2900000000000006E-2</v>
      </c>
      <c r="J17" s="2">
        <v>-7.2900000000000006E-2</v>
      </c>
      <c r="K17" s="2">
        <v>-0.79157276081384065</v>
      </c>
      <c r="L17" s="2">
        <v>-0.79157276081384065</v>
      </c>
      <c r="M17">
        <v>2</v>
      </c>
      <c r="N17">
        <v>0.97</v>
      </c>
    </row>
    <row r="18" spans="1:14" x14ac:dyDescent="0.3">
      <c r="A18" t="s">
        <v>44</v>
      </c>
      <c r="B18" t="s">
        <v>44</v>
      </c>
      <c r="C18" t="s">
        <v>327</v>
      </c>
      <c r="D18">
        <v>1.92</v>
      </c>
      <c r="E18">
        <v>2.27</v>
      </c>
      <c r="F18" s="1">
        <v>2.2375019317267184</v>
      </c>
      <c r="G18" s="1">
        <v>2.2375019317267184</v>
      </c>
      <c r="H18" s="2">
        <v>4.2752301631755696E-2</v>
      </c>
      <c r="I18" s="2">
        <v>3.9E-2</v>
      </c>
      <c r="J18" s="2">
        <v>3.9E-2</v>
      </c>
      <c r="K18" s="2">
        <v>-8.7768412191603473E-2</v>
      </c>
      <c r="L18" s="2">
        <v>-8.7768412191603473E-2</v>
      </c>
      <c r="M18">
        <v>1</v>
      </c>
      <c r="N18">
        <v>0</v>
      </c>
    </row>
    <row r="19" spans="1:14" x14ac:dyDescent="0.3">
      <c r="A19" t="s">
        <v>45</v>
      </c>
      <c r="B19" t="s">
        <v>45</v>
      </c>
      <c r="C19" t="s">
        <v>328</v>
      </c>
      <c r="D19">
        <v>3.68</v>
      </c>
      <c r="E19">
        <v>1.08</v>
      </c>
      <c r="F19" s="1">
        <v>4.0525286874494677</v>
      </c>
      <c r="G19" s="1">
        <v>4.0525286874494677</v>
      </c>
      <c r="H19" s="2">
        <v>-0.26397259637567749</v>
      </c>
      <c r="I19" s="2">
        <v>2.4399999999999998E-2</v>
      </c>
      <c r="J19" s="2">
        <v>2.4399999999999998E-2</v>
      </c>
      <c r="K19" s="2">
        <v>1.0924338372051114</v>
      </c>
      <c r="L19" s="2">
        <v>1.0924338372051114</v>
      </c>
      <c r="M19">
        <v>2</v>
      </c>
      <c r="N19">
        <v>0.51</v>
      </c>
    </row>
    <row r="20" spans="1:14" x14ac:dyDescent="0.3">
      <c r="A20" t="s">
        <v>35</v>
      </c>
      <c r="B20" t="s">
        <v>191</v>
      </c>
      <c r="C20" t="s">
        <v>329</v>
      </c>
      <c r="D20">
        <v>2.6</v>
      </c>
      <c r="E20">
        <v>2.82</v>
      </c>
      <c r="F20" s="1">
        <v>2.6292425324606103</v>
      </c>
      <c r="G20" s="1">
        <v>2.5545411310609056</v>
      </c>
      <c r="H20" s="2">
        <v>2.0513936770663266E-2</v>
      </c>
      <c r="I20" s="2">
        <v>2.8000000000000004E-3</v>
      </c>
      <c r="J20" s="2">
        <v>-4.4000000000000003E-3</v>
      </c>
      <c r="K20" s="2">
        <v>-0.86350742759409072</v>
      </c>
      <c r="L20" s="2">
        <v>-1.2144883280664289</v>
      </c>
      <c r="M20">
        <v>3</v>
      </c>
      <c r="N20">
        <v>1.47</v>
      </c>
    </row>
    <row r="21" spans="1:14" x14ac:dyDescent="0.3">
      <c r="A21" t="s">
        <v>46</v>
      </c>
      <c r="B21" t="s">
        <v>46</v>
      </c>
      <c r="C21" t="s">
        <v>330</v>
      </c>
      <c r="D21">
        <v>2.93</v>
      </c>
      <c r="E21">
        <v>3.65</v>
      </c>
      <c r="F21" s="1">
        <v>3.0951148424673036</v>
      </c>
      <c r="G21" s="1">
        <v>3.0951148424673036</v>
      </c>
      <c r="H21" s="2">
        <v>5.6467912540470344E-2</v>
      </c>
      <c r="I21" s="2">
        <v>1.38E-2</v>
      </c>
      <c r="J21" s="2">
        <v>1.38E-2</v>
      </c>
      <c r="K21" s="2">
        <v>-0.75561342045166646</v>
      </c>
      <c r="L21" s="2">
        <v>-0.75561342045166646</v>
      </c>
      <c r="M21">
        <v>2</v>
      </c>
      <c r="N21">
        <v>1.3</v>
      </c>
    </row>
    <row r="22" spans="1:14" x14ac:dyDescent="0.3">
      <c r="A22" t="s">
        <v>47</v>
      </c>
      <c r="B22" t="s">
        <v>47</v>
      </c>
      <c r="C22" t="s">
        <v>331</v>
      </c>
      <c r="D22">
        <v>1.94</v>
      </c>
      <c r="E22">
        <v>2.4500000000000002</v>
      </c>
      <c r="F22" s="1">
        <v>2.4307729831222398</v>
      </c>
      <c r="G22" s="1">
        <v>2.4307729831222398</v>
      </c>
      <c r="H22" s="2">
        <v>6.008597451757991E-2</v>
      </c>
      <c r="I22" s="2">
        <v>5.7999999999999996E-2</v>
      </c>
      <c r="J22" s="2">
        <v>5.7999999999999996E-2</v>
      </c>
      <c r="K22" s="2">
        <v>-3.4716496392508386E-2</v>
      </c>
      <c r="L22" s="2">
        <v>-3.4716496392508386E-2</v>
      </c>
      <c r="M22">
        <v>1</v>
      </c>
      <c r="N22">
        <v>0</v>
      </c>
    </row>
    <row r="23" spans="1:14" x14ac:dyDescent="0.3">
      <c r="A23" t="s">
        <v>50</v>
      </c>
      <c r="B23" t="s">
        <v>222</v>
      </c>
      <c r="C23" t="s">
        <v>332</v>
      </c>
      <c r="D23">
        <v>2.29</v>
      </c>
      <c r="E23">
        <v>2.72</v>
      </c>
      <c r="F23" s="1">
        <v>2.6789761024000005</v>
      </c>
      <c r="G23" s="1">
        <v>2.6789761024000005</v>
      </c>
      <c r="H23" s="2">
        <v>4.3958790192250907E-2</v>
      </c>
      <c r="I23" s="2">
        <v>0.04</v>
      </c>
      <c r="J23" s="2">
        <v>0.04</v>
      </c>
      <c r="K23" s="2">
        <v>-9.0056850403238922E-2</v>
      </c>
      <c r="L23" s="2">
        <v>-9.0056850403238922E-2</v>
      </c>
      <c r="M23">
        <v>3</v>
      </c>
      <c r="N23">
        <v>0.5</v>
      </c>
    </row>
    <row r="24" spans="1:14" x14ac:dyDescent="0.3">
      <c r="A24" t="s">
        <v>51</v>
      </c>
      <c r="B24" t="s">
        <v>51</v>
      </c>
      <c r="C24" t="s">
        <v>51</v>
      </c>
      <c r="D24">
        <v>2.25</v>
      </c>
      <c r="E24">
        <v>1.05</v>
      </c>
      <c r="F24" s="1">
        <v>2.2473012147570186</v>
      </c>
      <c r="G24" s="1">
        <v>2.2473012147570186</v>
      </c>
      <c r="H24" s="2">
        <v>-0.17348318162061982</v>
      </c>
      <c r="I24" s="2">
        <v>-2.9999999999999997E-4</v>
      </c>
      <c r="J24" s="2">
        <v>-2.9999999999999997E-4</v>
      </c>
      <c r="K24" s="2">
        <v>0.99827072574299425</v>
      </c>
      <c r="L24" s="2">
        <v>0.99827072574299425</v>
      </c>
      <c r="M24">
        <v>1</v>
      </c>
      <c r="N24">
        <v>0</v>
      </c>
    </row>
    <row r="25" spans="1:14" x14ac:dyDescent="0.3">
      <c r="A25" t="s">
        <v>33</v>
      </c>
      <c r="B25" t="s">
        <v>185</v>
      </c>
      <c r="C25" t="s">
        <v>333</v>
      </c>
      <c r="D25">
        <v>4.5</v>
      </c>
      <c r="E25">
        <v>4.59</v>
      </c>
      <c r="F25" s="1">
        <v>5.6298689074593824</v>
      </c>
      <c r="G25" s="1">
        <v>5.6298689074593824</v>
      </c>
      <c r="H25" s="2">
        <v>4.9629315732038215E-3</v>
      </c>
      <c r="I25" s="2">
        <v>5.7599999999999998E-2</v>
      </c>
      <c r="J25" s="2">
        <v>5.7599999999999998E-2</v>
      </c>
      <c r="K25" s="2">
        <v>10.606043555183717</v>
      </c>
      <c r="L25" s="2">
        <v>10.606043555183717</v>
      </c>
      <c r="M25">
        <v>2</v>
      </c>
      <c r="N25">
        <v>1.04</v>
      </c>
    </row>
    <row r="26" spans="1:14" x14ac:dyDescent="0.3">
      <c r="A26" t="s">
        <v>54</v>
      </c>
      <c r="B26" t="s">
        <v>228</v>
      </c>
      <c r="C26" t="s">
        <v>334</v>
      </c>
      <c r="D26">
        <v>5.42</v>
      </c>
      <c r="E26">
        <v>8.43</v>
      </c>
      <c r="F26" s="1">
        <v>7.566890735544618</v>
      </c>
      <c r="G26" s="1">
        <v>7.566890735544618</v>
      </c>
      <c r="H26" s="2">
        <v>0.11675285652782597</v>
      </c>
      <c r="I26" s="2">
        <v>8.6999999999999994E-2</v>
      </c>
      <c r="J26" s="2">
        <v>8.6999999999999994E-2</v>
      </c>
      <c r="K26" s="2">
        <v>-0.25483621910985027</v>
      </c>
      <c r="L26" s="2">
        <v>-0.25483621910985027</v>
      </c>
      <c r="M26">
        <v>1</v>
      </c>
      <c r="N26">
        <v>0</v>
      </c>
    </row>
    <row r="27" spans="1:14" x14ac:dyDescent="0.3">
      <c r="A27" t="s">
        <v>53</v>
      </c>
      <c r="B27" t="s">
        <v>53</v>
      </c>
      <c r="C27" t="s">
        <v>335</v>
      </c>
      <c r="D27">
        <v>3.02</v>
      </c>
      <c r="E27">
        <v>3.41</v>
      </c>
      <c r="F27" s="1">
        <v>3.3452383138242094</v>
      </c>
      <c r="G27" s="1">
        <v>3.3753385619455458</v>
      </c>
      <c r="H27" s="2">
        <v>3.0829548492170789E-2</v>
      </c>
      <c r="I27" s="2">
        <v>2.5899999999999999E-2</v>
      </c>
      <c r="J27" s="2">
        <v>2.8199999999999999E-2</v>
      </c>
      <c r="K27" s="2">
        <v>-0.15989687599293437</v>
      </c>
      <c r="L27" s="2">
        <v>-8.5293123667982584E-2</v>
      </c>
      <c r="M27">
        <v>3</v>
      </c>
      <c r="N27">
        <v>0.56999999999999995</v>
      </c>
    </row>
    <row r="28" spans="1:14" x14ac:dyDescent="0.3">
      <c r="A28" t="s">
        <v>15</v>
      </c>
      <c r="B28" t="s">
        <v>157</v>
      </c>
      <c r="C28" t="s">
        <v>336</v>
      </c>
      <c r="D28">
        <v>2.83</v>
      </c>
      <c r="E28">
        <v>3.84</v>
      </c>
      <c r="F28" s="1">
        <v>3.7095527082999999</v>
      </c>
      <c r="G28" s="1">
        <v>3.7095527082999999</v>
      </c>
      <c r="H28" s="2">
        <v>7.9285139098605573E-2</v>
      </c>
      <c r="I28" s="2">
        <v>7.0000000000000007E-2</v>
      </c>
      <c r="J28" s="2">
        <v>7.0000000000000007E-2</v>
      </c>
      <c r="K28" s="2">
        <v>-0.11711071209773369</v>
      </c>
      <c r="L28" s="2">
        <v>-0.11711071209773369</v>
      </c>
      <c r="M28">
        <v>1</v>
      </c>
      <c r="N28">
        <v>0</v>
      </c>
    </row>
    <row r="29" spans="1:14" x14ac:dyDescent="0.3">
      <c r="A29" t="s">
        <v>55</v>
      </c>
      <c r="B29" t="s">
        <v>234</v>
      </c>
      <c r="C29" t="s">
        <v>337</v>
      </c>
      <c r="D29">
        <v>3.14</v>
      </c>
      <c r="E29">
        <v>4.1100000000000003</v>
      </c>
      <c r="F29" s="1">
        <v>3.8560986850652768</v>
      </c>
      <c r="G29" s="1">
        <v>3.8546336715717788</v>
      </c>
      <c r="H29" s="2">
        <v>6.9616376066521601E-2</v>
      </c>
      <c r="I29" s="2">
        <v>5.2699999999999997E-2</v>
      </c>
      <c r="J29" s="2">
        <v>5.2600000000000001E-2</v>
      </c>
      <c r="K29" s="2">
        <v>-0.24299420656940315</v>
      </c>
      <c r="L29" s="2">
        <v>-0.24443065020020122</v>
      </c>
      <c r="M29">
        <v>3</v>
      </c>
      <c r="N29">
        <v>0.03</v>
      </c>
    </row>
    <row r="30" spans="1:14" x14ac:dyDescent="0.3">
      <c r="A30" t="s">
        <v>40</v>
      </c>
      <c r="B30" t="s">
        <v>200</v>
      </c>
      <c r="C30" t="s">
        <v>338</v>
      </c>
      <c r="D30">
        <v>1.93</v>
      </c>
      <c r="E30">
        <v>2.63</v>
      </c>
      <c r="F30" s="1">
        <v>2.5345682807981706</v>
      </c>
      <c r="G30" s="1">
        <v>2.5345682807981706</v>
      </c>
      <c r="H30" s="2">
        <v>8.0437401806982667E-2</v>
      </c>
      <c r="I30" s="2">
        <v>7.0499999999999993E-2</v>
      </c>
      <c r="J30" s="2">
        <v>7.0499999999999993E-2</v>
      </c>
      <c r="K30" s="2">
        <v>-0.12354205361864412</v>
      </c>
      <c r="L30" s="2">
        <v>-0.12354205361864412</v>
      </c>
      <c r="M30">
        <v>2</v>
      </c>
      <c r="N30">
        <v>1.48</v>
      </c>
    </row>
    <row r="31" spans="1:14" x14ac:dyDescent="0.3">
      <c r="A31" t="s">
        <v>63</v>
      </c>
      <c r="B31" t="s">
        <v>164</v>
      </c>
      <c r="C31" t="s">
        <v>339</v>
      </c>
      <c r="D31">
        <v>1.95</v>
      </c>
      <c r="E31">
        <v>2.1</v>
      </c>
      <c r="F31" s="1">
        <v>2.4294760209721216</v>
      </c>
      <c r="G31" s="1">
        <v>2.4294760209721216</v>
      </c>
      <c r="H31" s="2">
        <v>1.869968259813537E-2</v>
      </c>
      <c r="I31" s="2">
        <v>5.6500000000000002E-2</v>
      </c>
      <c r="J31" s="2">
        <v>5.6500000000000002E-2</v>
      </c>
      <c r="K31" s="2">
        <v>2.0214416583538095</v>
      </c>
      <c r="L31" s="2">
        <v>2.0214416583538095</v>
      </c>
      <c r="M31">
        <v>2</v>
      </c>
      <c r="N31">
        <v>0.49</v>
      </c>
    </row>
    <row r="32" spans="1:14" x14ac:dyDescent="0.3">
      <c r="A32" s="22" t="s">
        <v>133</v>
      </c>
      <c r="B32" t="s">
        <v>248</v>
      </c>
      <c r="C32" t="s">
        <v>340</v>
      </c>
      <c r="D32">
        <v>2.89</v>
      </c>
      <c r="E32">
        <v>4.7300000000000004</v>
      </c>
      <c r="F32" s="1">
        <v>3.94639560298369</v>
      </c>
      <c r="G32" s="1">
        <v>3.94639560298369</v>
      </c>
      <c r="H32" s="2">
        <v>0.13107349246143785</v>
      </c>
      <c r="I32" s="2">
        <v>8.1000000000000003E-2</v>
      </c>
      <c r="J32" s="2">
        <v>8.1000000000000003E-2</v>
      </c>
      <c r="K32" s="2">
        <v>-0.38202607957646045</v>
      </c>
      <c r="L32" s="2">
        <v>-0.38202607957646045</v>
      </c>
      <c r="M32">
        <v>1</v>
      </c>
      <c r="N32">
        <v>0</v>
      </c>
    </row>
    <row r="33" spans="1:14" x14ac:dyDescent="0.3">
      <c r="A33" s="22" t="s">
        <v>132</v>
      </c>
      <c r="B33" t="s">
        <v>246</v>
      </c>
      <c r="C33" t="s">
        <v>341</v>
      </c>
      <c r="D33">
        <v>4</v>
      </c>
      <c r="E33">
        <v>5.12</v>
      </c>
      <c r="F33" s="1">
        <v>5.1458654024999984</v>
      </c>
      <c r="G33" s="1">
        <v>5.1458654024999984</v>
      </c>
      <c r="H33" s="2">
        <v>6.3659179388997789E-2</v>
      </c>
      <c r="I33" s="2">
        <v>6.5000000000000002E-2</v>
      </c>
      <c r="J33" s="2">
        <v>6.5000000000000002E-2</v>
      </c>
      <c r="K33" s="2">
        <v>2.1062486571008919E-2</v>
      </c>
      <c r="L33" s="2">
        <v>2.1062486571008919E-2</v>
      </c>
      <c r="M33">
        <v>1</v>
      </c>
      <c r="N33">
        <v>0</v>
      </c>
    </row>
    <row r="34" spans="1:14" x14ac:dyDescent="0.3">
      <c r="A34" s="22" t="s">
        <v>140</v>
      </c>
      <c r="B34" t="s">
        <v>143</v>
      </c>
      <c r="C34" t="s">
        <v>142</v>
      </c>
      <c r="D34">
        <v>3.72</v>
      </c>
      <c r="E34">
        <v>4.8600000000000003</v>
      </c>
      <c r="F34" s="1">
        <v>4.4395662797973214</v>
      </c>
      <c r="G34" s="1">
        <v>4.4395662797973214</v>
      </c>
      <c r="H34" s="2">
        <v>6.9112315428886406E-2</v>
      </c>
      <c r="I34" s="2">
        <v>4.5199999999999997E-2</v>
      </c>
      <c r="J34" s="2">
        <v>4.5199999999999997E-2</v>
      </c>
      <c r="K34" s="2">
        <v>-0.3459921040193068</v>
      </c>
      <c r="L34" s="2">
        <v>-0.3459921040193068</v>
      </c>
      <c r="M34">
        <v>2</v>
      </c>
      <c r="N34">
        <v>0.03</v>
      </c>
    </row>
    <row r="35" spans="1:14" x14ac:dyDescent="0.3">
      <c r="A35" s="22" t="s">
        <v>135</v>
      </c>
      <c r="B35" t="s">
        <v>135</v>
      </c>
      <c r="C35" t="s">
        <v>342</v>
      </c>
      <c r="D35">
        <v>1.21</v>
      </c>
      <c r="E35">
        <v>1.37</v>
      </c>
      <c r="F35" s="1">
        <v>1.6243519221444309</v>
      </c>
      <c r="G35" s="1">
        <v>1.6243519221444309</v>
      </c>
      <c r="H35" s="2">
        <v>3.1534598667072755E-2</v>
      </c>
      <c r="I35" s="2">
        <v>7.6399999999999996E-2</v>
      </c>
      <c r="J35" s="2">
        <v>7.6399999999999996E-2</v>
      </c>
      <c r="K35" s="2">
        <v>1.4227357641869725</v>
      </c>
      <c r="L35" s="2">
        <v>1.4227357641869725</v>
      </c>
      <c r="M35">
        <v>2</v>
      </c>
      <c r="N35">
        <v>2.75</v>
      </c>
    </row>
    <row r="36" spans="1:14" x14ac:dyDescent="0.3">
      <c r="A36" s="22" t="s">
        <v>134</v>
      </c>
      <c r="B36" t="s">
        <v>134</v>
      </c>
      <c r="C36" t="s">
        <v>343</v>
      </c>
      <c r="D36">
        <v>2.74</v>
      </c>
      <c r="E36">
        <v>2.16</v>
      </c>
      <c r="F36" s="1">
        <v>3.4591868704000013</v>
      </c>
      <c r="G36" s="1">
        <v>3.4591868704000013</v>
      </c>
      <c r="H36" s="2">
        <v>-5.7729060938106702E-2</v>
      </c>
      <c r="I36" s="2">
        <v>0.06</v>
      </c>
      <c r="J36" s="2">
        <v>0.06</v>
      </c>
      <c r="K36" s="2">
        <v>2.0393378832946554</v>
      </c>
      <c r="L36" s="2">
        <v>2.0393378832946554</v>
      </c>
      <c r="M36">
        <v>1</v>
      </c>
      <c r="N36">
        <v>0</v>
      </c>
    </row>
    <row r="37" spans="1:14" x14ac:dyDescent="0.3">
      <c r="A37" s="22" t="s">
        <v>136</v>
      </c>
      <c r="B37" t="s">
        <v>252</v>
      </c>
      <c r="C37" t="s">
        <v>344</v>
      </c>
      <c r="D37">
        <v>2.2400000000000002</v>
      </c>
      <c r="E37">
        <v>2.56</v>
      </c>
      <c r="F37" s="1">
        <v>2.6204831744000008</v>
      </c>
      <c r="G37" s="1">
        <v>2.6204831744000008</v>
      </c>
      <c r="H37" s="2">
        <v>3.3946307914341167E-2</v>
      </c>
      <c r="I37" s="2">
        <v>0.04</v>
      </c>
      <c r="J37" s="2">
        <v>0.04</v>
      </c>
      <c r="K37" s="2">
        <v>0.17833138440075696</v>
      </c>
      <c r="L37" s="2">
        <v>0.17833138440075696</v>
      </c>
      <c r="M37">
        <v>1</v>
      </c>
      <c r="N37">
        <v>0</v>
      </c>
    </row>
    <row r="38" spans="1:14" x14ac:dyDescent="0.3">
      <c r="A38" s="22" t="s">
        <v>137</v>
      </c>
      <c r="B38" t="s">
        <v>254</v>
      </c>
      <c r="C38" t="s">
        <v>345</v>
      </c>
      <c r="D38">
        <v>3.05</v>
      </c>
      <c r="E38">
        <v>3.85</v>
      </c>
      <c r="F38" s="1">
        <v>3.8505547280000005</v>
      </c>
      <c r="G38" s="1">
        <v>3.8505547280000005</v>
      </c>
      <c r="H38" s="2">
        <v>5.9961820861470061E-2</v>
      </c>
      <c r="I38" s="2">
        <v>0.06</v>
      </c>
      <c r="J38" s="2">
        <v>0.06</v>
      </c>
      <c r="K38" s="2">
        <v>6.3672413514829997E-4</v>
      </c>
      <c r="L38" s="2">
        <v>6.3672413514829997E-4</v>
      </c>
      <c r="M38">
        <v>1</v>
      </c>
      <c r="N38">
        <v>0</v>
      </c>
    </row>
    <row r="39" spans="1:14" x14ac:dyDescent="0.3">
      <c r="A39" s="22" t="s">
        <v>139</v>
      </c>
      <c r="B39" t="s">
        <v>139</v>
      </c>
      <c r="C39" t="s">
        <v>346</v>
      </c>
      <c r="D39">
        <v>3.62</v>
      </c>
      <c r="E39">
        <v>3.65</v>
      </c>
      <c r="F39" s="1">
        <v>4.2348879872000005</v>
      </c>
      <c r="G39" s="1">
        <v>4.2348879872000005</v>
      </c>
      <c r="H39" s="2">
        <v>2.0654154772887789E-3</v>
      </c>
      <c r="I39" s="2">
        <v>0.04</v>
      </c>
      <c r="J39" s="2">
        <v>0.04</v>
      </c>
      <c r="K39" s="2">
        <v>18.366563502519618</v>
      </c>
      <c r="L39" s="2">
        <v>18.366563502519618</v>
      </c>
      <c r="M39">
        <v>1</v>
      </c>
      <c r="N39">
        <v>0</v>
      </c>
    </row>
  </sheetData>
  <mergeCells count="3">
    <mergeCell ref="P1:Q1"/>
    <mergeCell ref="P7:Q7"/>
    <mergeCell ref="P13:Q13"/>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0ED04-8018-4D9C-92B3-3C8DBF22E938}">
  <dimension ref="A1:Q39"/>
  <sheetViews>
    <sheetView zoomScale="85" zoomScaleNormal="85" workbookViewId="0">
      <selection activeCell="A15" sqref="A15"/>
    </sheetView>
  </sheetViews>
  <sheetFormatPr defaultRowHeight="14.4" x14ac:dyDescent="0.3"/>
  <cols>
    <col min="1" max="1" width="13.33203125" bestFit="1" customWidth="1"/>
    <col min="2" max="2" width="10.44140625" bestFit="1" customWidth="1"/>
    <col min="3" max="3" width="15.109375" bestFit="1" customWidth="1"/>
    <col min="4" max="5" width="15.44140625" bestFit="1" customWidth="1"/>
    <col min="6" max="6" width="14.33203125" bestFit="1" customWidth="1"/>
    <col min="7" max="7" width="16" bestFit="1" customWidth="1"/>
    <col min="8" max="8" width="18.33203125" bestFit="1" customWidth="1"/>
    <col min="9" max="9" width="21.44140625" bestFit="1" customWidth="1"/>
    <col min="10" max="10" width="23.109375" bestFit="1" customWidth="1"/>
    <col min="11" max="11" width="22" bestFit="1" customWidth="1"/>
    <col min="12" max="12" width="24.109375" bestFit="1" customWidth="1"/>
    <col min="13" max="13" width="19.88671875" bestFit="1" customWidth="1"/>
    <col min="14" max="14" width="8.33203125" bestFit="1" customWidth="1"/>
    <col min="16" max="16" width="51.88671875" bestFit="1" customWidth="1"/>
    <col min="17" max="17" width="16.33203125" customWidth="1"/>
  </cols>
  <sheetData>
    <row r="1" spans="1:17" x14ac:dyDescent="0.3">
      <c r="A1" t="s">
        <v>0</v>
      </c>
      <c r="B1" t="s">
        <v>1</v>
      </c>
      <c r="C1" t="s">
        <v>2</v>
      </c>
      <c r="D1" t="s">
        <v>66</v>
      </c>
      <c r="E1" t="s">
        <v>309</v>
      </c>
      <c r="F1" t="s">
        <v>5</v>
      </c>
      <c r="G1" t="s">
        <v>6</v>
      </c>
      <c r="H1" t="s">
        <v>7</v>
      </c>
      <c r="I1" t="s">
        <v>8</v>
      </c>
      <c r="J1" t="s">
        <v>9</v>
      </c>
      <c r="K1" t="s">
        <v>10</v>
      </c>
      <c r="L1" t="s">
        <v>11</v>
      </c>
      <c r="M1" t="s">
        <v>12</v>
      </c>
      <c r="N1" t="s">
        <v>13</v>
      </c>
      <c r="P1" s="111" t="s">
        <v>14</v>
      </c>
      <c r="Q1" s="111"/>
    </row>
    <row r="2" spans="1:17" x14ac:dyDescent="0.3">
      <c r="A2" t="s">
        <v>17</v>
      </c>
      <c r="B2" t="str">
        <f>VLOOKUP(A2,'[1]Ticker List'!$H$4:$I$57,2,FALSE)</f>
        <v>MPL</v>
      </c>
      <c r="C2" t="str">
        <f>VLOOKUP(A2,[2]uljczmfzbk41mbxj!$B$2:$K$31,2,FALSE)</f>
        <v>ALLETE INC</v>
      </c>
      <c r="D2">
        <f>VLOOKUP(A2,[3]WRDS!$A$1:$N$72,13,FALSE)</f>
        <v>3.13</v>
      </c>
      <c r="E2">
        <f>VLOOKUP(A2,[4]fdlalszxh3qnyqcj!$B$2:$K$35,10,FALSE)</f>
        <v>3.35</v>
      </c>
      <c r="F2" s="1">
        <f>D2*(1+I2)^4</f>
        <v>3.8045345624999998</v>
      </c>
      <c r="G2" s="1">
        <f>D2*(1+J2)^4</f>
        <v>3.8045345624999998</v>
      </c>
      <c r="H2" s="2">
        <f t="shared" ref="H2:H38" si="0">((E2/D2)^(1/4)-1)</f>
        <v>1.7126846375001836E-2</v>
      </c>
      <c r="I2" s="2">
        <f>VLOOKUP(A2,[2]uljczmfzbk41mbxj!$B$2:$L$31,9,FALSE)/100</f>
        <v>0.05</v>
      </c>
      <c r="J2" s="2">
        <f>VLOOKUP(A2,[2]uljczmfzbk41mbxj!$B$2:$L$31,8,FALSE)/100</f>
        <v>0.05</v>
      </c>
      <c r="K2" s="2">
        <f t="shared" ref="K2:K38" si="1">(I2-H2)/(ABS(H2))</f>
        <v>1.9193932674598795</v>
      </c>
      <c r="L2" s="2">
        <f t="shared" ref="L2:L38" si="2">(J2-H2)/(ABS(H2))</f>
        <v>1.9193932674598795</v>
      </c>
      <c r="M2">
        <f>VLOOKUP(A2,[2]uljczmfzbk41mbxj!$B$2:$L$31,7,FALSE)</f>
        <v>1</v>
      </c>
      <c r="N2">
        <f>VLOOKUP(A2,[2]uljczmfzbk41mbxj!$B$2:$L$31,10,FALSE)</f>
        <v>0</v>
      </c>
      <c r="P2" t="s">
        <v>16</v>
      </c>
      <c r="Q2" s="3">
        <f>AVERAGE(H2:H999)</f>
        <v>2.7558731795603995E-2</v>
      </c>
    </row>
    <row r="3" spans="1:17" x14ac:dyDescent="0.3">
      <c r="A3" t="s">
        <v>40</v>
      </c>
      <c r="B3" t="str">
        <f>VLOOKUP(A3,'[1]Ticker List'!$H$4:$I$57,2,FALSE)</f>
        <v>WPL</v>
      </c>
      <c r="C3" t="str">
        <f>VLOOKUP(A3,[2]uljczmfzbk41mbxj!$B$2:$K$31,2,FALSE)</f>
        <v>ALLIANT ENER</v>
      </c>
      <c r="D3">
        <f>VLOOKUP(A3,[3]WRDS!$A$1:$N$72,13,FALSE)</f>
        <v>1.88</v>
      </c>
      <c r="E3">
        <f>VLOOKUP(A3,[4]fdlalszxh3qnyqcj!$B$2:$K$35,10,FALSE)</f>
        <v>2.4300000000000002</v>
      </c>
      <c r="F3" s="1">
        <f t="shared" ref="F3:F38" si="3">D3*(1+I3)^4</f>
        <v>2.3734566848000003</v>
      </c>
      <c r="G3" s="1">
        <f t="shared" ref="G3:G38" si="4">D3*(1+J3)^4</f>
        <v>2.3734566848000003</v>
      </c>
      <c r="H3" s="2">
        <f t="shared" si="0"/>
        <v>6.6257517413031319E-2</v>
      </c>
      <c r="I3" s="2">
        <f>VLOOKUP(A3,[2]uljczmfzbk41mbxj!$B$2:$L$31,9,FALSE)/100</f>
        <v>0.06</v>
      </c>
      <c r="J3" s="2">
        <f>VLOOKUP(A3,[2]uljczmfzbk41mbxj!$B$2:$L$31,8,FALSE)/100</f>
        <v>0.06</v>
      </c>
      <c r="K3" s="2">
        <f t="shared" si="1"/>
        <v>-9.4442376614017429E-2</v>
      </c>
      <c r="L3" s="2">
        <f t="shared" si="2"/>
        <v>-9.4442376614017429E-2</v>
      </c>
      <c r="M3">
        <f>VLOOKUP(A3,[2]uljczmfzbk41mbxj!$B$2:$L$31,7,FALSE)</f>
        <v>1</v>
      </c>
      <c r="N3">
        <f>VLOOKUP(A3,[2]uljczmfzbk41mbxj!$B$2:$L$31,10,FALSE)</f>
        <v>0</v>
      </c>
      <c r="P3" t="s">
        <v>18</v>
      </c>
      <c r="Q3" s="3">
        <f>AVERAGE(I2:I999)</f>
        <v>4.4116216216216218E-2</v>
      </c>
    </row>
    <row r="4" spans="1:17" x14ac:dyDescent="0.3">
      <c r="A4" t="s">
        <v>15</v>
      </c>
      <c r="B4" t="str">
        <f>VLOOKUP(A4,'[1]Ticker List'!$H$4:$I$57,2,FALSE)</f>
        <v>UEP</v>
      </c>
      <c r="C4" t="str">
        <f>VLOOKUP(A4,[2]uljczmfzbk41mbxj!$B$2:$K$31,2,FALSE)</f>
        <v>AMEREN</v>
      </c>
      <c r="D4">
        <f>VLOOKUP(A4,[3]WRDS!$A$1:$N$72,13,FALSE)</f>
        <v>2.68</v>
      </c>
      <c r="E4">
        <f>VLOOKUP(A4,[4]fdlalszxh3qnyqcj!$B$2:$K$35,10,FALSE)</f>
        <v>3.5</v>
      </c>
      <c r="F4" s="1">
        <f t="shared" si="3"/>
        <v>3.3389721724129671</v>
      </c>
      <c r="G4" s="1">
        <f t="shared" si="4"/>
        <v>3.3389721724129671</v>
      </c>
      <c r="H4" s="2">
        <f t="shared" si="0"/>
        <v>6.9013802429413795E-2</v>
      </c>
      <c r="I4" s="2">
        <f>VLOOKUP(A4,[2]uljczmfzbk41mbxj!$B$2:$L$31,9,FALSE)/100</f>
        <v>5.6500000000000002E-2</v>
      </c>
      <c r="J4" s="2">
        <f>VLOOKUP(A4,[2]uljczmfzbk41mbxj!$B$2:$L$31,8,FALSE)/100</f>
        <v>5.6500000000000002E-2</v>
      </c>
      <c r="K4" s="2">
        <f t="shared" si="1"/>
        <v>-0.18132318447766604</v>
      </c>
      <c r="L4" s="2">
        <f t="shared" si="2"/>
        <v>-0.18132318447766604</v>
      </c>
      <c r="M4">
        <f>VLOOKUP(A4,[2]uljczmfzbk41mbxj!$B$2:$L$31,7,FALSE)</f>
        <v>2</v>
      </c>
      <c r="N4">
        <f>VLOOKUP(A4,[2]uljczmfzbk41mbxj!$B$2:$L$31,10,FALSE)</f>
        <v>0.49</v>
      </c>
      <c r="P4" t="s">
        <v>20</v>
      </c>
      <c r="Q4" s="3">
        <f>(Q3-Q2)/ABS(Q2)</f>
        <v>0.60080719763938395</v>
      </c>
    </row>
    <row r="5" spans="1:17" x14ac:dyDescent="0.3">
      <c r="A5" t="s">
        <v>63</v>
      </c>
      <c r="B5" t="str">
        <f>VLOOKUP(A5,'[1]Ticker List'!$H$4:$I$57,2,FALSE)</f>
        <v>WWP</v>
      </c>
      <c r="C5" t="str">
        <f>VLOOKUP(A5,[2]uljczmfzbk41mbxj!$B$2:$K$31,2,FALSE)</f>
        <v>AVISTA US</v>
      </c>
      <c r="D5">
        <f>VLOOKUP(A5,[3]WRDS!$A$1:$N$72,13,FALSE)</f>
        <v>2.15</v>
      </c>
      <c r="E5">
        <f>VLOOKUP(A5,[4]fdlalszxh3qnyqcj!$B$2:$K$35,10,FALSE)</f>
        <v>1.9</v>
      </c>
      <c r="F5" s="1">
        <f t="shared" si="3"/>
        <v>2.6786530487641338</v>
      </c>
      <c r="G5" s="1">
        <f t="shared" si="4"/>
        <v>2.6786530487641338</v>
      </c>
      <c r="H5" s="2">
        <f t="shared" si="0"/>
        <v>-3.0430857343810902E-2</v>
      </c>
      <c r="I5" s="2">
        <f>VLOOKUP(A5,[2]uljczmfzbk41mbxj!$B$2:$L$31,9,FALSE)/100</f>
        <v>5.6500000000000002E-2</v>
      </c>
      <c r="J5" s="2">
        <f>VLOOKUP(A5,[2]uljczmfzbk41mbxj!$B$2:$L$31,8,FALSE)/100</f>
        <v>5.6500000000000002E-2</v>
      </c>
      <c r="K5" s="2">
        <f t="shared" si="1"/>
        <v>2.8566680314542992</v>
      </c>
      <c r="L5" s="2">
        <f t="shared" si="2"/>
        <v>2.8566680314542992</v>
      </c>
      <c r="M5">
        <f>VLOOKUP(A5,[2]uljczmfzbk41mbxj!$B$2:$L$31,7,FALSE)</f>
        <v>2</v>
      </c>
      <c r="N5">
        <f>VLOOKUP(A5,[2]uljczmfzbk41mbxj!$B$2:$L$31,10,FALSE)</f>
        <v>0.49</v>
      </c>
      <c r="P5" t="s">
        <v>22</v>
      </c>
      <c r="Q5" s="3">
        <f>AVERAGE(J2:J999)</f>
        <v>4.3510810810810811E-2</v>
      </c>
    </row>
    <row r="6" spans="1:17" x14ac:dyDescent="0.3">
      <c r="A6" t="s">
        <v>19</v>
      </c>
      <c r="B6" t="str">
        <f>VLOOKUP(A6,'[1]Ticker List'!$H$4:$I$57,2,FALSE)</f>
        <v>BHP</v>
      </c>
      <c r="C6" t="str">
        <f>VLOOKUP(A6,[2]uljczmfzbk41mbxj!$B$2:$K$31,2,FALSE)</f>
        <v>BLACK HILLS CP</v>
      </c>
      <c r="D6">
        <f>VLOOKUP(A6,[3]WRDS!$A$1:$N$72,13,FALSE)</f>
        <v>3.19</v>
      </c>
      <c r="E6">
        <f>VLOOKUP(A6,[4]fdlalszxh3qnyqcj!$B$2:$K$35,10,FALSE)</f>
        <v>3.73</v>
      </c>
      <c r="F6" s="1">
        <f t="shared" si="3"/>
        <v>4.1814392718999995</v>
      </c>
      <c r="G6" s="1">
        <f t="shared" si="4"/>
        <v>4.1814392718999995</v>
      </c>
      <c r="H6" s="2">
        <f t="shared" si="0"/>
        <v>3.9871168684149971E-2</v>
      </c>
      <c r="I6" s="2">
        <f>VLOOKUP(A6,[2]uljczmfzbk41mbxj!$B$2:$L$31,9,FALSE)/100</f>
        <v>7.0000000000000007E-2</v>
      </c>
      <c r="J6" s="2">
        <f>VLOOKUP(A6,[2]uljczmfzbk41mbxj!$B$2:$L$31,8,FALSE)/100</f>
        <v>7.0000000000000007E-2</v>
      </c>
      <c r="K6" s="2">
        <f t="shared" si="1"/>
        <v>0.75565458225023596</v>
      </c>
      <c r="L6" s="2">
        <f t="shared" si="2"/>
        <v>0.75565458225023596</v>
      </c>
      <c r="M6">
        <f>VLOOKUP(A6,[2]uljczmfzbk41mbxj!$B$2:$L$31,7,FALSE)</f>
        <v>1</v>
      </c>
      <c r="N6">
        <f>VLOOKUP(A6,[2]uljczmfzbk41mbxj!$B$2:$L$31,10,FALSE)</f>
        <v>0</v>
      </c>
      <c r="P6" t="s">
        <v>24</v>
      </c>
      <c r="Q6" s="3">
        <f>(Q5-Q2)/ABS(Q2)</f>
        <v>0.57883937234555172</v>
      </c>
    </row>
    <row r="7" spans="1:17" x14ac:dyDescent="0.3">
      <c r="A7" t="s">
        <v>23</v>
      </c>
      <c r="B7" t="str">
        <f>VLOOKUP(A7,'[1]Ticker List'!$H$4:$I$57,2,FALSE)</f>
        <v>HOU</v>
      </c>
      <c r="C7" t="str">
        <f>VLOOKUP(A7,[2]uljczmfzbk41mbxj!$B$2:$K$31,2,FALSE)</f>
        <v>CENTERPNT ENERGY</v>
      </c>
      <c r="D7">
        <f>VLOOKUP(A7,[3]WRDS!$A$1:$N$72,13,FALSE)</f>
        <v>1.1599999999999999</v>
      </c>
      <c r="E7">
        <f>VLOOKUP(A7,[4]fdlalszxh3qnyqcj!$B$2:$K$35,10,FALSE)</f>
        <v>1.4</v>
      </c>
      <c r="F7" s="1">
        <f t="shared" si="3"/>
        <v>1.4683455271807293</v>
      </c>
      <c r="G7" s="1">
        <f t="shared" si="4"/>
        <v>1.4694532944096343</v>
      </c>
      <c r="H7" s="2">
        <f t="shared" si="0"/>
        <v>4.8135695415962187E-2</v>
      </c>
      <c r="I7" s="2">
        <f>VLOOKUP(A7,[2]uljczmfzbk41mbxj!$B$2:$L$31,9,FALSE)/100</f>
        <v>6.0700000000000004E-2</v>
      </c>
      <c r="J7" s="2">
        <f>VLOOKUP(A7,[2]uljczmfzbk41mbxj!$B$2:$L$31,8,FALSE)/100</f>
        <v>6.0899999999999996E-2</v>
      </c>
      <c r="K7" s="2">
        <f t="shared" si="1"/>
        <v>0.26101844951992509</v>
      </c>
      <c r="L7" s="2">
        <f t="shared" si="2"/>
        <v>0.2651733702761685</v>
      </c>
      <c r="M7">
        <f>VLOOKUP(A7,[2]uljczmfzbk41mbxj!$B$2:$L$31,7,FALSE)</f>
        <v>4</v>
      </c>
      <c r="N7">
        <f>VLOOKUP(A7,[2]uljczmfzbk41mbxj!$B$2:$L$31,10,FALSE)</f>
        <v>0.95</v>
      </c>
      <c r="P7" s="111" t="s">
        <v>26</v>
      </c>
      <c r="Q7" s="111"/>
    </row>
    <row r="8" spans="1:17" x14ac:dyDescent="0.3">
      <c r="A8" t="s">
        <v>21</v>
      </c>
      <c r="B8" t="str">
        <f>VLOOKUP(A8,'[1]Ticker List'!$H$4:$I$57,2,FALSE)</f>
        <v>CMS</v>
      </c>
      <c r="C8" t="str">
        <f>VLOOKUP(A8,[2]uljczmfzbk41mbxj!$B$2:$K$31,2,FALSE)</f>
        <v>CMS ENERGY</v>
      </c>
      <c r="D8">
        <f>VLOOKUP(A8,[3]WRDS!$A$1:$N$72,13,FALSE)</f>
        <v>2.02</v>
      </c>
      <c r="E8">
        <f>VLOOKUP(A8,[4]fdlalszxh3qnyqcj!$B$2:$K$35,10,FALSE)</f>
        <v>2.67</v>
      </c>
      <c r="F8" s="1">
        <f t="shared" si="3"/>
        <v>2.6736375986222547</v>
      </c>
      <c r="G8" s="1">
        <f t="shared" si="4"/>
        <v>2.6736375986222547</v>
      </c>
      <c r="H8" s="2">
        <f t="shared" si="0"/>
        <v>7.2234984139122993E-2</v>
      </c>
      <c r="I8" s="2">
        <f>VLOOKUP(A8,[2]uljczmfzbk41mbxj!$B$2:$L$31,9,FALSE)/100</f>
        <v>7.2599999999999998E-2</v>
      </c>
      <c r="J8" s="2">
        <f>VLOOKUP(A8,[2]uljczmfzbk41mbxj!$B$2:$L$31,8,FALSE)/100</f>
        <v>7.2599999999999998E-2</v>
      </c>
      <c r="K8" s="2">
        <f t="shared" si="1"/>
        <v>5.05317285283807E-3</v>
      </c>
      <c r="L8" s="2">
        <f t="shared" si="2"/>
        <v>5.05317285283807E-3</v>
      </c>
      <c r="M8">
        <f>VLOOKUP(A8,[2]uljczmfzbk41mbxj!$B$2:$L$31,7,FALSE)</f>
        <v>2</v>
      </c>
      <c r="N8">
        <f>VLOOKUP(A8,[2]uljczmfzbk41mbxj!$B$2:$L$31,10,FALSE)</f>
        <v>0.37</v>
      </c>
      <c r="P8" t="s">
        <v>28</v>
      </c>
      <c r="Q8" s="2">
        <f>MEDIAN(H2:H99)</f>
        <v>4.4525760583646212E-2</v>
      </c>
    </row>
    <row r="9" spans="1:17" x14ac:dyDescent="0.3">
      <c r="A9" t="s">
        <v>31</v>
      </c>
      <c r="B9" t="str">
        <f>VLOOKUP(A9,'[1]Ticker List'!$H$4:$I$57,2,FALSE)</f>
        <v>ED</v>
      </c>
      <c r="C9" t="str">
        <f>VLOOKUP(A9,[2]uljczmfzbk41mbxj!$B$2:$K$31,2,FALSE)</f>
        <v>CONSOLIDATED EDI</v>
      </c>
      <c r="D9">
        <f>VLOOKUP(A9,[3]WRDS!$A$1:$N$72,13,FALSE)</f>
        <v>3.96</v>
      </c>
      <c r="E9">
        <f>VLOOKUP(A9,[4]fdlalszxh3qnyqcj!$B$2:$K$35,10,FALSE)</f>
        <v>4.18</v>
      </c>
      <c r="F9" s="1">
        <f t="shared" si="3"/>
        <v>4.3066384198529235</v>
      </c>
      <c r="G9" s="1">
        <f t="shared" si="4"/>
        <v>4.3032656243847578</v>
      </c>
      <c r="H9" s="2">
        <f t="shared" si="0"/>
        <v>1.3608570320990721E-2</v>
      </c>
      <c r="I9" s="2">
        <f>VLOOKUP(A9,[2]uljczmfzbk41mbxj!$B$2:$L$31,9,FALSE)/100</f>
        <v>2.12E-2</v>
      </c>
      <c r="J9" s="2">
        <f>VLOOKUP(A9,[2]uljczmfzbk41mbxj!$B$2:$L$31,8,FALSE)/100</f>
        <v>2.1000000000000001E-2</v>
      </c>
      <c r="K9" s="2">
        <f t="shared" si="1"/>
        <v>0.55784182320017683</v>
      </c>
      <c r="L9" s="2">
        <f t="shared" si="2"/>
        <v>0.54314520222659035</v>
      </c>
      <c r="M9">
        <f>VLOOKUP(A9,[2]uljczmfzbk41mbxj!$B$2:$L$31,7,FALSE)</f>
        <v>3</v>
      </c>
      <c r="N9">
        <f>VLOOKUP(A9,[2]uljczmfzbk41mbxj!$B$2:$L$31,10,FALSE)</f>
        <v>0.13</v>
      </c>
      <c r="P9" t="s">
        <v>30</v>
      </c>
      <c r="Q9" s="2">
        <f>MEDIAN(I2:I100)</f>
        <v>5.2999999999999999E-2</v>
      </c>
    </row>
    <row r="10" spans="1:17" x14ac:dyDescent="0.3">
      <c r="A10" t="s">
        <v>25</v>
      </c>
      <c r="B10" t="str">
        <f>VLOOKUP(A10,'[1]Ticker List'!$H$4:$I$57,2,FALSE)</f>
        <v>D</v>
      </c>
      <c r="C10" t="str">
        <f>VLOOKUP(A10,[2]uljczmfzbk41mbxj!$B$2:$K$31,2,FALSE)</f>
        <v>DOMINION RESOURC</v>
      </c>
      <c r="D10">
        <f>VLOOKUP(A10,[3]WRDS!$A$1:$N$72,13,FALSE)</f>
        <v>3.8</v>
      </c>
      <c r="E10">
        <f>VLOOKUP(A10,[4]fdlalszxh3qnyqcj!$B$2:$K$35,10,FALSE)</f>
        <v>3.54</v>
      </c>
      <c r="F10" s="1">
        <f t="shared" si="3"/>
        <v>4.8264436054244575</v>
      </c>
      <c r="G10" s="1">
        <f t="shared" si="4"/>
        <v>4.837364186196794</v>
      </c>
      <c r="H10" s="2">
        <f t="shared" si="0"/>
        <v>-1.7562533798780922E-2</v>
      </c>
      <c r="I10" s="2">
        <f>VLOOKUP(A10,[2]uljczmfzbk41mbxj!$B$2:$L$31,9,FALSE)/100</f>
        <v>6.1600000000000002E-2</v>
      </c>
      <c r="J10" s="2">
        <f>VLOOKUP(A10,[2]uljczmfzbk41mbxj!$B$2:$L$31,8,FALSE)/100</f>
        <v>6.2199999999999998E-2</v>
      </c>
      <c r="K10" s="2">
        <f t="shared" si="1"/>
        <v>4.5074665595391412</v>
      </c>
      <c r="L10" s="2">
        <f t="shared" si="2"/>
        <v>4.5416301948593274</v>
      </c>
      <c r="M10">
        <f>VLOOKUP(A10,[2]uljczmfzbk41mbxj!$B$2:$L$31,7,FALSE)</f>
        <v>4</v>
      </c>
      <c r="N10">
        <f>VLOOKUP(A10,[2]uljczmfzbk41mbxj!$B$2:$L$31,10,FALSE)</f>
        <v>0.92</v>
      </c>
      <c r="P10" t="s">
        <v>32</v>
      </c>
      <c r="Q10" s="2">
        <f>(Q9-Q8)/ABS(Q8)</f>
        <v>0.19032217092471801</v>
      </c>
    </row>
    <row r="11" spans="1:17" x14ac:dyDescent="0.3">
      <c r="A11" t="s">
        <v>27</v>
      </c>
      <c r="B11" t="str">
        <f>VLOOKUP(A11,'[1]Ticker List'!$H$4:$I$57,2,FALSE)</f>
        <v>DTE</v>
      </c>
      <c r="C11" t="str">
        <f>VLOOKUP(A11,[2]uljczmfzbk41mbxj!$B$2:$K$31,2,FALSE)</f>
        <v>DTE ENERGY</v>
      </c>
      <c r="D11">
        <f>VLOOKUP(A11,[3]WRDS!$A$1:$N$72,13,FALSE)</f>
        <v>5.28</v>
      </c>
      <c r="E11">
        <f>VLOOKUP(A11,[4]fdlalszxh3qnyqcj!$B$2:$K$35,10,FALSE)</f>
        <v>7.19</v>
      </c>
      <c r="F11" s="1">
        <f t="shared" si="3"/>
        <v>6.4915350639796792</v>
      </c>
      <c r="G11" s="1">
        <f t="shared" si="4"/>
        <v>6.4178730000000002</v>
      </c>
      <c r="H11" s="2">
        <f t="shared" si="0"/>
        <v>8.0248674181676138E-2</v>
      </c>
      <c r="I11" s="2">
        <f>VLOOKUP(A11,[2]uljczmfzbk41mbxj!$B$2:$L$31,9,FALSE)/100</f>
        <v>5.2999999999999999E-2</v>
      </c>
      <c r="J11" s="2">
        <f>VLOOKUP(A11,[2]uljczmfzbk41mbxj!$B$2:$L$31,8,FALSE)/100</f>
        <v>0.05</v>
      </c>
      <c r="K11" s="2">
        <f t="shared" si="1"/>
        <v>-0.33955295161621574</v>
      </c>
      <c r="L11" s="2">
        <f t="shared" si="2"/>
        <v>-0.37693674680775063</v>
      </c>
      <c r="M11">
        <f>VLOOKUP(A11,[2]uljczmfzbk41mbxj!$B$2:$L$31,7,FALSE)</f>
        <v>3</v>
      </c>
      <c r="N11">
        <f>VLOOKUP(A11,[2]uljczmfzbk41mbxj!$B$2:$L$31,10,FALSE)</f>
        <v>0.7</v>
      </c>
      <c r="P11" t="s">
        <v>34</v>
      </c>
      <c r="Q11" s="2">
        <f>MEDIAN(J2:J99)</f>
        <v>0.05</v>
      </c>
    </row>
    <row r="12" spans="1:17" x14ac:dyDescent="0.3">
      <c r="A12" t="s">
        <v>29</v>
      </c>
      <c r="B12" t="str">
        <f>VLOOKUP(A12,'[1]Ticker List'!$H$4:$I$57,2,FALSE)</f>
        <v>DUK</v>
      </c>
      <c r="C12" t="str">
        <f>VLOOKUP(A12,[2]uljczmfzbk41mbxj!$B$2:$K$31,2,FALSE)</f>
        <v>DUKE ENERGY</v>
      </c>
      <c r="D12">
        <f>VLOOKUP(A12,[3]WRDS!$A$1:$N$72,13,FALSE)</f>
        <v>4.6900000000000004</v>
      </c>
      <c r="E12">
        <f>VLOOKUP(A12,[4]fdlalszxh3qnyqcj!$B$2:$K$35,10,FALSE)</f>
        <v>5.12</v>
      </c>
      <c r="F12" s="1">
        <f t="shared" si="3"/>
        <v>5.4718798394108168</v>
      </c>
      <c r="G12" s="1">
        <f t="shared" si="4"/>
        <v>5.4866366464000018</v>
      </c>
      <c r="H12" s="2">
        <f t="shared" si="0"/>
        <v>2.2172704349584293E-2</v>
      </c>
      <c r="I12" s="2">
        <f>VLOOKUP(A12,[2]uljczmfzbk41mbxj!$B$2:$L$31,9,FALSE)/100</f>
        <v>3.9300000000000002E-2</v>
      </c>
      <c r="J12" s="2">
        <f>VLOOKUP(A12,[2]uljczmfzbk41mbxj!$B$2:$L$31,8,FALSE)/100</f>
        <v>0.04</v>
      </c>
      <c r="K12" s="2">
        <f t="shared" si="1"/>
        <v>0.7724495569137384</v>
      </c>
      <c r="L12" s="2">
        <f t="shared" si="2"/>
        <v>0.80401990525571332</v>
      </c>
      <c r="M12">
        <f>VLOOKUP(A12,[2]uljczmfzbk41mbxj!$B$2:$L$31,7,FALSE)</f>
        <v>3</v>
      </c>
      <c r="N12">
        <f>VLOOKUP(A12,[2]uljczmfzbk41mbxj!$B$2:$L$31,10,FALSE)</f>
        <v>2.2000000000000002</v>
      </c>
      <c r="P12" t="s">
        <v>32</v>
      </c>
      <c r="Q12" s="2">
        <f>(Q11-Q8)/ABS(Q8)</f>
        <v>0.12294544426860199</v>
      </c>
    </row>
    <row r="13" spans="1:17" x14ac:dyDescent="0.3">
      <c r="A13" t="s">
        <v>33</v>
      </c>
      <c r="B13" t="str">
        <f>VLOOKUP(A13,'[1]Ticker List'!$H$4:$I$57,2,FALSE)</f>
        <v>SCE</v>
      </c>
      <c r="C13" t="str">
        <f>VLOOKUP(A13,[2]uljczmfzbk41mbxj!$B$2:$K$31,2,FALSE)</f>
        <v>EDISON INTL</v>
      </c>
      <c r="D13">
        <f>VLOOKUP(A13,[3]WRDS!$A$1:$N$72,13,FALSE)</f>
        <v>3.97</v>
      </c>
      <c r="E13">
        <f>VLOOKUP(A13,[4]fdlalszxh3qnyqcj!$B$2:$K$35,10,FALSE)</f>
        <v>4.5199999999999996</v>
      </c>
      <c r="F13" s="1">
        <f t="shared" si="3"/>
        <v>4.3073757901612755</v>
      </c>
      <c r="G13" s="1">
        <f t="shared" si="4"/>
        <v>4.3073757901612755</v>
      </c>
      <c r="H13" s="2">
        <f t="shared" si="0"/>
        <v>3.2968271529445703E-2</v>
      </c>
      <c r="I13" s="2">
        <f>VLOOKUP(A13,[2]uljczmfzbk41mbxj!$B$2:$L$31,9,FALSE)/100</f>
        <v>2.06E-2</v>
      </c>
      <c r="J13" s="2">
        <f>VLOOKUP(A13,[2]uljczmfzbk41mbxj!$B$2:$L$31,8,FALSE)/100</f>
        <v>2.06E-2</v>
      </c>
      <c r="K13" s="2">
        <f t="shared" si="1"/>
        <v>-0.37515680852115485</v>
      </c>
      <c r="L13" s="2">
        <f t="shared" si="2"/>
        <v>-0.37515680852115485</v>
      </c>
      <c r="M13">
        <f>VLOOKUP(A13,[2]uljczmfzbk41mbxj!$B$2:$L$31,7,FALSE)</f>
        <v>2</v>
      </c>
      <c r="N13">
        <f>VLOOKUP(A13,[2]uljczmfzbk41mbxj!$B$2:$L$31,10,FALSE)</f>
        <v>0.19</v>
      </c>
      <c r="P13" s="111" t="s">
        <v>37</v>
      </c>
      <c r="Q13" s="111"/>
    </row>
    <row r="14" spans="1:17" x14ac:dyDescent="0.3">
      <c r="A14" t="s">
        <v>59</v>
      </c>
      <c r="B14" t="str">
        <f>VLOOKUP(A14,'[1]Ticker List'!$H$4:$I$57,2,FALSE)</f>
        <v>MSU</v>
      </c>
      <c r="C14" t="str">
        <f>VLOOKUP(A14,[2]uljczmfzbk41mbxj!$B$2:$K$31,2,FALSE)</f>
        <v>ENTERGY</v>
      </c>
      <c r="D14">
        <f>VLOOKUP(A14,[3]WRDS!$A$1:$N$72,13,FALSE)</f>
        <v>7.11</v>
      </c>
      <c r="E14">
        <f>VLOOKUP(A14,[4]fdlalszxh3qnyqcj!$B$2:$K$35,10,FALSE)</f>
        <v>5.66</v>
      </c>
      <c r="F14" s="1">
        <f t="shared" si="3"/>
        <v>5.0186743051422749</v>
      </c>
      <c r="G14" s="1">
        <f t="shared" si="4"/>
        <v>5.0186743051422749</v>
      </c>
      <c r="H14" s="2">
        <f t="shared" si="0"/>
        <v>-5.5424433066449175E-2</v>
      </c>
      <c r="I14" s="2">
        <f>VLOOKUP(A14,[2]uljczmfzbk41mbxj!$B$2:$L$31,9,FALSE)/100</f>
        <v>-8.3400000000000002E-2</v>
      </c>
      <c r="J14" s="2">
        <f>VLOOKUP(A14,[2]uljczmfzbk41mbxj!$B$2:$L$31,8,FALSE)/100</f>
        <v>-8.3400000000000002E-2</v>
      </c>
      <c r="K14" s="2">
        <f t="shared" si="1"/>
        <v>-0.50475152177038063</v>
      </c>
      <c r="L14" s="2">
        <f t="shared" si="2"/>
        <v>-0.50475152177038063</v>
      </c>
      <c r="M14">
        <f>VLOOKUP(A14,[2]uljczmfzbk41mbxj!$B$2:$L$31,7,FALSE)</f>
        <v>2</v>
      </c>
      <c r="N14">
        <f>VLOOKUP(A14,[2]uljczmfzbk41mbxj!$B$2:$L$31,10,FALSE)</f>
        <v>0.19</v>
      </c>
      <c r="P14" t="s">
        <v>39</v>
      </c>
      <c r="Q14" s="1">
        <f>AVERAGE(M2:M1002)</f>
        <v>2.4594594594594597</v>
      </c>
    </row>
    <row r="15" spans="1:17" x14ac:dyDescent="0.3">
      <c r="A15" t="s">
        <v>35</v>
      </c>
      <c r="B15" t="str">
        <f>VLOOKUP(A15,'[1]Ticker List'!$H$4:$I$57,2,FALSE)</f>
        <v>PE</v>
      </c>
      <c r="C15" t="str">
        <f>VLOOKUP(A15,[2]uljczmfzbk41mbxj!$B$2:$K$31,2,FALSE)</f>
        <v>EXELON</v>
      </c>
      <c r="D15">
        <f>VLOOKUP(A15,[3]WRDS!$A$1:$N$72,13,FALSE)</f>
        <v>2.68</v>
      </c>
      <c r="E15">
        <f>VLOOKUP(A15,[4]fdlalszxh3qnyqcj!$B$2:$K$35,10,FALSE)</f>
        <v>3.22</v>
      </c>
      <c r="F15" s="1">
        <f t="shared" si="3"/>
        <v>2.8523092072825786</v>
      </c>
      <c r="G15" s="1">
        <f t="shared" si="4"/>
        <v>2.8523092072825786</v>
      </c>
      <c r="H15" s="2">
        <f t="shared" si="0"/>
        <v>4.6960433957994985E-2</v>
      </c>
      <c r="I15" s="2">
        <f>VLOOKUP(A15,[2]uljczmfzbk41mbxj!$B$2:$L$31,9,FALSE)/100</f>
        <v>1.5700000000000002E-2</v>
      </c>
      <c r="J15" s="2">
        <f>VLOOKUP(A15,[2]uljczmfzbk41mbxj!$B$2:$L$31,8,FALSE)/100</f>
        <v>1.5700000000000002E-2</v>
      </c>
      <c r="K15" s="2">
        <f t="shared" si="1"/>
        <v>-0.66567600261012727</v>
      </c>
      <c r="L15" s="2">
        <f t="shared" si="2"/>
        <v>-0.66567600261012727</v>
      </c>
      <c r="M15">
        <f>VLOOKUP(A15,[2]uljczmfzbk41mbxj!$B$2:$L$31,7,FALSE)</f>
        <v>2</v>
      </c>
      <c r="N15">
        <f>VLOOKUP(A15,[2]uljczmfzbk41mbxj!$B$2:$L$31,10,FALSE)</f>
        <v>1.51</v>
      </c>
      <c r="P15" t="s">
        <v>41</v>
      </c>
      <c r="Q15" s="1">
        <f>COUNT(N2:N1002)</f>
        <v>37</v>
      </c>
    </row>
    <row r="16" spans="1:17" x14ac:dyDescent="0.3">
      <c r="A16" t="s">
        <v>67</v>
      </c>
      <c r="B16" t="str">
        <f>VLOOKUP(A16,'[1]Ticker List'!$H$4:$I$57,2,FALSE)</f>
        <v>OEC</v>
      </c>
      <c r="C16" t="str">
        <f>VLOOKUP(A16,[2]uljczmfzbk41mbxj!$B$2:$K$31,2,FALSE)</f>
        <v>FIRSTENERGY</v>
      </c>
      <c r="D16">
        <f>VLOOKUP(A16,[3]WRDS!$A$1:$N$72,13,FALSE)</f>
        <v>2.63</v>
      </c>
      <c r="E16">
        <f>VLOOKUP(A16,[4]fdlalszxh3qnyqcj!$B$2:$K$35,10,FALSE)</f>
        <v>2.39</v>
      </c>
      <c r="F16" s="1">
        <f t="shared" si="3"/>
        <v>2.1912740531135202</v>
      </c>
      <c r="G16" s="1">
        <f t="shared" si="4"/>
        <v>2.1775450248970207</v>
      </c>
      <c r="H16" s="2">
        <f t="shared" si="0"/>
        <v>-2.363874239106678E-2</v>
      </c>
      <c r="I16" s="2">
        <f>VLOOKUP(A16,[2]uljczmfzbk41mbxj!$B$2:$L$31,9,FALSE)/100</f>
        <v>-4.4600000000000001E-2</v>
      </c>
      <c r="J16" s="2">
        <f>VLOOKUP(A16,[2]uljczmfzbk41mbxj!$B$2:$L$31,8,FALSE)/100</f>
        <v>-4.6100000000000002E-2</v>
      </c>
      <c r="K16" s="2">
        <f t="shared" si="1"/>
        <v>-0.88673319680722962</v>
      </c>
      <c r="L16" s="2">
        <f t="shared" si="2"/>
        <v>-0.95018834916621719</v>
      </c>
      <c r="M16">
        <f>VLOOKUP(A16,[2]uljczmfzbk41mbxj!$B$2:$L$31,7,FALSE)</f>
        <v>4</v>
      </c>
      <c r="N16">
        <f>VLOOKUP(A16,[2]uljczmfzbk41mbxj!$B$2:$L$31,10,FALSE)</f>
        <v>1.97</v>
      </c>
    </row>
    <row r="17" spans="1:14" x14ac:dyDescent="0.3">
      <c r="A17" t="s">
        <v>36</v>
      </c>
      <c r="B17" t="str">
        <f>VLOOKUP(A17,'[1]Ticker List'!$H$4:$I$57,2,FALSE)</f>
        <v>HE</v>
      </c>
      <c r="C17" t="str">
        <f>VLOOKUP(A17,[2]uljczmfzbk41mbxj!$B$2:$K$31,2,FALSE)</f>
        <v>HAWAIIAN ELEC</v>
      </c>
      <c r="D17">
        <f>VLOOKUP(A17,[3]WRDS!$A$1:$N$72,13,FALSE)</f>
        <v>1.75</v>
      </c>
      <c r="E17">
        <f>VLOOKUP(A17,[4]fdlalszxh3qnyqcj!$B$2:$K$35,10,FALSE)</f>
        <v>1.74</v>
      </c>
      <c r="F17" s="1">
        <f t="shared" si="3"/>
        <v>1.9505872039746097</v>
      </c>
      <c r="G17" s="1">
        <f t="shared" si="4"/>
        <v>1.9505872039746097</v>
      </c>
      <c r="H17" s="2">
        <f t="shared" si="0"/>
        <v>-1.4316428974029405E-3</v>
      </c>
      <c r="I17" s="2">
        <f>VLOOKUP(A17,[2]uljczmfzbk41mbxj!$B$2:$L$31,9,FALSE)/100</f>
        <v>2.75E-2</v>
      </c>
      <c r="J17" s="2">
        <f>VLOOKUP(A17,[2]uljczmfzbk41mbxj!$B$2:$L$31,8,FALSE)/100</f>
        <v>2.75E-2</v>
      </c>
      <c r="K17" s="2">
        <f t="shared" si="1"/>
        <v>20.208700752042382</v>
      </c>
      <c r="L17" s="2">
        <f t="shared" si="2"/>
        <v>20.208700752042382</v>
      </c>
      <c r="M17">
        <f>VLOOKUP(A17,[2]uljczmfzbk41mbxj!$B$2:$L$31,7,FALSE)</f>
        <v>2</v>
      </c>
      <c r="N17">
        <f>VLOOKUP(A17,[2]uljczmfzbk41mbxj!$B$2:$L$31,10,FALSE)</f>
        <v>1.77</v>
      </c>
    </row>
    <row r="18" spans="1:14" x14ac:dyDescent="0.3">
      <c r="A18" t="s">
        <v>38</v>
      </c>
      <c r="B18" t="str">
        <f>VLOOKUP(A18,'[1]Ticker List'!$H$4:$I$57,2,FALSE)</f>
        <v>IDA</v>
      </c>
      <c r="C18" t="str">
        <f>VLOOKUP(A18,[2]uljczmfzbk41mbxj!$B$2:$K$31,2,FALSE)</f>
        <v>IDACORP INC.</v>
      </c>
      <c r="D18">
        <f>VLOOKUP(A18,[3]WRDS!$A$1:$N$72,13,FALSE)</f>
        <v>3.94</v>
      </c>
      <c r="E18">
        <f>VLOOKUP(A18,[4]fdlalszxh3qnyqcj!$B$2:$K$35,10,FALSE)</f>
        <v>4.6900000000000004</v>
      </c>
      <c r="F18" s="1">
        <f t="shared" si="3"/>
        <v>4.6269961684583389</v>
      </c>
      <c r="G18" s="1">
        <f t="shared" si="4"/>
        <v>4.6269961684583389</v>
      </c>
      <c r="H18" s="2">
        <f t="shared" si="0"/>
        <v>4.4525760583646212E-2</v>
      </c>
      <c r="I18" s="2">
        <f>VLOOKUP(A18,[2]uljczmfzbk41mbxj!$B$2:$L$31,9,FALSE)/100</f>
        <v>4.0999999999999995E-2</v>
      </c>
      <c r="J18" s="2">
        <f>VLOOKUP(A18,[2]uljczmfzbk41mbxj!$B$2:$L$31,8,FALSE)/100</f>
        <v>4.0999999999999995E-2</v>
      </c>
      <c r="K18" s="2">
        <f t="shared" si="1"/>
        <v>-7.9184735699746545E-2</v>
      </c>
      <c r="L18" s="2">
        <f t="shared" si="2"/>
        <v>-7.9184735699746545E-2</v>
      </c>
      <c r="M18">
        <f>VLOOKUP(A18,[2]uljczmfzbk41mbxj!$B$2:$L$31,7,FALSE)</f>
        <v>2</v>
      </c>
      <c r="N18">
        <f>VLOOKUP(A18,[2]uljczmfzbk41mbxj!$B$2:$L$31,10,FALSE)</f>
        <v>0.14000000000000001</v>
      </c>
    </row>
    <row r="19" spans="1:14" x14ac:dyDescent="0.3">
      <c r="A19" t="s">
        <v>42</v>
      </c>
      <c r="B19" t="str">
        <f>VLOOKUP(A19,'[1]Ticker List'!$H$4:$I$57,2,FALSE)</f>
        <v>FPL</v>
      </c>
      <c r="C19" t="str">
        <f>VLOOKUP(A19,[2]uljczmfzbk41mbxj!$B$2:$K$31,2,FALSE)</f>
        <v>NEXTERA</v>
      </c>
      <c r="D19">
        <f>VLOOKUP(A19,[3]WRDS!$A$1:$N$72,13,FALSE)</f>
        <v>1.5475000000000001</v>
      </c>
      <c r="E19">
        <f>VLOOKUP(A19,[4]fdlalszxh3qnyqcj!$B$2:$K$35,10,FALSE)</f>
        <v>2.31</v>
      </c>
      <c r="F19" s="1">
        <f t="shared" si="3"/>
        <v>2.0269406474038765</v>
      </c>
      <c r="G19" s="1">
        <f t="shared" si="4"/>
        <v>2.029215233402589</v>
      </c>
      <c r="H19" s="2">
        <f t="shared" si="0"/>
        <v>0.10533858493295845</v>
      </c>
      <c r="I19" s="2">
        <f>VLOOKUP(A19,[2]uljczmfzbk41mbxj!$B$2:$L$31,9,FALSE)/100</f>
        <v>6.9800000000000001E-2</v>
      </c>
      <c r="J19" s="2">
        <f>VLOOKUP(A19,[2]uljczmfzbk41mbxj!$B$2:$L$31,8,FALSE)/100</f>
        <v>7.0099999999999996E-2</v>
      </c>
      <c r="K19" s="2">
        <f t="shared" si="1"/>
        <v>-0.33737480862854363</v>
      </c>
      <c r="L19" s="2">
        <f t="shared" si="2"/>
        <v>-0.33452684935330818</v>
      </c>
      <c r="M19">
        <f>VLOOKUP(A19,[2]uljczmfzbk41mbxj!$B$2:$L$31,7,FALSE)</f>
        <v>4</v>
      </c>
      <c r="N19">
        <f>VLOOKUP(A19,[2]uljczmfzbk41mbxj!$B$2:$L$31,10,FALSE)</f>
        <v>0.21</v>
      </c>
    </row>
    <row r="20" spans="1:14" x14ac:dyDescent="0.3">
      <c r="A20" t="s">
        <v>43</v>
      </c>
      <c r="B20" t="str">
        <f>VLOOKUP(A20,'[1]Ticker List'!$H$4:$I$57,2,FALSE)</f>
        <v>NWPS</v>
      </c>
      <c r="C20" t="str">
        <f>VLOOKUP(A20,[2]uljczmfzbk41mbxj!$B$2:$K$31,2,FALSE)</f>
        <v>NORTHWESTERN US</v>
      </c>
      <c r="D20">
        <f>VLOOKUP(A20,[3]WRDS!$A$1:$N$72,13,FALSE)</f>
        <v>3.11</v>
      </c>
      <c r="E20">
        <f>VLOOKUP(A20,[4]fdlalszxh3qnyqcj!$B$2:$K$35,10,FALSE)</f>
        <v>3.21</v>
      </c>
      <c r="F20" s="1">
        <f t="shared" si="3"/>
        <v>3.708732847943748</v>
      </c>
      <c r="G20" s="1">
        <f t="shared" si="4"/>
        <v>3.708732847943748</v>
      </c>
      <c r="H20" s="2">
        <f t="shared" si="0"/>
        <v>7.9434357403473932E-3</v>
      </c>
      <c r="I20" s="2">
        <f>VLOOKUP(A20,[2]uljczmfzbk41mbxj!$B$2:$L$31,9,FALSE)/100</f>
        <v>4.4999999999999998E-2</v>
      </c>
      <c r="J20" s="2">
        <f>VLOOKUP(A20,[2]uljczmfzbk41mbxj!$B$2:$L$31,8,FALSE)/100</f>
        <v>4.4999999999999998E-2</v>
      </c>
      <c r="K20" s="2">
        <f t="shared" si="1"/>
        <v>4.6650549549270979</v>
      </c>
      <c r="L20" s="2">
        <f t="shared" si="2"/>
        <v>4.6650549549270979</v>
      </c>
      <c r="M20">
        <f>VLOOKUP(A20,[2]uljczmfzbk41mbxj!$B$2:$L$31,7,FALSE)</f>
        <v>2</v>
      </c>
      <c r="N20">
        <f>VLOOKUP(A20,[2]uljczmfzbk41mbxj!$B$2:$L$31,10,FALSE)</f>
        <v>0.71</v>
      </c>
    </row>
    <row r="21" spans="1:14" x14ac:dyDescent="0.3">
      <c r="A21" t="s">
        <v>44</v>
      </c>
      <c r="B21" t="str">
        <f>VLOOKUP(A21,'[1]Ticker List'!$H$4:$I$57,2,FALSE)</f>
        <v>OGE</v>
      </c>
      <c r="C21" t="str">
        <f>VLOOKUP(A21,[2]uljczmfzbk41mbxj!$B$2:$K$31,2,FALSE)</f>
        <v>OGE ENERGY CORP</v>
      </c>
      <c r="D21">
        <f>VLOOKUP(A21,[3]WRDS!$A$1:$N$72,13,FALSE)</f>
        <v>1.69</v>
      </c>
      <c r="E21">
        <f>VLOOKUP(A21,[4]fdlalszxh3qnyqcj!$B$2:$K$35,10,FALSE)</f>
        <v>2.08</v>
      </c>
      <c r="F21" s="1">
        <f t="shared" si="3"/>
        <v>1.9770609664000003</v>
      </c>
      <c r="G21" s="1">
        <f t="shared" si="4"/>
        <v>1.9770609664000003</v>
      </c>
      <c r="H21" s="2">
        <f t="shared" si="0"/>
        <v>5.3280775695853322E-2</v>
      </c>
      <c r="I21" s="2">
        <f>VLOOKUP(A21,[2]uljczmfzbk41mbxj!$B$2:$L$31,9,FALSE)/100</f>
        <v>0.04</v>
      </c>
      <c r="J21" s="2">
        <f>VLOOKUP(A21,[2]uljczmfzbk41mbxj!$B$2:$L$31,8,FALSE)/100</f>
        <v>0.04</v>
      </c>
      <c r="K21" s="2">
        <f t="shared" si="1"/>
        <v>-0.24926017916227378</v>
      </c>
      <c r="L21" s="2">
        <f t="shared" si="2"/>
        <v>-0.24926017916227378</v>
      </c>
      <c r="M21">
        <f>VLOOKUP(A21,[2]uljczmfzbk41mbxj!$B$2:$L$31,7,FALSE)</f>
        <v>1</v>
      </c>
      <c r="N21">
        <f>VLOOKUP(A21,[2]uljczmfzbk41mbxj!$B$2:$L$31,10,FALSE)</f>
        <v>0</v>
      </c>
    </row>
    <row r="22" spans="1:14" x14ac:dyDescent="0.3">
      <c r="A22" t="s">
        <v>45</v>
      </c>
      <c r="B22" t="str">
        <f>VLOOKUP(A22,'[1]Ticker List'!$H$4:$I$57,2,FALSE)</f>
        <v>PCG</v>
      </c>
      <c r="C22" t="str">
        <f>VLOOKUP(A22,[2]uljczmfzbk41mbxj!$B$2:$K$31,2,FALSE)</f>
        <v>PG&amp;E US</v>
      </c>
      <c r="D22">
        <f>VLOOKUP(A22,[3]WRDS!$A$1:$N$72,13,FALSE)</f>
        <v>3.76</v>
      </c>
      <c r="E22">
        <f>VLOOKUP(A22,[4]fdlalszxh3qnyqcj!$B$2:$K$35,10,FALSE)</f>
        <v>1.61</v>
      </c>
      <c r="F22" s="1">
        <f t="shared" si="3"/>
        <v>4.7183175872455312</v>
      </c>
      <c r="G22" s="1">
        <f t="shared" si="4"/>
        <v>4.8826925603968734</v>
      </c>
      <c r="H22" s="2">
        <f t="shared" si="0"/>
        <v>-0.19107267137208861</v>
      </c>
      <c r="I22" s="2">
        <f>VLOOKUP(A22,[2]uljczmfzbk41mbxj!$B$2:$L$31,9,FALSE)/100</f>
        <v>5.8400000000000001E-2</v>
      </c>
      <c r="J22" s="2">
        <f>VLOOKUP(A22,[2]uljczmfzbk41mbxj!$B$2:$L$31,8,FALSE)/100</f>
        <v>6.7500000000000004E-2</v>
      </c>
      <c r="K22" s="2">
        <f t="shared" si="1"/>
        <v>1.3056428717965312</v>
      </c>
      <c r="L22" s="2">
        <f t="shared" si="2"/>
        <v>1.3532687302442783</v>
      </c>
      <c r="M22">
        <f>VLOOKUP(A22,[2]uljczmfzbk41mbxj!$B$2:$L$31,7,FALSE)</f>
        <v>6</v>
      </c>
      <c r="N22">
        <f>VLOOKUP(A22,[2]uljczmfzbk41mbxj!$B$2:$L$31,10,FALSE)</f>
        <v>2.37</v>
      </c>
    </row>
    <row r="23" spans="1:14" x14ac:dyDescent="0.3">
      <c r="A23" t="s">
        <v>48</v>
      </c>
      <c r="B23" t="str">
        <f>VLOOKUP(A23,'[1]Ticker List'!$H$4:$I$57,2,FALSE)</f>
        <v>AZP</v>
      </c>
      <c r="C23" t="str">
        <f>VLOOKUP(A23,[2]uljczmfzbk41mbxj!$B$2:$K$31,2,FALSE)</f>
        <v>PINNACLE WEST</v>
      </c>
      <c r="D23">
        <f>VLOOKUP(A23,[3]WRDS!$A$1:$N$72,13,FALSE)</f>
        <v>3.95</v>
      </c>
      <c r="E23">
        <f>VLOOKUP(A23,[4]fdlalszxh3qnyqcj!$B$2:$K$35,10,FALSE)</f>
        <v>4.87</v>
      </c>
      <c r="F23" s="1">
        <f t="shared" si="3"/>
        <v>4.6744910148639489</v>
      </c>
      <c r="G23" s="1">
        <f t="shared" si="4"/>
        <v>4.6565896815992014</v>
      </c>
      <c r="H23" s="2">
        <f t="shared" si="0"/>
        <v>5.3738787328709625E-2</v>
      </c>
      <c r="I23" s="2">
        <f>VLOOKUP(A23,[2]uljczmfzbk41mbxj!$B$2:$L$31,9,FALSE)/100</f>
        <v>4.2999999999999997E-2</v>
      </c>
      <c r="J23" s="2">
        <f>VLOOKUP(A23,[2]uljczmfzbk41mbxj!$B$2:$L$31,8,FALSE)/100</f>
        <v>4.2000000000000003E-2</v>
      </c>
      <c r="K23" s="2">
        <f t="shared" si="1"/>
        <v>-0.19983307890858371</v>
      </c>
      <c r="L23" s="2">
        <f t="shared" si="2"/>
        <v>-0.21844161195722117</v>
      </c>
      <c r="M23">
        <f>VLOOKUP(A23,[2]uljczmfzbk41mbxj!$B$2:$L$31,7,FALSE)</f>
        <v>3</v>
      </c>
      <c r="N23">
        <f>VLOOKUP(A23,[2]uljczmfzbk41mbxj!$B$2:$L$31,10,FALSE)</f>
        <v>0.36</v>
      </c>
    </row>
    <row r="24" spans="1:14" x14ac:dyDescent="0.3">
      <c r="A24" t="s">
        <v>47</v>
      </c>
      <c r="B24" t="str">
        <f>VLOOKUP(A24,'[1]Ticker List'!$H$4:$I$57,2,FALSE)</f>
        <v>PNM</v>
      </c>
      <c r="C24" t="str">
        <f>VLOOKUP(A24,[2]uljczmfzbk41mbxj!$B$2:$K$31,2,FALSE)</f>
        <v>PNM RESOURCES</v>
      </c>
      <c r="D24">
        <f>VLOOKUP(A24,[3]WRDS!$A$1:$N$72,13,FALSE)</f>
        <v>1.65</v>
      </c>
      <c r="E24">
        <f>VLOOKUP(A24,[4]fdlalszxh3qnyqcj!$B$2:$K$35,10,FALSE)</f>
        <v>2.2799999999999998</v>
      </c>
      <c r="F24" s="1">
        <f t="shared" si="3"/>
        <v>2.1507109696216027</v>
      </c>
      <c r="G24" s="1">
        <f t="shared" si="4"/>
        <v>2.1507109696216027</v>
      </c>
      <c r="H24" s="2">
        <f t="shared" si="0"/>
        <v>8.4208295158507473E-2</v>
      </c>
      <c r="I24" s="2">
        <f>VLOOKUP(A24,[2]uljczmfzbk41mbxj!$B$2:$L$31,9,FALSE)/100</f>
        <v>6.8499999999999991E-2</v>
      </c>
      <c r="J24" s="2">
        <f>VLOOKUP(A24,[2]uljczmfzbk41mbxj!$B$2:$L$31,8,FALSE)/100</f>
        <v>6.8499999999999991E-2</v>
      </c>
      <c r="K24" s="2">
        <f t="shared" si="1"/>
        <v>-0.18654094740832061</v>
      </c>
      <c r="L24" s="2">
        <f t="shared" si="2"/>
        <v>-0.18654094740832061</v>
      </c>
      <c r="M24">
        <f>VLOOKUP(A24,[2]uljczmfzbk41mbxj!$B$2:$L$31,7,FALSE)</f>
        <v>2</v>
      </c>
      <c r="N24">
        <f>VLOOKUP(A24,[2]uljczmfzbk41mbxj!$B$2:$L$31,10,FALSE)</f>
        <v>0.78</v>
      </c>
    </row>
    <row r="25" spans="1:14" x14ac:dyDescent="0.3">
      <c r="A25" t="s">
        <v>50</v>
      </c>
      <c r="B25" t="str">
        <f>VLOOKUP(A25,'[1]Ticker List'!$H$4:$I$57,2,FALSE)</f>
        <v>PORO</v>
      </c>
      <c r="C25" t="str">
        <f>VLOOKUP(A25,[2]uljczmfzbk41mbxj!$B$2:$K$31,2,FALSE)</f>
        <v>PORTLAND GENERAL</v>
      </c>
      <c r="D25">
        <f>VLOOKUP(A25,[3]WRDS!$A$1:$N$72,13,FALSE)</f>
        <v>2.16</v>
      </c>
      <c r="E25">
        <f>VLOOKUP(A25,[4]fdlalszxh3qnyqcj!$B$2:$K$35,10,FALSE)</f>
        <v>1.72</v>
      </c>
      <c r="F25" s="1">
        <f t="shared" si="3"/>
        <v>2.796552208384341</v>
      </c>
      <c r="G25" s="1">
        <f t="shared" si="4"/>
        <v>2.8313193816000002</v>
      </c>
      <c r="H25" s="2">
        <f t="shared" si="0"/>
        <v>-5.5354904850827391E-2</v>
      </c>
      <c r="I25" s="2">
        <f>VLOOKUP(A25,[2]uljczmfzbk41mbxj!$B$2:$L$31,9,FALSE)/100</f>
        <v>6.6699999999999995E-2</v>
      </c>
      <c r="J25" s="2">
        <f>VLOOKUP(A25,[2]uljczmfzbk41mbxj!$B$2:$L$31,8,FALSE)/100</f>
        <v>7.0000000000000007E-2</v>
      </c>
      <c r="K25" s="2">
        <f t="shared" si="1"/>
        <v>2.2049519402073914</v>
      </c>
      <c r="L25" s="2">
        <f t="shared" si="2"/>
        <v>2.2645672535909656</v>
      </c>
      <c r="M25">
        <f>VLOOKUP(A25,[2]uljczmfzbk41mbxj!$B$2:$L$31,7,FALSE)</f>
        <v>3</v>
      </c>
      <c r="N25">
        <f>VLOOKUP(A25,[2]uljczmfzbk41mbxj!$B$2:$L$31,10,FALSE)</f>
        <v>0.57999999999999996</v>
      </c>
    </row>
    <row r="26" spans="1:14" x14ac:dyDescent="0.3">
      <c r="A26" t="s">
        <v>51</v>
      </c>
      <c r="B26" t="str">
        <f>VLOOKUP(A26,'[1]Ticker List'!$H$4:$I$57,2,FALSE)</f>
        <v>PPL</v>
      </c>
      <c r="C26" t="str">
        <f>VLOOKUP(A26,[2]uljczmfzbk41mbxj!$B$2:$K$31,2,FALSE)</f>
        <v>PPL</v>
      </c>
      <c r="D26">
        <f>VLOOKUP(A26,[3]WRDS!$A$1:$N$72,13,FALSE)</f>
        <v>2.4500000000000002</v>
      </c>
      <c r="E26">
        <f>VLOOKUP(A26,[4]fdlalszxh3qnyqcj!$B$2:$K$35,10,FALSE)</f>
        <v>2.4</v>
      </c>
      <c r="F26" s="1">
        <f t="shared" si="3"/>
        <v>2.6980150228943471</v>
      </c>
      <c r="G26" s="1">
        <f t="shared" si="4"/>
        <v>2.6832962222104491</v>
      </c>
      <c r="H26" s="2">
        <f t="shared" si="0"/>
        <v>-5.1415585065446301E-3</v>
      </c>
      <c r="I26" s="2">
        <f>VLOOKUP(A26,[2]uljczmfzbk41mbxj!$B$2:$L$31,9,FALSE)/100</f>
        <v>2.4399999999999998E-2</v>
      </c>
      <c r="J26" s="2">
        <f>VLOOKUP(A26,[2]uljczmfzbk41mbxj!$B$2:$L$31,8,FALSE)/100</f>
        <v>2.3E-2</v>
      </c>
      <c r="K26" s="2">
        <f t="shared" si="1"/>
        <v>5.7456427791187288</v>
      </c>
      <c r="L26" s="2">
        <f t="shared" si="2"/>
        <v>5.4733517999889658</v>
      </c>
      <c r="M26">
        <f>VLOOKUP(A26,[2]uljczmfzbk41mbxj!$B$2:$L$31,7,FALSE)</f>
        <v>3</v>
      </c>
      <c r="N26">
        <f>VLOOKUP(A26,[2]uljczmfzbk41mbxj!$B$2:$L$31,10,FALSE)</f>
        <v>2.5</v>
      </c>
    </row>
    <row r="27" spans="1:14" x14ac:dyDescent="0.3">
      <c r="A27" t="s">
        <v>46</v>
      </c>
      <c r="B27" t="str">
        <f>VLOOKUP(A27,'[1]Ticker List'!$H$4:$I$57,2,FALSE)</f>
        <v>PEG</v>
      </c>
      <c r="C27" t="str">
        <f>VLOOKUP(A27,[2]uljczmfzbk41mbxj!$B$2:$K$31,2,FALSE)</f>
        <v>PSEG</v>
      </c>
      <c r="D27">
        <f>VLOOKUP(A27,[3]WRDS!$A$1:$N$72,13,FALSE)</f>
        <v>2.9</v>
      </c>
      <c r="E27">
        <f>VLOOKUP(A27,[4]fdlalszxh3qnyqcj!$B$2:$K$35,10,FALSE)</f>
        <v>3.43</v>
      </c>
      <c r="F27" s="1">
        <f t="shared" si="3"/>
        <v>3.045334098434326</v>
      </c>
      <c r="G27" s="1">
        <f t="shared" si="4"/>
        <v>3.045334098434326</v>
      </c>
      <c r="H27" s="2">
        <f t="shared" si="0"/>
        <v>4.2855246889645926E-2</v>
      </c>
      <c r="I27" s="2">
        <f>VLOOKUP(A27,[2]uljczmfzbk41mbxj!$B$2:$L$31,9,FALSE)/100</f>
        <v>1.23E-2</v>
      </c>
      <c r="J27" s="2">
        <f>VLOOKUP(A27,[2]uljczmfzbk41mbxj!$B$2:$L$31,8,FALSE)/100</f>
        <v>1.23E-2</v>
      </c>
      <c r="K27" s="2">
        <f t="shared" si="1"/>
        <v>-0.71298730277594669</v>
      </c>
      <c r="L27" s="2">
        <f t="shared" si="2"/>
        <v>-0.71298730277594669</v>
      </c>
      <c r="M27">
        <f>VLOOKUP(A27,[2]uljczmfzbk41mbxj!$B$2:$L$31,7,FALSE)</f>
        <v>2</v>
      </c>
      <c r="N27">
        <f>VLOOKUP(A27,[2]uljczmfzbk41mbxj!$B$2:$L$31,10,FALSE)</f>
        <v>0.6</v>
      </c>
    </row>
    <row r="28" spans="1:14" x14ac:dyDescent="0.3">
      <c r="A28" t="s">
        <v>54</v>
      </c>
      <c r="B28" t="str">
        <f>VLOOKUP(A28,'[1]Ticker List'!$H$4:$I$57,2,FALSE)</f>
        <v>SDO</v>
      </c>
      <c r="C28" t="str">
        <f>VLOOKUP(A28,[2]uljczmfzbk41mbxj!$B$2:$K$31,2,FALSE)</f>
        <v>SEMPRA ENER</v>
      </c>
      <c r="D28">
        <f>VLOOKUP(A28,[3]WRDS!$A$1:$N$72,13,FALSE)</f>
        <v>5.05</v>
      </c>
      <c r="E28">
        <f>VLOOKUP(A28,[4]fdlalszxh3qnyqcj!$B$2:$K$35,10,FALSE)</f>
        <v>8.0299999999999994</v>
      </c>
      <c r="F28" s="1">
        <f t="shared" si="3"/>
        <v>6.4966550706562476</v>
      </c>
      <c r="G28" s="1">
        <f t="shared" si="4"/>
        <v>5.9533614916648014</v>
      </c>
      <c r="H28" s="2">
        <f t="shared" si="0"/>
        <v>0.1229386807213364</v>
      </c>
      <c r="I28" s="2">
        <f>VLOOKUP(A28,[2]uljczmfzbk41mbxj!$B$2:$L$31,9,FALSE)/100</f>
        <v>6.5000000000000002E-2</v>
      </c>
      <c r="J28" s="2">
        <f>VLOOKUP(A28,[2]uljczmfzbk41mbxj!$B$2:$L$31,8,FALSE)/100</f>
        <v>4.2000000000000003E-2</v>
      </c>
      <c r="K28" s="2">
        <f t="shared" si="1"/>
        <v>-0.47128113284919088</v>
      </c>
      <c r="L28" s="2">
        <f t="shared" si="2"/>
        <v>-0.65836627045640017</v>
      </c>
      <c r="M28">
        <f>VLOOKUP(A28,[2]uljczmfzbk41mbxj!$B$2:$L$31,7,FALSE)</f>
        <v>3</v>
      </c>
      <c r="N28">
        <f>VLOOKUP(A28,[2]uljczmfzbk41mbxj!$B$2:$L$31,10,FALSE)</f>
        <v>4.78</v>
      </c>
    </row>
    <row r="29" spans="1:14" x14ac:dyDescent="0.3">
      <c r="A29" t="s">
        <v>53</v>
      </c>
      <c r="B29" t="str">
        <f>VLOOKUP(A29,'[1]Ticker List'!$H$4:$I$57,2,FALSE)</f>
        <v>SO</v>
      </c>
      <c r="C29" t="str">
        <f>VLOOKUP(A29,[2]uljczmfzbk41mbxj!$B$2:$K$31,2,FALSE)</f>
        <v>SOUTHERN CO</v>
      </c>
      <c r="D29">
        <f>VLOOKUP(A29,[3]WRDS!$A$1:$N$72,13,FALSE)</f>
        <v>2.89</v>
      </c>
      <c r="E29">
        <f>VLOOKUP(A29,[4]fdlalszxh3qnyqcj!$B$2:$K$35,10,FALSE)</f>
        <v>3.25</v>
      </c>
      <c r="F29" s="1">
        <f t="shared" si="3"/>
        <v>3.2895080418578089</v>
      </c>
      <c r="G29" s="1">
        <f t="shared" si="4"/>
        <v>3.2338139255626808</v>
      </c>
      <c r="H29" s="2">
        <f t="shared" si="0"/>
        <v>2.9784568484791718E-2</v>
      </c>
      <c r="I29" s="2">
        <f>VLOOKUP(A29,[2]uljczmfzbk41mbxj!$B$2:$L$31,9,FALSE)/100</f>
        <v>3.2899999999999999E-2</v>
      </c>
      <c r="J29" s="2">
        <f>VLOOKUP(A29,[2]uljczmfzbk41mbxj!$B$2:$L$31,8,FALSE)/100</f>
        <v>2.8500000000000001E-2</v>
      </c>
      <c r="K29" s="2">
        <f t="shared" si="1"/>
        <v>0.10459884677527054</v>
      </c>
      <c r="L29" s="2">
        <f t="shared" si="2"/>
        <v>-4.3128658568534567E-2</v>
      </c>
      <c r="M29">
        <f>VLOOKUP(A29,[2]uljczmfzbk41mbxj!$B$2:$L$31,7,FALSE)</f>
        <v>4</v>
      </c>
      <c r="N29">
        <f>VLOOKUP(A29,[2]uljczmfzbk41mbxj!$B$2:$L$31,10,FALSE)</f>
        <v>1.17</v>
      </c>
    </row>
    <row r="30" spans="1:14" x14ac:dyDescent="0.3">
      <c r="A30" t="s">
        <v>55</v>
      </c>
      <c r="B30" t="str">
        <f>VLOOKUP(A30,'[1]Ticker List'!$H$4:$I$57,2,FALSE)</f>
        <v>WPC</v>
      </c>
      <c r="C30" t="str">
        <f>VLOOKUP(A30,[2]uljczmfzbk41mbxj!$B$2:$K$31,2,FALSE)</f>
        <v>WEC ENERGY GROUP</v>
      </c>
      <c r="D30">
        <f>VLOOKUP(A30,[3]WRDS!$A$1:$N$72,13,FALSE)</f>
        <v>2.97</v>
      </c>
      <c r="E30">
        <f>VLOOKUP(A30,[4]fdlalszxh3qnyqcj!$B$2:$K$35,10,FALSE)</f>
        <v>3.79</v>
      </c>
      <c r="F30" s="1">
        <f t="shared" si="3"/>
        <v>3.8828866847904524</v>
      </c>
      <c r="G30" s="1">
        <f t="shared" si="4"/>
        <v>3.9076380753725699</v>
      </c>
      <c r="H30" s="2">
        <f t="shared" si="0"/>
        <v>6.2846851027688944E-2</v>
      </c>
      <c r="I30" s="2">
        <f>VLOOKUP(A30,[2]uljczmfzbk41mbxj!$B$2:$L$31,9,FALSE)/100</f>
        <v>6.93E-2</v>
      </c>
      <c r="J30" s="2">
        <f>VLOOKUP(A30,[2]uljczmfzbk41mbxj!$B$2:$L$31,8,FALSE)/100</f>
        <v>7.0999999999999994E-2</v>
      </c>
      <c r="K30" s="2">
        <f t="shared" si="1"/>
        <v>0.10268054591101058</v>
      </c>
      <c r="L30" s="2">
        <f t="shared" si="2"/>
        <v>0.12973042943263699</v>
      </c>
      <c r="M30">
        <f>VLOOKUP(A30,[2]uljczmfzbk41mbxj!$B$2:$L$31,7,FALSE)</f>
        <v>4</v>
      </c>
      <c r="N30">
        <f>VLOOKUP(A30,[2]uljczmfzbk41mbxj!$B$2:$L$31,10,FALSE)</f>
        <v>0.73</v>
      </c>
    </row>
    <row r="31" spans="1:14" x14ac:dyDescent="0.3">
      <c r="A31" t="s">
        <v>56</v>
      </c>
      <c r="B31" t="str">
        <f>VLOOKUP(A31,'[1]Ticker List'!$H$4:$I$57,2,FALSE)</f>
        <v>NSP</v>
      </c>
      <c r="C31" t="str">
        <f>VLOOKUP(A31,[2]uljczmfzbk41mbxj!$B$2:$K$31,2,FALSE)</f>
        <v>XCEL ENERGY</v>
      </c>
      <c r="D31">
        <f>VLOOKUP(A31,[3]WRDS!$A$1:$N$72,13,FALSE)</f>
        <v>2.21</v>
      </c>
      <c r="E31">
        <f>VLOOKUP(A31,[4]fdlalszxh3qnyqcj!$B$2:$K$35,10,FALSE)</f>
        <v>2.79</v>
      </c>
      <c r="F31" s="1">
        <f t="shared" si="3"/>
        <v>2.7534061571017374</v>
      </c>
      <c r="G31" s="1">
        <f t="shared" si="4"/>
        <v>2.7378024778812495</v>
      </c>
      <c r="H31" s="2">
        <f t="shared" si="0"/>
        <v>5.9992963692396817E-2</v>
      </c>
      <c r="I31" s="2">
        <f>VLOOKUP(A31,[2]uljczmfzbk41mbxj!$B$2:$L$31,9,FALSE)/100</f>
        <v>5.6500000000000002E-2</v>
      </c>
      <c r="J31" s="2">
        <f>VLOOKUP(A31,[2]uljczmfzbk41mbxj!$B$2:$L$31,8,FALSE)/100</f>
        <v>5.5E-2</v>
      </c>
      <c r="K31" s="2">
        <f t="shared" si="1"/>
        <v>-5.8222889442607992E-2</v>
      </c>
      <c r="L31" s="2">
        <f t="shared" si="2"/>
        <v>-8.3225821581299833E-2</v>
      </c>
      <c r="M31">
        <f>VLOOKUP(A31,[2]uljczmfzbk41mbxj!$B$2:$L$31,7,FALSE)</f>
        <v>3</v>
      </c>
      <c r="N31">
        <f>VLOOKUP(A31,[2]uljczmfzbk41mbxj!$B$2:$L$31,10,FALSE)</f>
        <v>0.31</v>
      </c>
    </row>
    <row r="32" spans="1:14" x14ac:dyDescent="0.3">
      <c r="A32" s="22" t="s">
        <v>132</v>
      </c>
      <c r="B32" t="str">
        <f>VLOOKUP(A32,'[5]Ticker List'!$H$4:$I$20,2,FALSE)</f>
        <v>EGAS</v>
      </c>
      <c r="C32" t="str">
        <f>VLOOKUP(A32,[6]kludyt39qyec1lok!$B$2:$K$11,2,FALSE)</f>
        <v>ATMOS ENERGY CP</v>
      </c>
      <c r="D32">
        <f>VLOOKUP(A32,[7]WRDS!$B$1:$N$13,12,FALSE)</f>
        <v>3.6</v>
      </c>
      <c r="E32">
        <f>VLOOKUP(A32,[8]ggkc8bf4suny5q4w!$B$2:$N$10,12,FALSE)</f>
        <v>5.13</v>
      </c>
      <c r="F32" s="1">
        <f t="shared" si="3"/>
        <v>4.7720104784675987</v>
      </c>
      <c r="G32" s="1">
        <f t="shared" si="4"/>
        <v>4.7720104784675987</v>
      </c>
      <c r="H32" s="2">
        <f t="shared" si="0"/>
        <v>9.2581181712064975E-2</v>
      </c>
      <c r="I32" s="2">
        <f>VLOOKUP(A32,[6]kludyt39qyec1lok!$B$2:$K$11,9,FALSE)/100</f>
        <v>7.2999999999999995E-2</v>
      </c>
      <c r="J32" s="2">
        <f>VLOOKUP(A32,[6]kludyt39qyec1lok!$B$2:$K$11,8,FALSE)/100</f>
        <v>7.2999999999999995E-2</v>
      </c>
      <c r="K32" s="2">
        <f t="shared" si="1"/>
        <v>-0.2115028275720659</v>
      </c>
      <c r="L32" s="2">
        <f t="shared" si="2"/>
        <v>-0.2115028275720659</v>
      </c>
      <c r="M32">
        <f>VLOOKUP(A32,[6]kludyt39qyec1lok!$B$2:$K$11,7,FALSE)</f>
        <v>2</v>
      </c>
      <c r="N32">
        <f>VLOOKUP(A32,[6]kludyt39qyec1lok!$B$2:$K$11,10,FALSE)</f>
        <v>0.42</v>
      </c>
    </row>
    <row r="33" spans="1:14" x14ac:dyDescent="0.3">
      <c r="A33" s="22" t="s">
        <v>134</v>
      </c>
      <c r="B33" t="str">
        <f>VLOOKUP(A33,'[5]Ticker List'!$H$4:$I$20,2,FALSE)</f>
        <v>NJR</v>
      </c>
      <c r="C33" t="str">
        <f>VLOOKUP(A33,[6]kludyt39qyec1lok!$B$2:$K$11,2,FALSE)</f>
        <v>NEW JERSEY RES</v>
      </c>
      <c r="D33">
        <f>VLOOKUP(A33,[7]WRDS!$B$1:$N$13,12,FALSE)</f>
        <v>1.73</v>
      </c>
      <c r="E33">
        <f>VLOOKUP(A33,[8]ggkc8bf4suny5q4w!$B$2:$N$10,12,FALSE)</f>
        <v>2.06</v>
      </c>
      <c r="F33" s="1">
        <f t="shared" si="3"/>
        <v>2.1840851408000006</v>
      </c>
      <c r="G33" s="1">
        <f t="shared" si="4"/>
        <v>2.1840851408000006</v>
      </c>
      <c r="H33" s="2">
        <f t="shared" si="0"/>
        <v>4.4612646581701165E-2</v>
      </c>
      <c r="I33" s="2">
        <f>VLOOKUP(A33,[6]kludyt39qyec1lok!$B$2:$K$11,9,FALSE)/100</f>
        <v>0.06</v>
      </c>
      <c r="J33" s="2">
        <f>VLOOKUP(A33,[6]kludyt39qyec1lok!$B$2:$K$11,8,FALSE)/100</f>
        <v>0.06</v>
      </c>
      <c r="K33" s="2">
        <f t="shared" si="1"/>
        <v>0.34491012296522855</v>
      </c>
      <c r="L33" s="2">
        <f t="shared" si="2"/>
        <v>0.34491012296522855</v>
      </c>
      <c r="M33">
        <f>VLOOKUP(A33,[6]kludyt39qyec1lok!$B$2:$K$11,7,FALSE)</f>
        <v>1</v>
      </c>
      <c r="N33">
        <f>VLOOKUP(A33,[6]kludyt39qyec1lok!$B$2:$K$11,10,FALSE)</f>
        <v>0</v>
      </c>
    </row>
    <row r="34" spans="1:14" x14ac:dyDescent="0.3">
      <c r="A34" s="22" t="s">
        <v>135</v>
      </c>
      <c r="B34" t="str">
        <f>VLOOKUP(A34,'[5]Ticker List'!$H$4:$I$20,2,FALSE)</f>
        <v>NI</v>
      </c>
      <c r="C34" t="str">
        <f>VLOOKUP(A34,[6]kludyt39qyec1lok!$B$2:$K$11,2,FALSE)</f>
        <v>NISOURCE</v>
      </c>
      <c r="D34">
        <f>VLOOKUP(A34,[7]WRDS!$B$1:$N$13,12,FALSE)</f>
        <v>1.0900000000000001</v>
      </c>
      <c r="E34">
        <f>VLOOKUP(A34,[8]ggkc8bf4suny5q4w!$B$2:$N$10,12,FALSE)</f>
        <v>1.32</v>
      </c>
      <c r="F34" s="1">
        <f t="shared" si="3"/>
        <v>1.5499477265126407</v>
      </c>
      <c r="G34" s="1">
        <f t="shared" si="4"/>
        <v>1.5499477265126407</v>
      </c>
      <c r="H34" s="2">
        <f t="shared" si="0"/>
        <v>4.902746388773882E-2</v>
      </c>
      <c r="I34" s="2">
        <f>VLOOKUP(A34,[6]kludyt39qyec1lok!$B$2:$K$11,9,FALSE)/100</f>
        <v>9.1999999999999998E-2</v>
      </c>
      <c r="J34" s="2">
        <f>VLOOKUP(A34,[6]kludyt39qyec1lok!$B$2:$K$11,8,FALSE)/100</f>
        <v>9.1999999999999998E-2</v>
      </c>
      <c r="K34" s="2">
        <f t="shared" si="1"/>
        <v>0.87649926601665584</v>
      </c>
      <c r="L34" s="2">
        <f t="shared" si="2"/>
        <v>0.87649926601665584</v>
      </c>
      <c r="M34">
        <f>VLOOKUP(A34,[6]kludyt39qyec1lok!$B$2:$K$11,7,FALSE)</f>
        <v>1</v>
      </c>
      <c r="N34">
        <f>VLOOKUP(A34,[6]kludyt39qyec1lok!$B$2:$K$11,10,FALSE)</f>
        <v>0</v>
      </c>
    </row>
    <row r="35" spans="1:14" x14ac:dyDescent="0.3">
      <c r="A35" s="22" t="s">
        <v>136</v>
      </c>
      <c r="B35" t="str">
        <f>VLOOKUP(A35,'[5]Ticker List'!$H$4:$I$20,2,FALSE)</f>
        <v>NWNG</v>
      </c>
      <c r="C35" t="str">
        <f>VLOOKUP(A35,[6]kludyt39qyec1lok!$B$2:$K$11,2,FALSE)</f>
        <v>NW NATURAL GAS</v>
      </c>
      <c r="D35">
        <f>VLOOKUP(A35,[7]WRDS!$B$1:$N$13,12,FALSE)</f>
        <v>2.19</v>
      </c>
      <c r="E35">
        <f>VLOOKUP(A35,[8]ggkc8bf4suny5q4w!$B$2:$N$10,12,FALSE)</f>
        <v>2.5099999999999998</v>
      </c>
      <c r="F35" s="1">
        <f t="shared" si="3"/>
        <v>2.5619902464000006</v>
      </c>
      <c r="G35" s="1">
        <f t="shared" si="4"/>
        <v>2.5619902464000006</v>
      </c>
      <c r="H35" s="2">
        <f t="shared" si="0"/>
        <v>3.4683209748975319E-2</v>
      </c>
      <c r="I35" s="2">
        <f>VLOOKUP(A35,[6]kludyt39qyec1lok!$B$2:$K$11,9,FALSE)/100</f>
        <v>0.04</v>
      </c>
      <c r="J35" s="2">
        <f>VLOOKUP(A35,[6]kludyt39qyec1lok!$B$2:$K$11,8,FALSE)/100</f>
        <v>0.04</v>
      </c>
      <c r="K35" s="2">
        <f t="shared" si="1"/>
        <v>0.15329579613610478</v>
      </c>
      <c r="L35" s="2">
        <f t="shared" si="2"/>
        <v>0.15329579613610478</v>
      </c>
      <c r="M35">
        <f>VLOOKUP(A35,[6]kludyt39qyec1lok!$B$2:$K$11,7,FALSE)</f>
        <v>1</v>
      </c>
      <c r="N35">
        <f>VLOOKUP(A35,[6]kludyt39qyec1lok!$B$2:$K$11,10,FALSE)</f>
        <v>0</v>
      </c>
    </row>
    <row r="36" spans="1:14" x14ac:dyDescent="0.3">
      <c r="A36" s="22" t="s">
        <v>137</v>
      </c>
      <c r="B36" t="str">
        <f>VLOOKUP(A36,'[5]Ticker List'!$H$4:$I$20,2,FALSE)</f>
        <v>OGSW</v>
      </c>
      <c r="C36" t="str">
        <f>VLOOKUP(A36,[6]kludyt39qyec1lok!$B$2:$K$11,2,FALSE)</f>
        <v>ONE GAS INC</v>
      </c>
      <c r="D36">
        <f>VLOOKUP(A36,[7]WRDS!$B$1:$N$13,12,FALSE)</f>
        <v>2.65</v>
      </c>
      <c r="E36">
        <f>VLOOKUP(A36,[8]ggkc8bf4suny5q4w!$B$2:$N$10,12,FALSE)</f>
        <v>3.68</v>
      </c>
      <c r="F36" s="1">
        <f t="shared" si="3"/>
        <v>3.2828853241562492</v>
      </c>
      <c r="G36" s="1">
        <f t="shared" si="4"/>
        <v>3.2828853241562492</v>
      </c>
      <c r="H36" s="2">
        <f t="shared" si="0"/>
        <v>8.5551635976720108E-2</v>
      </c>
      <c r="I36" s="2">
        <f>VLOOKUP(A36,[6]kludyt39qyec1lok!$B$2:$K$11,9,FALSE)/100</f>
        <v>5.5E-2</v>
      </c>
      <c r="J36" s="2">
        <f>VLOOKUP(A36,[6]kludyt39qyec1lok!$B$2:$K$11,8,FALSE)/100</f>
        <v>5.5E-2</v>
      </c>
      <c r="K36" s="2">
        <f t="shared" si="1"/>
        <v>-0.35711340441267153</v>
      </c>
      <c r="L36" s="2">
        <f t="shared" si="2"/>
        <v>-0.35711340441267153</v>
      </c>
      <c r="M36">
        <f>VLOOKUP(A36,[6]kludyt39qyec1lok!$B$2:$K$11,7,FALSE)</f>
        <v>2</v>
      </c>
      <c r="N36">
        <f>VLOOKUP(A36,[6]kludyt39qyec1lok!$B$2:$K$11,10,FALSE)</f>
        <v>0.71</v>
      </c>
    </row>
    <row r="37" spans="1:14" x14ac:dyDescent="0.3">
      <c r="A37" s="22" t="s">
        <v>139</v>
      </c>
      <c r="B37" t="str">
        <f>VLOOKUP(A37,'[5]Ticker List'!$H$4:$I$20,2,FALSE)</f>
        <v>SWX</v>
      </c>
      <c r="C37" t="str">
        <f>VLOOKUP(A37,[6]kludyt39qyec1lok!$B$2:$K$11,2,FALSE)</f>
        <v>SOUTHWEST GAS</v>
      </c>
      <c r="D37">
        <f>VLOOKUP(A37,[7]WRDS!$B$1:$N$13,12,FALSE)</f>
        <v>3.18</v>
      </c>
      <c r="E37">
        <f>VLOOKUP(A37,[8]ggkc8bf4suny5q4w!$B$2:$N$10,12,FALSE)</f>
        <v>4.1399999999999997</v>
      </c>
      <c r="F37" s="1">
        <f t="shared" si="3"/>
        <v>3.7201502208000008</v>
      </c>
      <c r="G37" s="1">
        <f t="shared" si="4"/>
        <v>3.7201502208000008</v>
      </c>
      <c r="H37" s="2">
        <f t="shared" si="0"/>
        <v>6.8177203613737802E-2</v>
      </c>
      <c r="I37" s="2">
        <f>VLOOKUP(A37,[6]kludyt39qyec1lok!$B$2:$K$11,9,FALSE)/100</f>
        <v>0.04</v>
      </c>
      <c r="J37" s="2">
        <f>VLOOKUP(A37,[6]kludyt39qyec1lok!$B$2:$K$11,8,FALSE)/100</f>
        <v>0.04</v>
      </c>
      <c r="K37" s="2">
        <f t="shared" si="1"/>
        <v>-0.41329362485116733</v>
      </c>
      <c r="L37" s="2">
        <f t="shared" si="2"/>
        <v>-0.41329362485116733</v>
      </c>
      <c r="M37">
        <f>VLOOKUP(A37,[6]kludyt39qyec1lok!$B$2:$K$11,7,FALSE)</f>
        <v>1</v>
      </c>
      <c r="N37">
        <f>VLOOKUP(A37,[6]kludyt39qyec1lok!$B$2:$K$11,10,FALSE)</f>
        <v>0</v>
      </c>
    </row>
    <row r="38" spans="1:14" x14ac:dyDescent="0.3">
      <c r="A38" s="22" t="s">
        <v>140</v>
      </c>
      <c r="B38" t="str">
        <f>VLOOKUP(A38,'[5]Ticker List'!$H$4:$I$20,2,FALSE)</f>
        <v>LG</v>
      </c>
      <c r="C38" t="str">
        <f>VLOOKUP(A38,[6]kludyt39qyec1lok!$B$2:$K$11,2,FALSE)</f>
        <v>SPIRE INC</v>
      </c>
      <c r="D38">
        <f>VLOOKUP(A38,[7]WRDS!$B$1:$N$13,12,FALSE)</f>
        <v>3.56</v>
      </c>
      <c r="E38">
        <f>VLOOKUP(A38,[8]ggkc8bf4suny5q4w!$B$2:$N$10,12,FALSE)</f>
        <v>1.85</v>
      </c>
      <c r="F38" s="1">
        <f t="shared" si="3"/>
        <v>4.2016604143590675</v>
      </c>
      <c r="G38" s="1">
        <f t="shared" si="4"/>
        <v>4.1646964736000012</v>
      </c>
      <c r="H38" s="2">
        <f t="shared" si="0"/>
        <v>-0.15095553990887511</v>
      </c>
      <c r="I38" s="2">
        <f>VLOOKUP(A38,[6]kludyt39qyec1lok!$B$2:$K$11,9,FALSE)/100</f>
        <v>4.2300000000000004E-2</v>
      </c>
      <c r="J38" s="2">
        <f>VLOOKUP(A38,[6]kludyt39qyec1lok!$B$2:$K$11,8,FALSE)/100</f>
        <v>0.04</v>
      </c>
      <c r="K38" s="2">
        <f t="shared" si="1"/>
        <v>1.2802149561754048</v>
      </c>
      <c r="L38" s="2">
        <f t="shared" si="2"/>
        <v>1.2649786819625577</v>
      </c>
      <c r="M38">
        <f>VLOOKUP(A38,[6]kludyt39qyec1lok!$B$2:$K$11,7,FALSE)</f>
        <v>3</v>
      </c>
      <c r="N38">
        <f>VLOOKUP(A38,[6]kludyt39qyec1lok!$B$2:$K$11,10,FALSE)</f>
        <v>0.59</v>
      </c>
    </row>
    <row r="39" spans="1:14" x14ac:dyDescent="0.3">
      <c r="A39" s="22"/>
      <c r="F39" s="1"/>
      <c r="G39" s="1"/>
      <c r="H39" s="2"/>
      <c r="I39" s="2"/>
      <c r="J39" s="2"/>
      <c r="K39" s="2"/>
      <c r="L39" s="2"/>
    </row>
  </sheetData>
  <mergeCells count="3">
    <mergeCell ref="P1:Q1"/>
    <mergeCell ref="P7:Q7"/>
    <mergeCell ref="P13:Q13"/>
  </mergeCells>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B322A-94CF-42FA-B30F-B7B3521E5271}">
  <dimension ref="A1:Q39"/>
  <sheetViews>
    <sheetView workbookViewId="0">
      <selection activeCell="P1" sqref="P1:Q1"/>
    </sheetView>
  </sheetViews>
  <sheetFormatPr defaultRowHeight="14.4" x14ac:dyDescent="0.3"/>
  <cols>
    <col min="1" max="1" width="13.33203125" bestFit="1" customWidth="1"/>
    <col min="2" max="2" width="10.44140625" bestFit="1" customWidth="1"/>
    <col min="3" max="3" width="15.109375" bestFit="1" customWidth="1"/>
    <col min="4" max="5" width="15.44140625" bestFit="1" customWidth="1"/>
    <col min="6" max="6" width="14.33203125" bestFit="1" customWidth="1"/>
    <col min="7" max="7" width="16" bestFit="1" customWidth="1"/>
    <col min="8" max="8" width="18.33203125" bestFit="1" customWidth="1"/>
    <col min="9" max="9" width="21.44140625" bestFit="1" customWidth="1"/>
    <col min="10" max="10" width="23.109375" bestFit="1" customWidth="1"/>
    <col min="11" max="11" width="22" bestFit="1" customWidth="1"/>
    <col min="12" max="12" width="24.109375" bestFit="1" customWidth="1"/>
    <col min="13" max="13" width="19.88671875" bestFit="1" customWidth="1"/>
    <col min="14" max="14" width="8.33203125" bestFit="1" customWidth="1"/>
    <col min="16" max="16" width="51.88671875" bestFit="1" customWidth="1"/>
    <col min="17" max="17" width="16.33203125" customWidth="1"/>
  </cols>
  <sheetData>
    <row r="1" spans="1:17" x14ac:dyDescent="0.3">
      <c r="A1" t="s">
        <v>0</v>
      </c>
      <c r="B1" t="s">
        <v>1</v>
      </c>
      <c r="C1" t="s">
        <v>2</v>
      </c>
      <c r="D1" t="s">
        <v>3</v>
      </c>
      <c r="E1" t="s">
        <v>4</v>
      </c>
      <c r="F1" t="s">
        <v>5</v>
      </c>
      <c r="G1" t="s">
        <v>6</v>
      </c>
      <c r="H1" t="s">
        <v>7</v>
      </c>
      <c r="I1" t="s">
        <v>8</v>
      </c>
      <c r="J1" t="s">
        <v>9</v>
      </c>
      <c r="K1" t="s">
        <v>10</v>
      </c>
      <c r="L1" t="s">
        <v>11</v>
      </c>
      <c r="M1" t="s">
        <v>12</v>
      </c>
      <c r="N1" t="s">
        <v>13</v>
      </c>
      <c r="P1" s="111" t="s">
        <v>14</v>
      </c>
      <c r="Q1" s="111"/>
    </row>
    <row r="2" spans="1:17" x14ac:dyDescent="0.3">
      <c r="A2" t="s">
        <v>15</v>
      </c>
      <c r="B2" t="str">
        <f>VLOOKUP(A2,[9]WRDS!$A$1:$N$72,2,FALSE)</f>
        <v>UEP</v>
      </c>
      <c r="C2" t="str">
        <f>VLOOKUP(A2,[9]WRDS!$A$1:$N$72,3,FALSE)</f>
        <v>AMEREN</v>
      </c>
      <c r="D2">
        <f>VLOOKUP(A2,[9]WRDS!$A$1:$N$72,13,FALSE)</f>
        <v>2.56</v>
      </c>
      <c r="E2">
        <f>VLOOKUP(A2,[10]WRDS!$A$1:$N$54,13,FALSE)</f>
        <v>3.35</v>
      </c>
      <c r="F2" s="1">
        <f>D2*(1+I2)^4</f>
        <v>3.2748389133825588</v>
      </c>
      <c r="G2" s="1">
        <f>D2*(1+J2)^4</f>
        <v>3.2748389133825588</v>
      </c>
      <c r="H2" s="2">
        <f t="shared" ref="H2:H39" si="0">((E2/D2)^(1/4)-1)</f>
        <v>6.9550291528030606E-2</v>
      </c>
      <c r="I2" s="2">
        <f>(VLOOKUP(A2,[11]WRDS!$A$1:$O$45,10,FALSE))/100</f>
        <v>6.3500000000000001E-2</v>
      </c>
      <c r="J2" s="2">
        <f>(VLOOKUP(A2,[11]WRDS!$A$1:$O$45,9,FALSE))/100</f>
        <v>6.3500000000000001E-2</v>
      </c>
      <c r="K2" s="2">
        <f t="shared" ref="K2:K39" si="1">(I2-H2)/(ABS(H2))</f>
        <v>-8.6991605572094219E-2</v>
      </c>
      <c r="L2" s="2">
        <f t="shared" ref="L2:L39" si="2">(J2-H2)/(ABS(H2))</f>
        <v>-8.6991605572094219E-2</v>
      </c>
      <c r="M2">
        <f>VLOOKUP(A2,[11]WRDS!$A$1:$O$45,8,FALSE)</f>
        <v>2</v>
      </c>
      <c r="N2">
        <f>VLOOKUP(A2,[11]WRDS!$A$1:$O$45,11,FALSE)</f>
        <v>0.49</v>
      </c>
      <c r="P2" t="s">
        <v>16</v>
      </c>
      <c r="Q2" s="3">
        <f>AVERAGE(H2:H999)</f>
        <v>4.1751000792775161E-2</v>
      </c>
    </row>
    <row r="3" spans="1:17" x14ac:dyDescent="0.3">
      <c r="A3" t="s">
        <v>17</v>
      </c>
      <c r="B3" t="str">
        <f>VLOOKUP(A3,[9]WRDS!$A$1:$N$72,2,FALSE)</f>
        <v>MPL</v>
      </c>
      <c r="C3" t="str">
        <f>VLOOKUP(A3,[9]WRDS!$A$1:$N$72,3,FALSE)</f>
        <v>ALLETE INC</v>
      </c>
      <c r="D3">
        <f>VLOOKUP(A3,[9]WRDS!$A$1:$N$72,13,FALSE)</f>
        <v>3.06</v>
      </c>
      <c r="E3">
        <f>VLOOKUP(A3,[10]WRDS!$A$1:$N$54,13,FALSE)</f>
        <v>3.59</v>
      </c>
      <c r="F3" s="1">
        <f t="shared" ref="F3:F39" si="3">D3*(1+I3)^4</f>
        <v>3.7908034309124994</v>
      </c>
      <c r="G3" s="1">
        <f t="shared" ref="G3:G39" si="4">D3*(1+J3)^4</f>
        <v>3.7908034309124994</v>
      </c>
      <c r="H3" s="2">
        <f t="shared" si="0"/>
        <v>4.074241768619391E-2</v>
      </c>
      <c r="I3" s="2">
        <f>(VLOOKUP(A3,[11]WRDS!$A$1:$O$45,10,FALSE))/100</f>
        <v>5.5E-2</v>
      </c>
      <c r="J3" s="2">
        <f>(VLOOKUP(A3,[11]WRDS!$A$1:$O$45,9,FALSE))/100</f>
        <v>5.5E-2</v>
      </c>
      <c r="K3" s="2">
        <f t="shared" si="1"/>
        <v>0.34994443441282214</v>
      </c>
      <c r="L3" s="2">
        <f t="shared" si="2"/>
        <v>0.34994443441282214</v>
      </c>
      <c r="M3">
        <f>VLOOKUP(A3,[11]WRDS!$A$1:$O$45,8,FALSE)</f>
        <v>2</v>
      </c>
      <c r="N3">
        <f>VLOOKUP(A3,[11]WRDS!$A$1:$O$45,11,FALSE)</f>
        <v>0.71</v>
      </c>
      <c r="P3" t="s">
        <v>18</v>
      </c>
      <c r="Q3" s="3">
        <f>AVERAGE(I2:I999)</f>
        <v>4.5697368421052639E-2</v>
      </c>
    </row>
    <row r="4" spans="1:17" x14ac:dyDescent="0.3">
      <c r="A4" t="s">
        <v>19</v>
      </c>
      <c r="B4" t="str">
        <f>VLOOKUP(A4,[9]WRDS!$A$1:$N$72,2,FALSE)</f>
        <v>BHP</v>
      </c>
      <c r="C4" t="str">
        <f>VLOOKUP(A4,[9]WRDS!$A$1:$N$72,3,FALSE)</f>
        <v>BLACK HILLS CP</v>
      </c>
      <c r="D4">
        <f>VLOOKUP(A4,[9]WRDS!$A$1:$N$72,13,FALSE)</f>
        <v>2.98</v>
      </c>
      <c r="E4">
        <f>VLOOKUP(A4,[10]WRDS!$A$1:$N$54,13,FALSE)</f>
        <v>3.53</v>
      </c>
      <c r="F4" s="1">
        <f t="shared" si="3"/>
        <v>3.4169761244899264</v>
      </c>
      <c r="G4" s="1">
        <f t="shared" si="4"/>
        <v>3.4169761244899264</v>
      </c>
      <c r="H4" s="2">
        <f t="shared" si="0"/>
        <v>4.3252923313123581E-2</v>
      </c>
      <c r="I4" s="2">
        <f>(VLOOKUP(A4,[11]WRDS!$A$1:$O$45,10,FALSE))/100</f>
        <v>3.4799999999999998E-2</v>
      </c>
      <c r="J4" s="2">
        <f>(VLOOKUP(A4,[11]WRDS!$A$1:$O$45,9,FALSE))/100</f>
        <v>3.4799999999999998E-2</v>
      </c>
      <c r="K4" s="2">
        <f t="shared" si="1"/>
        <v>-0.19543010427133004</v>
      </c>
      <c r="L4" s="2">
        <f t="shared" si="2"/>
        <v>-0.19543010427133004</v>
      </c>
      <c r="M4">
        <f>VLOOKUP(A4,[11]WRDS!$A$1:$O$45,8,FALSE)</f>
        <v>1</v>
      </c>
      <c r="N4">
        <f>VLOOKUP(A4,[11]WRDS!$A$1:$O$45,11,FALSE)</f>
        <v>0</v>
      </c>
      <c r="P4" t="s">
        <v>20</v>
      </c>
      <c r="Q4" s="3">
        <f>(Q3-Q2)/ABS(Q2)</f>
        <v>9.4521509744513246E-2</v>
      </c>
    </row>
    <row r="5" spans="1:17" x14ac:dyDescent="0.3">
      <c r="A5" t="s">
        <v>21</v>
      </c>
      <c r="B5" t="str">
        <f>VLOOKUP(A5,[9]WRDS!$A$1:$N$72,2,FALSE)</f>
        <v>CMS</v>
      </c>
      <c r="C5" t="str">
        <f>VLOOKUP(A5,[9]WRDS!$A$1:$N$72,3,FALSE)</f>
        <v>CMS ENERGY</v>
      </c>
      <c r="D5">
        <f>VLOOKUP(A5,[9]WRDS!$A$1:$N$72,13,FALSE)</f>
        <v>1.89</v>
      </c>
      <c r="E5">
        <f>VLOOKUP(A5,[10]WRDS!$A$1:$N$54,13,FALSE)</f>
        <v>2.4900000000000002</v>
      </c>
      <c r="F5" s="1">
        <f t="shared" si="3"/>
        <v>2.451574359239491</v>
      </c>
      <c r="G5" s="1">
        <f t="shared" si="4"/>
        <v>2.449737113898689</v>
      </c>
      <c r="H5" s="2">
        <f t="shared" si="0"/>
        <v>7.1357429716594423E-2</v>
      </c>
      <c r="I5" s="2">
        <f>(VLOOKUP(A5,[11]WRDS!$A$1:$O$45,10,FALSE))/100</f>
        <v>6.7199999999999996E-2</v>
      </c>
      <c r="J5" s="2">
        <f>(VLOOKUP(A5,[11]WRDS!$A$1:$O$45,9,FALSE))/100</f>
        <v>6.7000000000000004E-2</v>
      </c>
      <c r="K5" s="2">
        <f t="shared" si="1"/>
        <v>-5.8262044094163919E-2</v>
      </c>
      <c r="L5" s="2">
        <f t="shared" si="2"/>
        <v>-6.1064835629597837E-2</v>
      </c>
      <c r="M5">
        <f>VLOOKUP(A5,[11]WRDS!$A$1:$O$45,8,FALSE)</f>
        <v>4</v>
      </c>
      <c r="N5">
        <f>VLOOKUP(A5,[11]WRDS!$A$1:$O$45,11,FALSE)</f>
        <v>0.21</v>
      </c>
      <c r="P5" t="s">
        <v>22</v>
      </c>
      <c r="Q5" s="3">
        <f>AVERAGE(J2:J999)</f>
        <v>4.5210526315789486E-2</v>
      </c>
    </row>
    <row r="6" spans="1:17" x14ac:dyDescent="0.3">
      <c r="A6" t="s">
        <v>23</v>
      </c>
      <c r="B6" t="str">
        <f>VLOOKUP(A6,[9]WRDS!$A$1:$N$72,2,FALSE)</f>
        <v>HOU</v>
      </c>
      <c r="C6" t="str">
        <f>VLOOKUP(A6,[9]WRDS!$A$1:$N$72,3,FALSE)</f>
        <v>CENTERPNT ENERGY</v>
      </c>
      <c r="D6">
        <f>VLOOKUP(A6,[9]WRDS!$A$1:$N$72,13,FALSE)</f>
        <v>1.1000000000000001</v>
      </c>
      <c r="E6">
        <f>VLOOKUP(A6,[10]WRDS!$A$1:$N$54,13,FALSE)</f>
        <v>1.79</v>
      </c>
      <c r="F6" s="1">
        <f t="shared" si="3"/>
        <v>1.1177058818816001</v>
      </c>
      <c r="G6" s="1">
        <f t="shared" si="4"/>
        <v>1.1221655506874995</v>
      </c>
      <c r="H6" s="2">
        <f t="shared" si="0"/>
        <v>0.12944499817504251</v>
      </c>
      <c r="I6" s="2">
        <f>(VLOOKUP(A6,[11]WRDS!$A$1:$O$45,10,FALSE))/100</f>
        <v>4.0000000000000001E-3</v>
      </c>
      <c r="J6" s="2">
        <f>(VLOOKUP(A6,[11]WRDS!$A$1:$O$45,9,FALSE))/100</f>
        <v>5.0000000000000001E-3</v>
      </c>
      <c r="K6" s="2">
        <f t="shared" si="1"/>
        <v>-0.9690988446336799</v>
      </c>
      <c r="L6" s="2">
        <f t="shared" si="2"/>
        <v>-0.96137355579209993</v>
      </c>
      <c r="M6">
        <f>VLOOKUP(A6,[11]WRDS!$A$1:$O$45,8,FALSE)</f>
        <v>3</v>
      </c>
      <c r="N6">
        <f>VLOOKUP(A6,[11]WRDS!$A$1:$O$45,11,FALSE)</f>
        <v>3.66</v>
      </c>
      <c r="P6" t="s">
        <v>24</v>
      </c>
      <c r="Q6" s="3">
        <f>(Q5-Q2)/ABS(Q2)</f>
        <v>8.2860900513143654E-2</v>
      </c>
    </row>
    <row r="7" spans="1:17" x14ac:dyDescent="0.3">
      <c r="A7" t="s">
        <v>25</v>
      </c>
      <c r="B7" t="str">
        <f>VLOOKUP(A7,[9]WRDS!$A$1:$N$72,2,FALSE)</f>
        <v>D</v>
      </c>
      <c r="C7" t="str">
        <f>VLOOKUP(A7,[9]WRDS!$A$1:$N$72,3,FALSE)</f>
        <v>DOMINION RESOURC</v>
      </c>
      <c r="D7">
        <f>VLOOKUP(A7,[9]WRDS!$A$1:$N$72,13,FALSE)</f>
        <v>3.44</v>
      </c>
      <c r="E7">
        <f>VLOOKUP(A7,[10]WRDS!$A$1:$N$54,13,FALSE)</f>
        <v>4.24</v>
      </c>
      <c r="F7" s="1">
        <f t="shared" si="3"/>
        <v>4.2422007803719435</v>
      </c>
      <c r="G7" s="1">
        <f t="shared" si="4"/>
        <v>4.3265555387618395</v>
      </c>
      <c r="H7" s="2">
        <f t="shared" si="0"/>
        <v>5.3663300100907918E-2</v>
      </c>
      <c r="I7" s="2">
        <f>(VLOOKUP(A7,[11]WRDS!$A$1:$O$45,10,FALSE))/100</f>
        <v>5.3800000000000001E-2</v>
      </c>
      <c r="J7" s="2">
        <f>(VLOOKUP(A7,[11]WRDS!$A$1:$O$45,9,FALSE))/100</f>
        <v>5.9000000000000004E-2</v>
      </c>
      <c r="K7" s="2">
        <f t="shared" si="1"/>
        <v>2.5473628873929387E-3</v>
      </c>
      <c r="L7" s="2">
        <f t="shared" si="2"/>
        <v>9.9447851493609421E-2</v>
      </c>
      <c r="M7">
        <f>VLOOKUP(A7,[11]WRDS!$A$1:$O$45,8,FALSE)</f>
        <v>5</v>
      </c>
      <c r="N7">
        <f>VLOOKUP(A7,[11]WRDS!$A$1:$O$45,11,FALSE)</f>
        <v>1.42</v>
      </c>
      <c r="P7" s="111" t="s">
        <v>26</v>
      </c>
      <c r="Q7" s="111"/>
    </row>
    <row r="8" spans="1:17" x14ac:dyDescent="0.3">
      <c r="A8" t="s">
        <v>27</v>
      </c>
      <c r="B8" t="str">
        <f>VLOOKUP(A8,[9]WRDS!$A$1:$N$72,2,FALSE)</f>
        <v>DTE</v>
      </c>
      <c r="C8" t="str">
        <f>VLOOKUP(A8,[9]WRDS!$A$1:$N$72,3,FALSE)</f>
        <v>DTE ENERGY</v>
      </c>
      <c r="D8">
        <f>VLOOKUP(A8,[9]WRDS!$A$1:$N$72,13,FALSE)</f>
        <v>4.82</v>
      </c>
      <c r="E8">
        <f>VLOOKUP(A8,[10]WRDS!$A$1:$N$54,13,FALSE)</f>
        <v>6.3</v>
      </c>
      <c r="F8" s="1">
        <f t="shared" si="3"/>
        <v>5.8565085428227581</v>
      </c>
      <c r="G8" s="1">
        <f t="shared" si="4"/>
        <v>5.7633563148151561</v>
      </c>
      <c r="H8" s="2">
        <f t="shared" si="0"/>
        <v>6.9235520537866524E-2</v>
      </c>
      <c r="I8" s="2">
        <f>(VLOOKUP(A8,[11]WRDS!$A$1:$O$45,10,FALSE))/100</f>
        <v>4.99E-2</v>
      </c>
      <c r="J8" s="2">
        <f>(VLOOKUP(A8,[11]WRDS!$A$1:$O$45,9,FALSE))/100</f>
        <v>4.5700000000000005E-2</v>
      </c>
      <c r="K8" s="2">
        <f t="shared" si="1"/>
        <v>-0.27927168580023132</v>
      </c>
      <c r="L8" s="2">
        <f t="shared" si="2"/>
        <v>-0.339934189199811</v>
      </c>
      <c r="M8">
        <f>VLOOKUP(A8,[11]WRDS!$A$1:$O$45,8,FALSE)</f>
        <v>5</v>
      </c>
      <c r="N8">
        <f>VLOOKUP(A8,[11]WRDS!$A$1:$O$45,11,FALSE)</f>
        <v>0.71</v>
      </c>
      <c r="P8" t="s">
        <v>28</v>
      </c>
      <c r="Q8" s="2">
        <f>MEDIAN(H2:H99)</f>
        <v>5.9770866443202286E-2</v>
      </c>
    </row>
    <row r="9" spans="1:17" x14ac:dyDescent="0.3">
      <c r="A9" t="s">
        <v>29</v>
      </c>
      <c r="B9" t="str">
        <f>VLOOKUP(A9,[9]WRDS!$A$1:$N$72,2,FALSE)</f>
        <v>DUK</v>
      </c>
      <c r="C9" t="str">
        <f>VLOOKUP(A9,[9]WRDS!$A$1:$N$72,3,FALSE)</f>
        <v>DUKE ENERGY</v>
      </c>
      <c r="D9">
        <f>VLOOKUP(A9,[9]WRDS!$A$1:$N$72,13,FALSE)</f>
        <v>4.54</v>
      </c>
      <c r="E9">
        <f>VLOOKUP(A9,[10]WRDS!$A$1:$N$54,13,FALSE)</f>
        <v>5.0599999999999996</v>
      </c>
      <c r="F9" s="1">
        <f t="shared" si="3"/>
        <v>5.1635996291694912</v>
      </c>
      <c r="G9" s="1">
        <f t="shared" si="4"/>
        <v>5.1296828373453387</v>
      </c>
      <c r="H9" s="2">
        <f t="shared" si="0"/>
        <v>2.7480683616487367E-2</v>
      </c>
      <c r="I9" s="2">
        <f>(VLOOKUP(A9,[11]WRDS!$A$1:$O$45,10,FALSE))/100</f>
        <v>3.27E-2</v>
      </c>
      <c r="J9" s="2">
        <f>(VLOOKUP(A9,[11]WRDS!$A$1:$O$45,9,FALSE))/100</f>
        <v>3.1E-2</v>
      </c>
      <c r="K9" s="2">
        <f t="shared" si="1"/>
        <v>0.18992673022083195</v>
      </c>
      <c r="L9" s="2">
        <f t="shared" si="2"/>
        <v>0.12806509592800583</v>
      </c>
      <c r="M9">
        <f>VLOOKUP(A9,[11]WRDS!$A$1:$O$45,8,FALSE)</f>
        <v>6</v>
      </c>
      <c r="N9">
        <f>VLOOKUP(A9,[11]WRDS!$A$1:$O$45,11,FALSE)</f>
        <v>1.46</v>
      </c>
      <c r="P9" t="s">
        <v>30</v>
      </c>
      <c r="Q9" s="2">
        <f>MEDIAN(I2:I100)</f>
        <v>4.8149999999999998E-2</v>
      </c>
    </row>
    <row r="10" spans="1:17" x14ac:dyDescent="0.3">
      <c r="A10" t="s">
        <v>31</v>
      </c>
      <c r="B10" t="str">
        <f>VLOOKUP(A10,[9]WRDS!$A$1:$N$72,2,FALSE)</f>
        <v>ED</v>
      </c>
      <c r="C10" t="str">
        <f>VLOOKUP(A10,[9]WRDS!$A$1:$N$72,3,FALSE)</f>
        <v>CONSOLIDATED EDI</v>
      </c>
      <c r="D10">
        <f>VLOOKUP(A10,[9]WRDS!$A$1:$N$72,13,FALSE)</f>
        <v>4.08</v>
      </c>
      <c r="E10">
        <f>VLOOKUP(A10,[10]WRDS!$A$1:$N$54,13,FALSE)</f>
        <v>4.38</v>
      </c>
      <c r="F10" s="1">
        <f t="shared" si="3"/>
        <v>4.5547403808307623</v>
      </c>
      <c r="G10" s="1">
        <f t="shared" si="4"/>
        <v>4.52115718478208</v>
      </c>
      <c r="H10" s="2">
        <f t="shared" si="0"/>
        <v>1.7896185444114199E-2</v>
      </c>
      <c r="I10" s="2">
        <f>(VLOOKUP(A10,[11]WRDS!$A$1:$O$45,10,FALSE))/100</f>
        <v>2.7900000000000001E-2</v>
      </c>
      <c r="J10" s="2">
        <f>(VLOOKUP(A10,[11]WRDS!$A$1:$O$45,9,FALSE))/100</f>
        <v>2.6000000000000002E-2</v>
      </c>
      <c r="K10" s="2">
        <f t="shared" si="1"/>
        <v>0.55899144469224948</v>
      </c>
      <c r="L10" s="2">
        <f t="shared" si="2"/>
        <v>0.45282356853041178</v>
      </c>
      <c r="M10">
        <f>VLOOKUP(A10,[11]WRDS!$A$1:$O$45,8,FALSE)</f>
        <v>6</v>
      </c>
      <c r="N10">
        <f>VLOOKUP(A10,[11]WRDS!$A$1:$O$45,11,FALSE)</f>
        <v>0.82</v>
      </c>
      <c r="P10" t="s">
        <v>32</v>
      </c>
      <c r="Q10" s="2">
        <f>(Q9-Q8)/ABS(Q8)</f>
        <v>-0.19442359019916675</v>
      </c>
    </row>
    <row r="11" spans="1:17" x14ac:dyDescent="0.3">
      <c r="A11" t="s">
        <v>33</v>
      </c>
      <c r="B11" t="str">
        <f>VLOOKUP(A11,[9]WRDS!$A$1:$N$72,2,FALSE)</f>
        <v>SCE</v>
      </c>
      <c r="C11" t="str">
        <f>VLOOKUP(A11,[9]WRDS!$A$1:$N$72,3,FALSE)</f>
        <v>EDISON INTL</v>
      </c>
      <c r="D11">
        <f>VLOOKUP(A11,[9]WRDS!$A$1:$N$72,13,FALSE)</f>
        <v>4.0999999999999996</v>
      </c>
      <c r="E11">
        <f>VLOOKUP(A11,[10]WRDS!$A$1:$N$54,13,FALSE)</f>
        <v>4.7</v>
      </c>
      <c r="F11" s="1">
        <f t="shared" si="3"/>
        <v>4.2026295386374972</v>
      </c>
      <c r="G11" s="1">
        <f t="shared" si="4"/>
        <v>4.1643351397801105</v>
      </c>
      <c r="H11" s="2">
        <f t="shared" si="0"/>
        <v>3.4733477352288711E-2</v>
      </c>
      <c r="I11" s="2">
        <f>(VLOOKUP(A11,[11]WRDS!$A$1:$O$45,10,FALSE))/100</f>
        <v>6.1999999999999998E-3</v>
      </c>
      <c r="J11" s="2">
        <f>(VLOOKUP(A11,[11]WRDS!$A$1:$O$45,9,FALSE))/100</f>
        <v>3.9000000000000003E-3</v>
      </c>
      <c r="K11" s="2">
        <f t="shared" si="1"/>
        <v>-0.82149786106597644</v>
      </c>
      <c r="L11" s="2">
        <f t="shared" si="2"/>
        <v>-0.88771639647698519</v>
      </c>
      <c r="M11">
        <f>VLOOKUP(A11,[11]WRDS!$A$1:$O$45,8,FALSE)</f>
        <v>4</v>
      </c>
      <c r="N11">
        <f>VLOOKUP(A11,[11]WRDS!$A$1:$O$45,11,FALSE)</f>
        <v>5.84</v>
      </c>
      <c r="P11" t="s">
        <v>34</v>
      </c>
      <c r="Q11" s="2">
        <f>MEDIAN(J2:J99)</f>
        <v>4.6950000000000006E-2</v>
      </c>
    </row>
    <row r="12" spans="1:17" x14ac:dyDescent="0.3">
      <c r="A12" t="s">
        <v>35</v>
      </c>
      <c r="B12" t="str">
        <f>VLOOKUP(A12,[9]WRDS!$A$1:$N$72,2,FALSE)</f>
        <v>PE</v>
      </c>
      <c r="C12" t="str">
        <f>VLOOKUP(A12,[9]WRDS!$A$1:$N$72,3,FALSE)</f>
        <v>EXELON</v>
      </c>
      <c r="D12">
        <f>VLOOKUP(A12,[9]WRDS!$A$1:$N$72,13,FALSE)</f>
        <v>2.4900000000000002</v>
      </c>
      <c r="E12">
        <f>VLOOKUP(A12,[10]WRDS!$A$1:$N$54,13,FALSE)</f>
        <v>3.22</v>
      </c>
      <c r="F12" s="1">
        <f t="shared" si="3"/>
        <v>2.8995266910876083</v>
      </c>
      <c r="G12" s="1">
        <f t="shared" si="4"/>
        <v>2.9129478144000007</v>
      </c>
      <c r="H12" s="2">
        <f t="shared" si="0"/>
        <v>6.6385254336046362E-2</v>
      </c>
      <c r="I12" s="2">
        <f>(VLOOKUP(A12,[11]WRDS!$A$1:$O$45,10,FALSE))/100</f>
        <v>3.8800000000000001E-2</v>
      </c>
      <c r="J12" s="2">
        <f>(VLOOKUP(A12,[11]WRDS!$A$1:$O$45,9,FALSE))/100</f>
        <v>0.04</v>
      </c>
      <c r="K12" s="2">
        <f t="shared" si="1"/>
        <v>-0.41553285608288937</v>
      </c>
      <c r="L12" s="2">
        <f t="shared" si="2"/>
        <v>-0.39745655266277258</v>
      </c>
      <c r="M12">
        <f>VLOOKUP(A12,[11]WRDS!$A$1:$O$45,8,FALSE)</f>
        <v>3</v>
      </c>
      <c r="N12">
        <f>VLOOKUP(A12,[11]WRDS!$A$1:$O$45,11,FALSE)</f>
        <v>0.41</v>
      </c>
      <c r="P12" t="s">
        <v>32</v>
      </c>
      <c r="Q12" s="2">
        <f>(Q11-Q8)/ABS(Q8)</f>
        <v>-0.21450026084840856</v>
      </c>
    </row>
    <row r="13" spans="1:17" x14ac:dyDescent="0.3">
      <c r="A13" t="s">
        <v>36</v>
      </c>
      <c r="B13" t="str">
        <f>VLOOKUP(A13,[9]WRDS!$A$1:$N$72,2,FALSE)</f>
        <v>HE</v>
      </c>
      <c r="C13" t="str">
        <f>VLOOKUP(A13,[9]WRDS!$A$1:$N$72,3,FALSE)</f>
        <v>HAWAIIAN ELEC</v>
      </c>
      <c r="D13">
        <f>VLOOKUP(A13,[9]WRDS!$A$1:$N$72,13,FALSE)</f>
        <v>1.65</v>
      </c>
      <c r="E13">
        <f>VLOOKUP(A13,[10]WRDS!$A$1:$N$54,13,FALSE)</f>
        <v>1.99</v>
      </c>
      <c r="F13" s="1">
        <f t="shared" si="3"/>
        <v>1.8715555989503998</v>
      </c>
      <c r="G13" s="1">
        <f t="shared" si="4"/>
        <v>1.8715555989503998</v>
      </c>
      <c r="H13" s="2">
        <f t="shared" si="0"/>
        <v>4.7954152896740876E-2</v>
      </c>
      <c r="I13" s="2">
        <f>(VLOOKUP(A13,[11]WRDS!$A$1:$O$45,10,FALSE))/100</f>
        <v>3.2000000000000001E-2</v>
      </c>
      <c r="J13" s="2">
        <f>(VLOOKUP(A13,[11]WRDS!$A$1:$O$45,9,FALSE))/100</f>
        <v>3.2000000000000001E-2</v>
      </c>
      <c r="K13" s="2">
        <f t="shared" si="1"/>
        <v>-0.33269595922369372</v>
      </c>
      <c r="L13" s="2">
        <f t="shared" si="2"/>
        <v>-0.33269595922369372</v>
      </c>
      <c r="M13">
        <f>VLOOKUP(A13,[11]WRDS!$A$1:$O$45,8,FALSE)</f>
        <v>2</v>
      </c>
      <c r="N13">
        <f>VLOOKUP(A13,[11]WRDS!$A$1:$O$45,11,FALSE)</f>
        <v>1.1299999999999999</v>
      </c>
      <c r="P13" s="111" t="s">
        <v>37</v>
      </c>
      <c r="Q13" s="111"/>
    </row>
    <row r="14" spans="1:17" x14ac:dyDescent="0.3">
      <c r="A14" t="s">
        <v>38</v>
      </c>
      <c r="B14" t="str">
        <f>VLOOKUP(A14,[9]WRDS!$A$1:$N$72,2,FALSE)</f>
        <v>IDA</v>
      </c>
      <c r="C14" t="str">
        <f>VLOOKUP(A14,[9]WRDS!$A$1:$N$72,3,FALSE)</f>
        <v>IDACORP INC.</v>
      </c>
      <c r="D14">
        <f>VLOOKUP(A14,[9]WRDS!$A$1:$N$72,13,FALSE)</f>
        <v>3.87</v>
      </c>
      <c r="E14">
        <f>VLOOKUP(A14,[10]WRDS!$A$1:$N$54,13,FALSE)</f>
        <v>4.6100000000000003</v>
      </c>
      <c r="F14" s="1">
        <f t="shared" si="3"/>
        <v>4.5273526272000009</v>
      </c>
      <c r="G14" s="1">
        <f t="shared" si="4"/>
        <v>4.5273526272000009</v>
      </c>
      <c r="H14" s="2">
        <f t="shared" si="0"/>
        <v>4.4714181512624185E-2</v>
      </c>
      <c r="I14" s="2">
        <f>(VLOOKUP(A14,[11]WRDS!$A$1:$O$45,10,FALSE))/100</f>
        <v>0.04</v>
      </c>
      <c r="J14" s="2">
        <f>(VLOOKUP(A14,[11]WRDS!$A$1:$O$45,9,FALSE))/100</f>
        <v>0.04</v>
      </c>
      <c r="K14" s="2">
        <f t="shared" si="1"/>
        <v>-0.10542922520662099</v>
      </c>
      <c r="L14" s="2">
        <f t="shared" si="2"/>
        <v>-0.10542922520662099</v>
      </c>
      <c r="M14">
        <f>VLOOKUP(A14,[11]WRDS!$A$1:$O$45,8,FALSE)</f>
        <v>1</v>
      </c>
      <c r="N14">
        <f>VLOOKUP(A14,[11]WRDS!$A$1:$O$45,11,FALSE)</f>
        <v>0</v>
      </c>
      <c r="P14" t="s">
        <v>39</v>
      </c>
      <c r="Q14" s="1">
        <f>AVERAGE(M2:M1002)</f>
        <v>2.8947368421052633</v>
      </c>
    </row>
    <row r="15" spans="1:17" x14ac:dyDescent="0.3">
      <c r="A15" t="s">
        <v>40</v>
      </c>
      <c r="B15" t="str">
        <f>VLOOKUP(A15,[9]WRDS!$A$1:$N$72,2,FALSE)</f>
        <v>WPL</v>
      </c>
      <c r="C15" t="str">
        <f>VLOOKUP(A15,[9]WRDS!$A$1:$N$72,3,FALSE)</f>
        <v>ALLIANT ENER</v>
      </c>
      <c r="D15">
        <f>VLOOKUP(A15,[9]WRDS!$A$1:$N$72,13,FALSE)</f>
        <v>1.7350000000000001</v>
      </c>
      <c r="E15">
        <f>VLOOKUP(A15,[10]WRDS!$A$1:$N$54,13,FALSE)</f>
        <v>2.33</v>
      </c>
      <c r="F15" s="1">
        <f t="shared" si="3"/>
        <v>2.1534382839685091</v>
      </c>
      <c r="G15" s="1">
        <f t="shared" si="4"/>
        <v>2.1534382839685091</v>
      </c>
      <c r="H15" s="2">
        <f t="shared" si="0"/>
        <v>7.6500189165197519E-2</v>
      </c>
      <c r="I15" s="2">
        <f>(VLOOKUP(A15,[11]WRDS!$A$1:$O$45,10,FALSE))/100</f>
        <v>5.5500000000000001E-2</v>
      </c>
      <c r="J15" s="2">
        <f>(VLOOKUP(A15,[11]WRDS!$A$1:$O$45,9,FALSE))/100</f>
        <v>5.5500000000000001E-2</v>
      </c>
      <c r="K15" s="2">
        <f t="shared" si="1"/>
        <v>-0.27451159787133184</v>
      </c>
      <c r="L15" s="2">
        <f t="shared" si="2"/>
        <v>-0.27451159787133184</v>
      </c>
      <c r="M15">
        <f>VLOOKUP(A15,[11]WRDS!$A$1:$O$45,8,FALSE)</f>
        <v>2</v>
      </c>
      <c r="N15">
        <f>VLOOKUP(A15,[11]WRDS!$A$1:$O$45,11,FALSE)</f>
        <v>0.64</v>
      </c>
      <c r="P15" t="s">
        <v>41</v>
      </c>
      <c r="Q15" s="1">
        <f>COUNT(N2:N1002)</f>
        <v>38</v>
      </c>
    </row>
    <row r="16" spans="1:17" x14ac:dyDescent="0.3">
      <c r="A16" t="s">
        <v>42</v>
      </c>
      <c r="B16" t="str">
        <f>VLOOKUP(A16,[9]WRDS!$A$1:$N$72,2,FALSE)</f>
        <v>FPL</v>
      </c>
      <c r="C16" t="str">
        <f>VLOOKUP(A16,[9]WRDS!$A$1:$N$72,3,FALSE)</f>
        <v>NEXTERA ENER</v>
      </c>
      <c r="D16">
        <f>VLOOKUP(A16,[9]WRDS!$A$1:$N$72,13,FALSE)</f>
        <v>1.4275</v>
      </c>
      <c r="E16">
        <f>VLOOKUP(A16,[10]WRDS!$A$1:$N$54,13,FALSE)</f>
        <v>2.0924999999999998</v>
      </c>
      <c r="F16" s="1">
        <f t="shared" si="3"/>
        <v>1.8795694302101611</v>
      </c>
      <c r="G16" s="1">
        <f t="shared" si="4"/>
        <v>1.8851905685094408</v>
      </c>
      <c r="H16" s="2">
        <f t="shared" si="0"/>
        <v>0.10032843796718693</v>
      </c>
      <c r="I16" s="2">
        <f>(VLOOKUP(A16,[11]WRDS!$A$1:$O$45,10,FALSE))/100</f>
        <v>7.1199999999999999E-2</v>
      </c>
      <c r="J16" s="2">
        <f>(VLOOKUP(A16,[11]WRDS!$A$1:$O$45,9,FALSE))/100</f>
        <v>7.2000000000000008E-2</v>
      </c>
      <c r="K16" s="2">
        <f t="shared" si="1"/>
        <v>-0.29033082301862989</v>
      </c>
      <c r="L16" s="2">
        <f t="shared" si="2"/>
        <v>-0.28235701204131103</v>
      </c>
      <c r="M16">
        <f>VLOOKUP(A16,[11]WRDS!$A$1:$O$45,8,FALSE)</f>
        <v>5</v>
      </c>
      <c r="N16">
        <f>VLOOKUP(A16,[11]WRDS!$A$1:$O$45,11,FALSE)</f>
        <v>0.22</v>
      </c>
    </row>
    <row r="17" spans="1:14" x14ac:dyDescent="0.3">
      <c r="A17" t="s">
        <v>43</v>
      </c>
      <c r="B17" t="str">
        <f>VLOOKUP(A17,[9]WRDS!$A$1:$N$72,2,FALSE)</f>
        <v>NWPS</v>
      </c>
      <c r="C17" t="str">
        <f>VLOOKUP(A17,[9]WRDS!$A$1:$N$72,3,FALSE)</f>
        <v>NORTHWESTERN US</v>
      </c>
      <c r="D17">
        <f>VLOOKUP(A17,[9]WRDS!$A$1:$N$72,13,FALSE)</f>
        <v>3.15</v>
      </c>
      <c r="E17">
        <f>VLOOKUP(A17,[10]WRDS!$A$1:$N$54,13,FALSE)</f>
        <v>3.42</v>
      </c>
      <c r="F17" s="1">
        <f t="shared" si="3"/>
        <v>4.0997579250301142</v>
      </c>
      <c r="G17" s="1">
        <f t="shared" si="4"/>
        <v>3.8288446874999997</v>
      </c>
      <c r="H17" s="2">
        <f t="shared" si="0"/>
        <v>2.0772327457722284E-2</v>
      </c>
      <c r="I17" s="2">
        <f>(VLOOKUP(A17,[11]WRDS!$A$1:$O$45,10,FALSE))/100</f>
        <v>6.8099999999999994E-2</v>
      </c>
      <c r="J17" s="2">
        <f>(VLOOKUP(A17,[11]WRDS!$A$1:$O$45,9,FALSE))/100</f>
        <v>0.05</v>
      </c>
      <c r="K17" s="2">
        <f t="shared" si="1"/>
        <v>2.2784000800393343</v>
      </c>
      <c r="L17" s="2">
        <f t="shared" si="2"/>
        <v>1.4070485169158111</v>
      </c>
      <c r="M17">
        <f>VLOOKUP(A17,[11]WRDS!$A$1:$O$45,8,FALSE)</f>
        <v>3</v>
      </c>
      <c r="N17">
        <f>VLOOKUP(A17,[11]WRDS!$A$1:$O$45,11,FALSE)</f>
        <v>3.13</v>
      </c>
    </row>
    <row r="18" spans="1:14" x14ac:dyDescent="0.3">
      <c r="A18" t="s">
        <v>44</v>
      </c>
      <c r="B18" t="str">
        <f>VLOOKUP(A18,[9]WRDS!$A$1:$N$72,2,FALSE)</f>
        <v>OGE</v>
      </c>
      <c r="C18" t="str">
        <f>VLOOKUP(A18,[9]WRDS!$A$1:$N$72,3,FALSE)</f>
        <v>OGE ENERGY CORP</v>
      </c>
      <c r="D18">
        <f>VLOOKUP(A18,[9]WRDS!$A$1:$N$72,13,FALSE)</f>
        <v>1.36</v>
      </c>
      <c r="E18">
        <f>VLOOKUP(A18,[10]WRDS!$A$1:$N$54,13,FALSE)</f>
        <v>2.16</v>
      </c>
      <c r="F18" s="1">
        <f t="shared" si="3"/>
        <v>1.481946351585574</v>
      </c>
      <c r="G18" s="1">
        <f t="shared" si="4"/>
        <v>1.4726851196541892</v>
      </c>
      <c r="H18" s="2">
        <f t="shared" si="0"/>
        <v>0.12260949382463759</v>
      </c>
      <c r="I18" s="2">
        <f>(VLOOKUP(A18,[11]WRDS!$A$1:$O$45,10,FALSE))/100</f>
        <v>2.1700000000000001E-2</v>
      </c>
      <c r="J18" s="2">
        <f>(VLOOKUP(A18,[11]WRDS!$A$1:$O$45,9,FALSE))/100</f>
        <v>2.0099999999999996E-2</v>
      </c>
      <c r="K18" s="2">
        <f t="shared" si="1"/>
        <v>-0.82301533655267789</v>
      </c>
      <c r="L18" s="2">
        <f t="shared" si="2"/>
        <v>-0.83606489699119024</v>
      </c>
      <c r="M18">
        <f>VLOOKUP(A18,[11]WRDS!$A$1:$O$45,8,FALSE)</f>
        <v>3</v>
      </c>
      <c r="N18">
        <f>VLOOKUP(A18,[11]WRDS!$A$1:$O$45,11,FALSE)</f>
        <v>1.76</v>
      </c>
    </row>
    <row r="19" spans="1:14" x14ac:dyDescent="0.3">
      <c r="A19" t="s">
        <v>45</v>
      </c>
      <c r="B19" t="str">
        <f>VLOOKUP(A19,[9]WRDS!$A$1:$N$72,2,FALSE)</f>
        <v>PCG</v>
      </c>
      <c r="C19" t="str">
        <f>VLOOKUP(A19,[9]WRDS!$A$1:$N$72,3,FALSE)</f>
        <v>PG&amp;E US</v>
      </c>
      <c r="D19">
        <f>VLOOKUP(A19,[9]WRDS!$A$1:$N$72,13,FALSE)</f>
        <v>3.12</v>
      </c>
      <c r="E19">
        <f>VLOOKUP(A19,[10]WRDS!$A$1:$N$54,13,FALSE)</f>
        <v>3.93</v>
      </c>
      <c r="F19" s="1">
        <f t="shared" si="3"/>
        <v>3.9092843852275201</v>
      </c>
      <c r="G19" s="1">
        <f t="shared" si="4"/>
        <v>4.0062427148017949</v>
      </c>
      <c r="H19" s="2">
        <f t="shared" si="0"/>
        <v>5.9398830302968442E-2</v>
      </c>
      <c r="I19" s="2">
        <f>(VLOOKUP(A19,[11]WRDS!$A$1:$O$45,10,FALSE))/100</f>
        <v>5.7999999999999996E-2</v>
      </c>
      <c r="J19" s="2">
        <f>(VLOOKUP(A19,[11]WRDS!$A$1:$O$45,9,FALSE))/100</f>
        <v>6.4500000000000002E-2</v>
      </c>
      <c r="K19" s="2">
        <f t="shared" si="1"/>
        <v>-2.3549795439297388E-2</v>
      </c>
      <c r="L19" s="2">
        <f t="shared" si="2"/>
        <v>8.5879968864919387E-2</v>
      </c>
      <c r="M19">
        <f>VLOOKUP(A19,[11]WRDS!$A$1:$O$45,8,FALSE)</f>
        <v>6</v>
      </c>
      <c r="N19">
        <f>VLOOKUP(A19,[11]WRDS!$A$1:$O$45,11,FALSE)</f>
        <v>3</v>
      </c>
    </row>
    <row r="20" spans="1:14" x14ac:dyDescent="0.3">
      <c r="A20" t="s">
        <v>46</v>
      </c>
      <c r="B20" t="str">
        <f>VLOOKUP(A20,[9]WRDS!$A$1:$N$72,2,FALSE)</f>
        <v>PEG</v>
      </c>
      <c r="C20" t="str">
        <f>VLOOKUP(A20,[9]WRDS!$A$1:$N$72,3,FALSE)</f>
        <v>PUBLIC SRVCE ENT</v>
      </c>
      <c r="D20">
        <f>VLOOKUP(A20,[9]WRDS!$A$1:$N$72,13,FALSE)</f>
        <v>2.91</v>
      </c>
      <c r="E20">
        <f>VLOOKUP(A20,[10]WRDS!$A$1:$N$54,13,FALSE)</f>
        <v>3.28</v>
      </c>
      <c r="F20" s="1">
        <f t="shared" si="3"/>
        <v>3.0739877786961958</v>
      </c>
      <c r="G20" s="1">
        <f t="shared" si="4"/>
        <v>3.1252452299601603</v>
      </c>
      <c r="H20" s="2">
        <f t="shared" si="0"/>
        <v>3.0374764715861868E-2</v>
      </c>
      <c r="I20" s="2">
        <f>(VLOOKUP(A20,[11]WRDS!$A$1:$O$45,10,FALSE))/100</f>
        <v>1.38E-2</v>
      </c>
      <c r="J20" s="2">
        <f>(VLOOKUP(A20,[11]WRDS!$A$1:$O$45,9,FALSE))/100</f>
        <v>1.8000000000000002E-2</v>
      </c>
      <c r="K20" s="2">
        <f t="shared" si="1"/>
        <v>-0.54567549315720087</v>
      </c>
      <c r="L20" s="2">
        <f t="shared" si="2"/>
        <v>-0.40740281716156623</v>
      </c>
      <c r="M20">
        <f>VLOOKUP(A20,[11]WRDS!$A$1:$O$45,8,FALSE)</f>
        <v>3</v>
      </c>
      <c r="N20">
        <f>VLOOKUP(A20,[11]WRDS!$A$1:$O$45,11,FALSE)</f>
        <v>0.81</v>
      </c>
    </row>
    <row r="21" spans="1:14" x14ac:dyDescent="0.3">
      <c r="A21" t="s">
        <v>47</v>
      </c>
      <c r="B21" t="str">
        <f>VLOOKUP(A21,[9]WRDS!$A$1:$N$72,2,FALSE)</f>
        <v>PNM</v>
      </c>
      <c r="C21" t="str">
        <f>VLOOKUP(A21,[9]WRDS!$A$1:$N$72,3,FALSE)</f>
        <v>PNM RESOURCES</v>
      </c>
      <c r="D21">
        <f>VLOOKUP(A21,[9]WRDS!$A$1:$N$72,13,FALSE)</f>
        <v>1.64</v>
      </c>
      <c r="E21">
        <f>VLOOKUP(A21,[10]WRDS!$A$1:$N$54,13,FALSE)</f>
        <v>2.16</v>
      </c>
      <c r="F21" s="1">
        <f t="shared" si="3"/>
        <v>2.3405854224496392</v>
      </c>
      <c r="G21" s="1">
        <f t="shared" si="4"/>
        <v>2.3405854224496392</v>
      </c>
      <c r="H21" s="2">
        <f t="shared" si="0"/>
        <v>7.127871420746934E-2</v>
      </c>
      <c r="I21" s="2">
        <f>(VLOOKUP(A21,[11]WRDS!$A$1:$O$45,10,FALSE))/100</f>
        <v>9.3000000000000013E-2</v>
      </c>
      <c r="J21" s="2">
        <f>(VLOOKUP(A21,[11]WRDS!$A$1:$O$45,9,FALSE))/100</f>
        <v>9.3000000000000013E-2</v>
      </c>
      <c r="K21" s="2">
        <f t="shared" si="1"/>
        <v>0.30473734036934247</v>
      </c>
      <c r="L21" s="2">
        <f t="shared" si="2"/>
        <v>0.30473734036934247</v>
      </c>
      <c r="M21">
        <f>VLOOKUP(A21,[11]WRDS!$A$1:$O$45,8,FALSE)</f>
        <v>1</v>
      </c>
      <c r="N21">
        <f>VLOOKUP(A21,[11]WRDS!$A$1:$O$45,11,FALSE)</f>
        <v>0</v>
      </c>
    </row>
    <row r="22" spans="1:14" x14ac:dyDescent="0.3">
      <c r="A22" t="s">
        <v>48</v>
      </c>
      <c r="B22" t="str">
        <f>VLOOKUP(A22,[9]WRDS!$A$1:$N$72,2,FALSE)</f>
        <v>AZP</v>
      </c>
      <c r="C22" t="str">
        <f>VLOOKUP(A22,[9]WRDS!$A$1:$N$72,3,FALSE)</f>
        <v>PINNACLE WEST</v>
      </c>
      <c r="D22">
        <f>VLOOKUP(A22,[9]WRDS!$A$1:$N$72,13,FALSE)</f>
        <v>3.92</v>
      </c>
      <c r="E22">
        <f>VLOOKUP(A22,[10]WRDS!$A$1:$N$54,13,FALSE)</f>
        <v>4.7699999999999996</v>
      </c>
      <c r="F22" s="1">
        <f t="shared" si="3"/>
        <v>4.7557152006422481</v>
      </c>
      <c r="G22" s="1">
        <f t="shared" si="4"/>
        <v>4.7738667647582451</v>
      </c>
      <c r="H22" s="2">
        <f t="shared" si="0"/>
        <v>5.0287212809650539E-2</v>
      </c>
      <c r="I22" s="2">
        <f>(VLOOKUP(A22,[11]WRDS!$A$1:$O$45,10,FALSE))/100</f>
        <v>4.9500000000000002E-2</v>
      </c>
      <c r="J22" s="2">
        <f>(VLOOKUP(A22,[11]WRDS!$A$1:$O$45,9,FALSE))/100</f>
        <v>5.0499999999999996E-2</v>
      </c>
      <c r="K22" s="2">
        <f t="shared" si="1"/>
        <v>-1.5654333689765834E-2</v>
      </c>
      <c r="L22" s="2">
        <f t="shared" si="2"/>
        <v>4.23143734680443E-3</v>
      </c>
      <c r="M22">
        <f>VLOOKUP(A22,[11]WRDS!$A$1:$O$45,8,FALSE)</f>
        <v>4</v>
      </c>
      <c r="N22">
        <f>VLOOKUP(A22,[11]WRDS!$A$1:$O$45,11,FALSE)</f>
        <v>0.73</v>
      </c>
    </row>
    <row r="23" spans="1:14" x14ac:dyDescent="0.3">
      <c r="A23" t="s">
        <v>49</v>
      </c>
      <c r="B23" t="str">
        <f>VLOOKUP(A23,[9]WRDS!$A$1:$N$72,2,FALSE)</f>
        <v>POM</v>
      </c>
      <c r="C23" t="str">
        <f>VLOOKUP(A23,[9]WRDS!$A$1:$N$72,3,FALSE)</f>
        <v>PEPCO HOLDINGS</v>
      </c>
      <c r="D23">
        <f>VLOOKUP(A23,[9]WRDS!$A$1:$N$72,13,FALSE)</f>
        <v>1.28</v>
      </c>
      <c r="E23">
        <f>VLOOKUP(A23,[10]WRDS!$A$1:$N$54,13,FALSE)</f>
        <v>1.76</v>
      </c>
      <c r="F23" s="1">
        <f t="shared" si="3"/>
        <v>1.5165153102854552</v>
      </c>
      <c r="G23" s="1">
        <f t="shared" si="4"/>
        <v>1.5165153102854552</v>
      </c>
      <c r="H23" s="2">
        <f t="shared" si="0"/>
        <v>8.2868385333996875E-2</v>
      </c>
      <c r="I23" s="2">
        <f>(VLOOKUP(A23,[11]WRDS!$A$1:$O$45,10,FALSE))/100</f>
        <v>4.3299999999999998E-2</v>
      </c>
      <c r="J23" s="2">
        <f>(VLOOKUP(A23,[11]WRDS!$A$1:$O$45,9,FALSE))/100</f>
        <v>4.3299999999999998E-2</v>
      </c>
      <c r="K23" s="2">
        <f t="shared" si="1"/>
        <v>-0.47748469062741455</v>
      </c>
      <c r="L23" s="2">
        <f t="shared" si="2"/>
        <v>-0.47748469062741455</v>
      </c>
      <c r="M23">
        <f>VLOOKUP(A23,[11]WRDS!$A$1:$O$45,8,FALSE)</f>
        <v>2</v>
      </c>
      <c r="N23">
        <f>VLOOKUP(A23,[11]WRDS!$A$1:$O$45,11,FALSE)</f>
        <v>5.19</v>
      </c>
    </row>
    <row r="24" spans="1:14" x14ac:dyDescent="0.3">
      <c r="A24" t="s">
        <v>50</v>
      </c>
      <c r="B24" t="str">
        <f>VLOOKUP(A24,[9]WRDS!$A$1:$N$72,2,FALSE)</f>
        <v>PORO</v>
      </c>
      <c r="C24" t="str">
        <f>VLOOKUP(A24,[9]WRDS!$A$1:$N$72,3,FALSE)</f>
        <v>PORTLAND GENERAL</v>
      </c>
      <c r="D24">
        <f>VLOOKUP(A24,[9]WRDS!$A$1:$N$72,13,FALSE)</f>
        <v>2.04</v>
      </c>
      <c r="E24">
        <f>VLOOKUP(A24,[10]WRDS!$A$1:$N$54,13,FALSE)</f>
        <v>2.39</v>
      </c>
      <c r="F24" s="1">
        <f t="shared" si="3"/>
        <v>2.3966242718910236</v>
      </c>
      <c r="G24" s="1">
        <f t="shared" si="4"/>
        <v>2.3500071793766404</v>
      </c>
      <c r="H24" s="2">
        <f t="shared" si="0"/>
        <v>4.0379852775691338E-2</v>
      </c>
      <c r="I24" s="2">
        <f>(VLOOKUP(A24,[11]WRDS!$A$1:$O$45,10,FALSE))/100</f>
        <v>4.1100000000000005E-2</v>
      </c>
      <c r="J24" s="2">
        <f>(VLOOKUP(A24,[11]WRDS!$A$1:$O$45,9,FALSE))/100</f>
        <v>3.6000000000000004E-2</v>
      </c>
      <c r="K24" s="2">
        <f t="shared" si="1"/>
        <v>1.7834320206887796E-2</v>
      </c>
      <c r="L24" s="2">
        <f t="shared" si="2"/>
        <v>-0.1084662888698793</v>
      </c>
      <c r="M24">
        <f>VLOOKUP(A24,[11]WRDS!$A$1:$O$45,8,FALSE)</f>
        <v>4</v>
      </c>
      <c r="N24">
        <f>VLOOKUP(A24,[11]WRDS!$A$1:$O$45,11,FALSE)</f>
        <v>1.27</v>
      </c>
    </row>
    <row r="25" spans="1:14" x14ac:dyDescent="0.3">
      <c r="A25" t="s">
        <v>51</v>
      </c>
      <c r="B25" t="str">
        <f>VLOOKUP(A25,[9]WRDS!$A$1:$N$72,2,FALSE)</f>
        <v>PPL</v>
      </c>
      <c r="C25" t="str">
        <f>VLOOKUP(A25,[9]WRDS!$A$1:$N$72,3,FALSE)</f>
        <v>PPL</v>
      </c>
      <c r="D25">
        <f>VLOOKUP(A25,[9]WRDS!$A$1:$N$72,13,FALSE)</f>
        <v>2.21</v>
      </c>
      <c r="E25">
        <f>VLOOKUP(A25,[10]WRDS!$A$1:$N$54,13,FALSE)</f>
        <v>2.4500000000000002</v>
      </c>
      <c r="F25" s="1">
        <f t="shared" si="3"/>
        <v>2.7067941733913607</v>
      </c>
      <c r="G25" s="1">
        <f t="shared" si="4"/>
        <v>2.76907643953616</v>
      </c>
      <c r="H25" s="2">
        <f t="shared" si="0"/>
        <v>2.6108895679852751E-2</v>
      </c>
      <c r="I25" s="2">
        <f>(VLOOKUP(A25,[11]WRDS!$A$1:$O$45,10,FALSE))/100</f>
        <v>5.2000000000000005E-2</v>
      </c>
      <c r="J25" s="2">
        <f>(VLOOKUP(A25,[11]WRDS!$A$1:$O$45,9,FALSE))/100</f>
        <v>5.7999999999999996E-2</v>
      </c>
      <c r="K25" s="2">
        <f t="shared" si="1"/>
        <v>0.99165834655069085</v>
      </c>
      <c r="L25" s="2">
        <f t="shared" si="2"/>
        <v>1.221465078845001</v>
      </c>
      <c r="M25">
        <f>VLOOKUP(A25,[11]WRDS!$A$1:$O$45,8,FALSE)</f>
        <v>3</v>
      </c>
      <c r="N25">
        <f>VLOOKUP(A25,[11]WRDS!$A$1:$O$45,11,FALSE)</f>
        <v>1.04</v>
      </c>
    </row>
    <row r="26" spans="1:14" x14ac:dyDescent="0.3">
      <c r="A26" t="s">
        <v>52</v>
      </c>
      <c r="B26" t="str">
        <f>VLOOKUP(A26,[9]WRDS!$A$1:$N$72,2,FALSE)</f>
        <v>SCG</v>
      </c>
      <c r="C26" t="str">
        <f>VLOOKUP(A26,[9]WRDS!$A$1:$N$72,3,FALSE)</f>
        <v>SCANA</v>
      </c>
      <c r="D26">
        <f>VLOOKUP(A26,[9]WRDS!$A$1:$N$72,13,FALSE)</f>
        <v>3.81</v>
      </c>
      <c r="E26">
        <f>VLOOKUP(A26,[10]WRDS!$A$1:$N$54,13,FALSE)</f>
        <v>0.253</v>
      </c>
      <c r="F26" s="1">
        <f t="shared" si="3"/>
        <v>4.5348064214411377</v>
      </c>
      <c r="G26" s="1">
        <f t="shared" si="4"/>
        <v>4.5348064214411377</v>
      </c>
      <c r="H26" s="2">
        <f t="shared" si="0"/>
        <v>-0.49236812258525653</v>
      </c>
      <c r="I26" s="2">
        <f>(VLOOKUP(A26,[11]WRDS!$A$1:$O$45,10,FALSE))/100</f>
        <v>4.4500000000000005E-2</v>
      </c>
      <c r="J26" s="2">
        <f>(VLOOKUP(A26,[11]WRDS!$A$1:$O$45,9,FALSE))/100</f>
        <v>4.4500000000000005E-2</v>
      </c>
      <c r="K26" s="2">
        <f t="shared" si="1"/>
        <v>1.0903795310028312</v>
      </c>
      <c r="L26" s="2">
        <f t="shared" si="2"/>
        <v>1.0903795310028312</v>
      </c>
      <c r="M26">
        <f>VLOOKUP(A26,[11]WRDS!$A$1:$O$45,8,FALSE)</f>
        <v>2</v>
      </c>
      <c r="N26">
        <f>VLOOKUP(A26,[11]WRDS!$A$1:$O$45,11,FALSE)</f>
        <v>2.19</v>
      </c>
    </row>
    <row r="27" spans="1:14" x14ac:dyDescent="0.3">
      <c r="A27" t="s">
        <v>53</v>
      </c>
      <c r="B27" t="str">
        <f>VLOOKUP(A27,[9]WRDS!$A$1:$N$72,2,FALSE)</f>
        <v>SO</v>
      </c>
      <c r="C27" t="str">
        <f>VLOOKUP(A27,[9]WRDS!$A$1:$N$72,3,FALSE)</f>
        <v>SOUTHERN CO</v>
      </c>
      <c r="D27">
        <f>VLOOKUP(A27,[9]WRDS!$A$1:$N$72,13,FALSE)</f>
        <v>2.89</v>
      </c>
      <c r="E27">
        <f>VLOOKUP(A27,[10]WRDS!$A$1:$N$54,13,FALSE)</f>
        <v>3.11</v>
      </c>
      <c r="F27" s="1">
        <f t="shared" si="3"/>
        <v>3.3459184702904485</v>
      </c>
      <c r="G27" s="1">
        <f t="shared" si="4"/>
        <v>3.3459184702904485</v>
      </c>
      <c r="H27" s="2">
        <f t="shared" si="0"/>
        <v>1.8510795476830877E-2</v>
      </c>
      <c r="I27" s="2">
        <f>(VLOOKUP(A27,[11]WRDS!$A$1:$O$45,10,FALSE))/100</f>
        <v>3.73E-2</v>
      </c>
      <c r="J27" s="2">
        <f>(VLOOKUP(A27,[11]WRDS!$A$1:$O$45,9,FALSE))/100</f>
        <v>3.73E-2</v>
      </c>
      <c r="K27" s="2">
        <f t="shared" si="1"/>
        <v>1.0150403609983547</v>
      </c>
      <c r="L27" s="2">
        <f t="shared" si="2"/>
        <v>1.0150403609983547</v>
      </c>
      <c r="M27">
        <f>VLOOKUP(A27,[11]WRDS!$A$1:$O$45,8,FALSE)</f>
        <v>6</v>
      </c>
      <c r="N27">
        <f>VLOOKUP(A27,[11]WRDS!$A$1:$O$45,11,FALSE)</f>
        <v>0.87</v>
      </c>
    </row>
    <row r="28" spans="1:14" x14ac:dyDescent="0.3">
      <c r="A28" t="s">
        <v>54</v>
      </c>
      <c r="B28" t="str">
        <f>VLOOKUP(A28,[9]WRDS!$A$1:$N$72,2,FALSE)</f>
        <v>SDO</v>
      </c>
      <c r="C28" t="str">
        <f>VLOOKUP(A28,[9]WRDS!$A$1:$N$72,3,FALSE)</f>
        <v>SEMPRA ENER</v>
      </c>
      <c r="D28">
        <f>VLOOKUP(A28,[9]WRDS!$A$1:$N$72,13,FALSE)</f>
        <v>5.21</v>
      </c>
      <c r="E28">
        <f>VLOOKUP(A28,[10]WRDS!$A$1:$N$54,13,FALSE)</f>
        <v>6.78</v>
      </c>
      <c r="F28" s="1">
        <f t="shared" si="3"/>
        <v>7.4492555431466743</v>
      </c>
      <c r="G28" s="1">
        <f t="shared" si="4"/>
        <v>7.4492555431466743</v>
      </c>
      <c r="H28" s="2">
        <f t="shared" si="0"/>
        <v>6.8065759861779096E-2</v>
      </c>
      <c r="I28" s="2">
        <f>(VLOOKUP(A28,[11]WRDS!$A$1:$O$45,10,FALSE))/100</f>
        <v>9.35E-2</v>
      </c>
      <c r="J28" s="2">
        <f>(VLOOKUP(A28,[11]WRDS!$A$1:$O$45,9,FALSE))/100</f>
        <v>9.35E-2</v>
      </c>
      <c r="K28" s="2">
        <f t="shared" si="1"/>
        <v>0.37367158156862024</v>
      </c>
      <c r="L28" s="2">
        <f t="shared" si="2"/>
        <v>0.37367158156862024</v>
      </c>
      <c r="M28">
        <f>VLOOKUP(A28,[11]WRDS!$A$1:$O$45,8,FALSE)</f>
        <v>2</v>
      </c>
      <c r="N28">
        <f>VLOOKUP(A28,[11]WRDS!$A$1:$O$45,11,FALSE)</f>
        <v>3.75</v>
      </c>
    </row>
    <row r="29" spans="1:14" x14ac:dyDescent="0.3">
      <c r="A29" t="s">
        <v>55</v>
      </c>
      <c r="B29" t="str">
        <f>VLOOKUP(A29,[9]WRDS!$A$1:$N$72,2,FALSE)</f>
        <v>WPC</v>
      </c>
      <c r="C29" t="str">
        <f>VLOOKUP(A29,[9]WRDS!$A$1:$N$72,3,FALSE)</f>
        <v>WEC ENERGY GROUP</v>
      </c>
      <c r="D29">
        <f>VLOOKUP(A29,[9]WRDS!$A$1:$N$72,13,FALSE)</f>
        <v>2.73</v>
      </c>
      <c r="E29">
        <f>VLOOKUP(A29,[10]WRDS!$A$1:$N$54,13,FALSE)</f>
        <v>3.58</v>
      </c>
      <c r="F29" s="1">
        <f t="shared" si="3"/>
        <v>3.65261842859567</v>
      </c>
      <c r="G29" s="1">
        <f t="shared" si="4"/>
        <v>3.5001964484858723</v>
      </c>
      <c r="H29" s="2">
        <f t="shared" si="0"/>
        <v>7.0114120868577601E-2</v>
      </c>
      <c r="I29" s="2">
        <f>(VLOOKUP(A29,[11]WRDS!$A$1:$O$45,10,FALSE))/100</f>
        <v>7.5499999999999998E-2</v>
      </c>
      <c r="J29" s="2">
        <f>(VLOOKUP(A29,[11]WRDS!$A$1:$O$45,9,FALSE))/100</f>
        <v>6.4100000000000004E-2</v>
      </c>
      <c r="K29" s="2">
        <f t="shared" si="1"/>
        <v>7.6815897635195723E-2</v>
      </c>
      <c r="L29" s="2">
        <f t="shared" si="2"/>
        <v>-8.5776171676608573E-2</v>
      </c>
      <c r="M29">
        <f>VLOOKUP(A29,[11]WRDS!$A$1:$O$45,8,FALSE)</f>
        <v>4</v>
      </c>
      <c r="N29">
        <f>VLOOKUP(A29,[11]WRDS!$A$1:$O$45,11,FALSE)</f>
        <v>2.58</v>
      </c>
    </row>
    <row r="30" spans="1:14" x14ac:dyDescent="0.3">
      <c r="A30" t="s">
        <v>56</v>
      </c>
      <c r="B30" t="str">
        <f>VLOOKUP(A30,[9]WRDS!$A$1:$N$72,2,FALSE)</f>
        <v>NSP</v>
      </c>
      <c r="C30" t="str">
        <f>VLOOKUP(A30,[9]WRDS!$A$1:$N$72,3,FALSE)</f>
        <v>XCEL ENERGY</v>
      </c>
      <c r="D30">
        <f>VLOOKUP(A30,[9]WRDS!$A$1:$N$72,13,FALSE)</f>
        <v>2.09</v>
      </c>
      <c r="E30">
        <f>VLOOKUP(A30,[10]WRDS!$A$1:$N$54,13,FALSE)</f>
        <v>2.64</v>
      </c>
      <c r="F30" s="1">
        <f t="shared" si="3"/>
        <v>2.509580562665648</v>
      </c>
      <c r="G30" s="1">
        <f t="shared" si="4"/>
        <v>2.5211078037094405</v>
      </c>
      <c r="H30" s="2">
        <f t="shared" si="0"/>
        <v>6.0142902583436131E-2</v>
      </c>
      <c r="I30" s="2">
        <f>(VLOOKUP(A30,[11]WRDS!$A$1:$O$45,10,FALSE))/100</f>
        <v>4.6799999999999994E-2</v>
      </c>
      <c r="J30" s="2">
        <f>(VLOOKUP(A30,[11]WRDS!$A$1:$O$45,9,FALSE))/100</f>
        <v>4.8000000000000001E-2</v>
      </c>
      <c r="K30" s="2">
        <f t="shared" si="1"/>
        <v>-0.22185331951555803</v>
      </c>
      <c r="L30" s="2">
        <f t="shared" si="2"/>
        <v>-0.20190084052877735</v>
      </c>
      <c r="M30">
        <f>VLOOKUP(A30,[11]WRDS!$A$1:$O$45,8,FALSE)</f>
        <v>3</v>
      </c>
      <c r="N30">
        <f>VLOOKUP(A30,[11]WRDS!$A$1:$O$45,11,FALSE)</f>
        <v>0.39</v>
      </c>
    </row>
    <row r="31" spans="1:14" x14ac:dyDescent="0.3">
      <c r="A31" s="22" t="s">
        <v>132</v>
      </c>
      <c r="B31" t="str">
        <f>VLOOKUP(A31,'[5]Ticker List'!$H$4:$I$20,2,FALSE)</f>
        <v>EGAS</v>
      </c>
      <c r="C31" t="str">
        <f>VLOOKUP(A31,[12]WRDS!$B$1:$N$10,2,FALSE)</f>
        <v>ATMOS ENERGY CP</v>
      </c>
      <c r="D31">
        <f>VLOOKUP(A31,[13]WRDS!$B$1:$N$13,12,FALSE)</f>
        <v>3.37</v>
      </c>
      <c r="E31">
        <f>VLOOKUP(A31,[12]WRDS!$B$1:$N$10,12,FALSE)</f>
        <v>4.72</v>
      </c>
      <c r="F31" s="1">
        <f t="shared" si="3"/>
        <v>4.4173825537000004</v>
      </c>
      <c r="G31" s="1">
        <f t="shared" si="4"/>
        <v>4.4173825537000004</v>
      </c>
      <c r="H31" s="2">
        <f t="shared" si="0"/>
        <v>8.7872564991179347E-2</v>
      </c>
      <c r="I31" s="2">
        <f>VLOOKUP(A31,[14]sw0y55iec9n1hizi!$B$1:$N$15,9,FALSE)/100</f>
        <v>7.0000000000000007E-2</v>
      </c>
      <c r="J31" s="2">
        <f>VLOOKUP(A31,[14]sw0y55iec9n1hizi!$B$1:$N$15,8,FALSE)/100</f>
        <v>7.0000000000000007E-2</v>
      </c>
      <c r="K31" s="2">
        <f t="shared" si="1"/>
        <v>-0.20339186631200978</v>
      </c>
      <c r="L31" s="2">
        <f t="shared" si="2"/>
        <v>-0.20339186631200978</v>
      </c>
      <c r="M31">
        <f>VLOOKUP(A31,[14]sw0y55iec9n1hizi!$B$1:$N$15,7,FALSE)</f>
        <v>1</v>
      </c>
      <c r="N31">
        <f>VLOOKUP(A31,[14]sw0y55iec9n1hizi!$B$1:$N$15,10,FALSE)</f>
        <v>0</v>
      </c>
    </row>
    <row r="32" spans="1:14" x14ac:dyDescent="0.3">
      <c r="A32" s="22" t="s">
        <v>133</v>
      </c>
      <c r="B32" t="str">
        <f>VLOOKUP(A32,'[5]Ticker List'!$H$4:$I$20,2,FALSE)</f>
        <v>CHPK</v>
      </c>
      <c r="C32" t="str">
        <f>VLOOKUP(A32,[12]WRDS!$B$1:$N$10,2,FALSE)</f>
        <v>CHESAPEAKE US</v>
      </c>
      <c r="D32">
        <f>VLOOKUP(A32,[13]WRDS!$B$1:$N$13,12,FALSE)</f>
        <v>2.9</v>
      </c>
      <c r="E32">
        <f>VLOOKUP(A32,[12]WRDS!$B$1:$N$10,12,FALSE)</f>
        <v>3.9</v>
      </c>
      <c r="F32" s="1">
        <f t="shared" si="3"/>
        <v>3.524968125</v>
      </c>
      <c r="G32" s="1">
        <f t="shared" si="4"/>
        <v>3.524968125</v>
      </c>
      <c r="H32" s="2">
        <f t="shared" si="0"/>
        <v>7.6878366031931433E-2</v>
      </c>
      <c r="I32" s="2">
        <f>VLOOKUP(A32,[14]sw0y55iec9n1hizi!$B$1:$N$15,9,FALSE)/100</f>
        <v>0.05</v>
      </c>
      <c r="J32" s="2">
        <f>VLOOKUP(A32,[14]sw0y55iec9n1hizi!$B$1:$N$15,8,FALSE)/100</f>
        <v>0.05</v>
      </c>
      <c r="K32" s="2">
        <f t="shared" si="1"/>
        <v>-0.34962197324495031</v>
      </c>
      <c r="L32" s="2">
        <f t="shared" si="2"/>
        <v>-0.34962197324495031</v>
      </c>
      <c r="M32">
        <f>VLOOKUP(A32,[14]sw0y55iec9n1hizi!$B$1:$N$15,7,FALSE)</f>
        <v>1</v>
      </c>
      <c r="N32">
        <f>VLOOKUP(A32,[14]sw0y55iec9n1hizi!$B$1:$N$15,10,FALSE)</f>
        <v>0</v>
      </c>
    </row>
    <row r="33" spans="1:14" x14ac:dyDescent="0.3">
      <c r="A33" s="22" t="s">
        <v>134</v>
      </c>
      <c r="B33" t="str">
        <f>VLOOKUP(A33,'[5]Ticker List'!$H$4:$I$20,2,FALSE)</f>
        <v>NJR</v>
      </c>
      <c r="C33" t="str">
        <f>VLOOKUP(A33,[12]WRDS!$B$1:$N$10,2,FALSE)</f>
        <v>NEW JERSEY RES</v>
      </c>
      <c r="D33">
        <f>VLOOKUP(A33,[13]WRDS!$B$1:$N$13,12,FALSE)</f>
        <v>1.61</v>
      </c>
      <c r="E33">
        <f>VLOOKUP(A33,[12]WRDS!$B$1:$N$10,12,FALSE)</f>
        <v>2.0699999999999998</v>
      </c>
      <c r="F33" s="1">
        <f t="shared" si="3"/>
        <v>2.0325879056000007</v>
      </c>
      <c r="G33" s="1">
        <f t="shared" si="4"/>
        <v>2.0325879056000007</v>
      </c>
      <c r="H33" s="2">
        <f t="shared" si="0"/>
        <v>6.4844316803015944E-2</v>
      </c>
      <c r="I33" s="2">
        <f>VLOOKUP(A33,[14]sw0y55iec9n1hizi!$B$1:$N$15,9,FALSE)/100</f>
        <v>0.06</v>
      </c>
      <c r="J33" s="2">
        <f>VLOOKUP(A33,[14]sw0y55iec9n1hizi!$B$1:$N$15,8,FALSE)/100</f>
        <v>0.06</v>
      </c>
      <c r="K33" s="2">
        <f t="shared" si="1"/>
        <v>-7.4706883222041054E-2</v>
      </c>
      <c r="L33" s="2">
        <f t="shared" si="2"/>
        <v>-7.4706883222041054E-2</v>
      </c>
      <c r="M33">
        <f>VLOOKUP(A33,[14]sw0y55iec9n1hizi!$B$1:$N$15,7,FALSE)</f>
        <v>1</v>
      </c>
      <c r="N33">
        <f>VLOOKUP(A33,[14]sw0y55iec9n1hizi!$B$1:$N$15,10,FALSE)</f>
        <v>0</v>
      </c>
    </row>
    <row r="34" spans="1:14" x14ac:dyDescent="0.3">
      <c r="A34" s="22" t="s">
        <v>135</v>
      </c>
      <c r="B34" t="str">
        <f>VLOOKUP(A34,'[5]Ticker List'!$H$4:$I$20,2,FALSE)</f>
        <v>NI</v>
      </c>
      <c r="C34" t="str">
        <f>VLOOKUP(A34,[12]WRDS!$B$1:$N$10,2,FALSE)</f>
        <v>NISOURCE</v>
      </c>
      <c r="D34">
        <f>VLOOKUP(A34,[13]WRDS!$B$1:$N$13,12,FALSE)</f>
        <v>0.94</v>
      </c>
      <c r="E34">
        <f>VLOOKUP(A34,[12]WRDS!$B$1:$N$10,12,FALSE)</f>
        <v>1.32</v>
      </c>
      <c r="F34" s="1">
        <f t="shared" si="3"/>
        <v>0.73671875787143426</v>
      </c>
      <c r="G34" s="1">
        <f t="shared" si="4"/>
        <v>0.73671875787143426</v>
      </c>
      <c r="H34" s="2">
        <f t="shared" si="0"/>
        <v>8.8582928775200465E-2</v>
      </c>
      <c r="I34" s="2">
        <f>VLOOKUP(A34,[14]sw0y55iec9n1hizi!$B$1:$N$15,9,FALSE)/100</f>
        <v>-5.91E-2</v>
      </c>
      <c r="J34" s="2">
        <f>VLOOKUP(A34,[14]sw0y55iec9n1hizi!$B$1:$N$15,8,FALSE)/100</f>
        <v>-5.91E-2</v>
      </c>
      <c r="K34" s="2">
        <f t="shared" si="1"/>
        <v>-1.6671714383025178</v>
      </c>
      <c r="L34" s="2">
        <f t="shared" si="2"/>
        <v>-1.6671714383025178</v>
      </c>
      <c r="M34">
        <f>VLOOKUP(A34,[14]sw0y55iec9n1hizi!$B$1:$N$15,7,FALSE)</f>
        <v>2</v>
      </c>
      <c r="N34">
        <f>VLOOKUP(A34,[14]sw0y55iec9n1hizi!$B$1:$N$15,10,FALSE)</f>
        <v>9.89</v>
      </c>
    </row>
    <row r="35" spans="1:14" x14ac:dyDescent="0.3">
      <c r="A35" s="22" t="s">
        <v>136</v>
      </c>
      <c r="B35" t="str">
        <f>VLOOKUP(A35,'[5]Ticker List'!$H$4:$I$20,2,FALSE)</f>
        <v>NWNG</v>
      </c>
      <c r="C35" t="str">
        <f>VLOOKUP(A35,[12]WRDS!$B$1:$N$10,2,FALSE)</f>
        <v>NORTHWEST NATRL</v>
      </c>
      <c r="D35">
        <f>VLOOKUP(A35,[13]WRDS!$B$1:$N$13,12,FALSE)</f>
        <v>2.37</v>
      </c>
      <c r="E35">
        <f>VLOOKUP(A35,[12]WRDS!$B$1:$N$10,12,FALSE)</f>
        <v>2.29</v>
      </c>
      <c r="F35" s="1">
        <f t="shared" si="3"/>
        <v>2.7725647872000008</v>
      </c>
      <c r="G35" s="1">
        <f t="shared" si="4"/>
        <v>2.7725647872000008</v>
      </c>
      <c r="H35" s="2">
        <f t="shared" si="0"/>
        <v>-8.5477924923775817E-3</v>
      </c>
      <c r="I35" s="2">
        <f>VLOOKUP(A35,[14]sw0y55iec9n1hizi!$B$1:$N$15,9,FALSE)/100</f>
        <v>0.04</v>
      </c>
      <c r="J35" s="2">
        <f>VLOOKUP(A35,[14]sw0y55iec9n1hizi!$B$1:$N$15,8,FALSE)/100</f>
        <v>0.04</v>
      </c>
      <c r="K35" s="2">
        <f t="shared" si="1"/>
        <v>5.6795707822422745</v>
      </c>
      <c r="L35" s="2">
        <f t="shared" si="2"/>
        <v>5.6795707822422745</v>
      </c>
      <c r="M35">
        <f>VLOOKUP(A35,[14]sw0y55iec9n1hizi!$B$1:$N$15,7,FALSE)</f>
        <v>1</v>
      </c>
      <c r="N35">
        <f>VLOOKUP(A35,[14]sw0y55iec9n1hizi!$B$1:$N$15,10,FALSE)</f>
        <v>0</v>
      </c>
    </row>
    <row r="36" spans="1:14" x14ac:dyDescent="0.3">
      <c r="A36" s="22" t="s">
        <v>137</v>
      </c>
      <c r="B36" t="str">
        <f>VLOOKUP(A36,'[5]Ticker List'!$H$4:$I$20,2,FALSE)</f>
        <v>OGSW</v>
      </c>
      <c r="C36" t="str">
        <f>VLOOKUP(A36,[12]WRDS!$B$1:$N$10,2,FALSE)</f>
        <v>ONE GAS INC</v>
      </c>
      <c r="D36">
        <f>VLOOKUP(A36,[13]WRDS!$B$1:$N$13,12,FALSE)</f>
        <v>2.2400000000000002</v>
      </c>
      <c r="E36">
        <f>VLOOKUP(A36,[12]WRDS!$B$1:$N$10,12,FALSE)</f>
        <v>3.51</v>
      </c>
      <c r="F36" s="1">
        <f t="shared" si="3"/>
        <v>2.7227340000000004</v>
      </c>
      <c r="G36" s="1">
        <f t="shared" si="4"/>
        <v>2.7227340000000004</v>
      </c>
      <c r="H36" s="2">
        <f t="shared" si="0"/>
        <v>0.11883173024115656</v>
      </c>
      <c r="I36" s="2">
        <f>VLOOKUP(A36,[14]sw0y55iec9n1hizi!$B$1:$N$15,9,FALSE)/100</f>
        <v>0.05</v>
      </c>
      <c r="J36" s="2">
        <f>VLOOKUP(A36,[14]sw0y55iec9n1hizi!$B$1:$N$15,8,FALSE)/100</f>
        <v>0.05</v>
      </c>
      <c r="K36" s="2">
        <f t="shared" si="1"/>
        <v>-0.57923696054471108</v>
      </c>
      <c r="L36" s="2">
        <f t="shared" si="2"/>
        <v>-0.57923696054471108</v>
      </c>
      <c r="M36">
        <f>VLOOKUP(A36,[14]sw0y55iec9n1hizi!$B$1:$N$15,7,FALSE)</f>
        <v>1</v>
      </c>
      <c r="N36">
        <f>VLOOKUP(A36,[14]sw0y55iec9n1hizi!$B$1:$N$15,10,FALSE)</f>
        <v>0</v>
      </c>
    </row>
    <row r="37" spans="1:14" x14ac:dyDescent="0.3">
      <c r="A37" s="22" t="s">
        <v>138</v>
      </c>
      <c r="B37" t="str">
        <f>VLOOKUP(A37,'[5]Ticker List'!$H$4:$I$20,2,FALSE)</f>
        <v>SJI</v>
      </c>
      <c r="C37" t="str">
        <f>VLOOKUP(A37,[12]WRDS!$B$1:$N$10,2,FALSE)</f>
        <v>SO JERSEY INDS</v>
      </c>
      <c r="D37">
        <f>VLOOKUP(A37,[13]WRDS!$B$1:$N$13,12,FALSE)</f>
        <v>1.44</v>
      </c>
      <c r="E37">
        <f>VLOOKUP(A37,[12]WRDS!$B$1:$N$10,12,FALSE)</f>
        <v>1.1200000000000001</v>
      </c>
      <c r="F37" s="1">
        <f t="shared" si="3"/>
        <v>1.8875462543999999</v>
      </c>
      <c r="G37" s="1">
        <f t="shared" si="4"/>
        <v>1.8875462543999999</v>
      </c>
      <c r="H37" s="2">
        <f t="shared" si="0"/>
        <v>-6.0895584246247414E-2</v>
      </c>
      <c r="I37" s="2">
        <f>VLOOKUP(A37,[14]sw0y55iec9n1hizi!$B$1:$N$15,9,FALSE)/100</f>
        <v>7.0000000000000007E-2</v>
      </c>
      <c r="J37" s="2">
        <f>VLOOKUP(A37,[14]sw0y55iec9n1hizi!$B$1:$N$15,8,FALSE)/100</f>
        <v>7.0000000000000007E-2</v>
      </c>
      <c r="K37" s="2">
        <f t="shared" si="1"/>
        <v>2.1495086362409541</v>
      </c>
      <c r="L37" s="2">
        <f t="shared" si="2"/>
        <v>2.1495086362409541</v>
      </c>
      <c r="M37">
        <f>VLOOKUP(A37,[14]sw0y55iec9n1hizi!$B$1:$N$15,7,FALSE)</f>
        <v>1</v>
      </c>
      <c r="N37">
        <f>VLOOKUP(A37,[14]sw0y55iec9n1hizi!$B$1:$N$15,10,FALSE)</f>
        <v>0</v>
      </c>
    </row>
    <row r="38" spans="1:14" x14ac:dyDescent="0.3">
      <c r="A38" s="22" t="s">
        <v>139</v>
      </c>
      <c r="B38" t="str">
        <f>VLOOKUP(A38,'[5]Ticker List'!$H$4:$I$20,2,FALSE)</f>
        <v>SWX</v>
      </c>
      <c r="C38" t="str">
        <f>VLOOKUP(A38,[12]WRDS!$B$1:$N$10,2,FALSE)</f>
        <v>SOUTHWEST HOLDG</v>
      </c>
      <c r="D38">
        <f>VLOOKUP(A38,[13]WRDS!$B$1:$N$13,12,FALSE)</f>
        <v>2.97</v>
      </c>
      <c r="E38">
        <f>VLOOKUP(A38,[12]WRDS!$B$1:$N$10,12,FALSE)</f>
        <v>3.94</v>
      </c>
      <c r="F38" s="1">
        <f t="shared" si="3"/>
        <v>3.474479923200001</v>
      </c>
      <c r="G38" s="1">
        <f t="shared" si="4"/>
        <v>3.474479923200001</v>
      </c>
      <c r="H38" s="2">
        <f t="shared" si="0"/>
        <v>7.3210574350158986E-2</v>
      </c>
      <c r="I38" s="2">
        <f>VLOOKUP(A38,[14]sw0y55iec9n1hizi!$B$1:$N$15,9,FALSE)/100</f>
        <v>0.04</v>
      </c>
      <c r="J38" s="2">
        <f>VLOOKUP(A38,[14]sw0y55iec9n1hizi!$B$1:$N$15,8,FALSE)/100</f>
        <v>0.04</v>
      </c>
      <c r="K38" s="2">
        <f t="shared" si="1"/>
        <v>-0.45363084014770966</v>
      </c>
      <c r="L38" s="2">
        <f t="shared" si="2"/>
        <v>-0.45363084014770966</v>
      </c>
      <c r="M38">
        <f>VLOOKUP(A38,[14]sw0y55iec9n1hizi!$B$1:$N$15,7,FALSE)</f>
        <v>1</v>
      </c>
      <c r="N38">
        <f>VLOOKUP(A38,[14]sw0y55iec9n1hizi!$B$1:$N$15,10,FALSE)</f>
        <v>0</v>
      </c>
    </row>
    <row r="39" spans="1:14" x14ac:dyDescent="0.3">
      <c r="A39" s="22" t="s">
        <v>140</v>
      </c>
      <c r="B39" t="str">
        <f>VLOOKUP(A39,'[5]Ticker List'!$H$4:$I$20,2,FALSE)</f>
        <v>LG</v>
      </c>
      <c r="C39" t="str">
        <f>VLOOKUP(A39,[12]WRDS!$B$1:$N$10,2,FALSE)</f>
        <v>SPIRE INC</v>
      </c>
      <c r="D39">
        <v>3.42</v>
      </c>
      <c r="E39">
        <f>VLOOKUP(A39,[12]WRDS!$B$1:$N$10,12,FALSE)</f>
        <v>3.76</v>
      </c>
      <c r="F39" s="1">
        <f t="shared" si="3"/>
        <v>4.0784136141374985</v>
      </c>
      <c r="G39" s="1">
        <f t="shared" si="4"/>
        <v>4.0924818126581659</v>
      </c>
      <c r="H39" s="2">
        <f t="shared" si="0"/>
        <v>2.3977549009774668E-2</v>
      </c>
      <c r="I39" s="2">
        <v>4.4999999999999998E-2</v>
      </c>
      <c r="J39" s="2">
        <v>4.5900000000000003E-2</v>
      </c>
      <c r="K39" s="2">
        <f t="shared" si="1"/>
        <v>0.87675562592554124</v>
      </c>
      <c r="L39" s="2">
        <f t="shared" si="2"/>
        <v>0.91429073844405229</v>
      </c>
      <c r="M39">
        <v>4</v>
      </c>
      <c r="N39">
        <v>0.96</v>
      </c>
    </row>
  </sheetData>
  <mergeCells count="3">
    <mergeCell ref="P1:Q1"/>
    <mergeCell ref="P7:Q7"/>
    <mergeCell ref="P13:Q13"/>
  </mergeCells>
  <pageMargins left="0.7" right="0.7" top="0.75" bottom="0.75" header="0.3" footer="0.3"/>
  <pageSetup orientation="portrait" horizontalDpi="1200" verticalDpi="120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A0C5B27E5DFE5A42B5D94F605CB10C32" ma:contentTypeVersion="20" ma:contentTypeDescription="" ma:contentTypeScope="" ma:versionID="2d0ba2bbe5fb35c2c0d9d989231395c8">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2022-01-31T08:00:00+00:00</OpenedDate>
    <SignificantOrder xmlns="dc463f71-b30c-4ab2-9473-d307f9d35888">false</SignificantOrder>
    <Date1 xmlns="dc463f71-b30c-4ab2-9473-d307f9d35888">2022-08-04T07:00:00+00:00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220066</DocketNumber>
    <DelegatedOrder xmlns="dc463f71-b30c-4ab2-9473-d307f9d35888">false</DelegatedOrder>
  </documentManagement>
</p:properties>
</file>

<file path=customXml/itemProps1.xml><?xml version="1.0" encoding="utf-8"?>
<ds:datastoreItem xmlns:ds="http://schemas.openxmlformats.org/officeDocument/2006/customXml" ds:itemID="{9E0B3562-BFA4-4202-A381-FDA61F727DDA}"/>
</file>

<file path=customXml/itemProps2.xml><?xml version="1.0" encoding="utf-8"?>
<ds:datastoreItem xmlns:ds="http://schemas.openxmlformats.org/officeDocument/2006/customXml" ds:itemID="{3DDE03EB-9A3A-42B1-9AD8-FD6BF3B52817}"/>
</file>

<file path=customXml/itemProps3.xml><?xml version="1.0" encoding="utf-8"?>
<ds:datastoreItem xmlns:ds="http://schemas.openxmlformats.org/officeDocument/2006/customXml" ds:itemID="{A9379DD9-E3BF-4C89-921E-1919672057D6}"/>
</file>

<file path=customXml/itemProps4.xml><?xml version="1.0" encoding="utf-8"?>
<ds:datastoreItem xmlns:ds="http://schemas.openxmlformats.org/officeDocument/2006/customXml" ds:itemID="{B1AA6FA0-FF39-455E-9A9A-6121EE245AB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43</vt:i4>
      </vt:variant>
    </vt:vector>
  </HeadingPairs>
  <TitlesOfParts>
    <vt:vector size="43" baseType="lpstr">
      <vt:lpstr>Summary Statistics</vt:lpstr>
      <vt:lpstr>Mean Figures Study Graphs</vt:lpstr>
      <vt:lpstr>Median Figures Study Graphs</vt:lpstr>
      <vt:lpstr>Master Summary</vt:lpstr>
      <vt:lpstr>Elec Util Ticker List</vt:lpstr>
      <vt:lpstr>Gas Util Ticker List</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1996</vt:lpstr>
      <vt:lpstr>1995</vt:lpstr>
      <vt:lpstr>1994</vt:lpstr>
      <vt:lpstr>1993</vt:lpstr>
      <vt:lpstr>1992</vt:lpstr>
      <vt:lpstr>1991</vt:lpstr>
      <vt:lpstr>1990</vt:lpstr>
      <vt:lpstr>1989</vt:lpstr>
      <vt:lpstr>1988</vt:lpstr>
      <vt:lpstr>1987</vt:lpstr>
      <vt:lpstr>1986</vt:lpstr>
      <vt:lpstr>1985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dc:creator>
  <cp:lastModifiedBy>Woolridge, J. Randall</cp:lastModifiedBy>
  <dcterms:created xsi:type="dcterms:W3CDTF">2021-02-18T02:27:24Z</dcterms:created>
  <dcterms:modified xsi:type="dcterms:W3CDTF">2022-06-05T18:20:31Z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{BC00E00F-E3CA-4637-8F05-F1D2956707D6}</vt:lpwstr>
  </property>
  <property fmtid="{D5CDD505-2E9C-101B-9397-08002B2CF9AE}" pid="3" name="ContentTypeId">
    <vt:lpwstr>0x0101006E56B4D1795A2E4DB2F0B01679ED314A00A0C5B27E5DFE5A42B5D94F605CB10C32</vt:lpwstr>
  </property>
  <property fmtid="{D5CDD505-2E9C-101B-9397-08002B2CF9AE}" pid="4" name="_docset_NoMedatataSyncRequired">
    <vt:lpwstr>False</vt:lpwstr>
  </property>
  <property fmtid="{D5CDD505-2E9C-101B-9397-08002B2CF9AE}" pid="5" name="IsEFSEC">
    <vt:bool>false</vt:bool>
  </property>
</Properties>
</file>